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להשקעה'!$B$6:$D$10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מזומנים!$B$6:$K$34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R11" i="61" l="1"/>
  <c r="R12" i="61"/>
  <c r="R13" i="61"/>
  <c r="R167" i="61"/>
  <c r="R257" i="61"/>
  <c r="R265" i="61"/>
  <c r="R266" i="61"/>
  <c r="R274" i="61"/>
  <c r="S313" i="61" l="1"/>
  <c r="S303" i="61"/>
  <c r="S292" i="61"/>
  <c r="S281" i="61"/>
  <c r="S278" i="61"/>
  <c r="S284" i="61"/>
  <c r="Q167" i="61"/>
  <c r="O197" i="61" l="1"/>
  <c r="S197" i="61"/>
  <c r="O190" i="61"/>
  <c r="S190" i="61"/>
  <c r="O132" i="61"/>
  <c r="O131" i="61"/>
  <c r="O130" i="61"/>
  <c r="O121" i="61"/>
  <c r="O120" i="61"/>
  <c r="O119" i="61"/>
  <c r="S132" i="61"/>
  <c r="S131" i="61"/>
  <c r="S130" i="61"/>
  <c r="S121" i="61"/>
  <c r="S120" i="61"/>
  <c r="S119" i="61"/>
  <c r="O107" i="61"/>
  <c r="O103" i="61"/>
  <c r="O102" i="61"/>
  <c r="O101" i="61"/>
  <c r="S107" i="61"/>
  <c r="S103" i="61"/>
  <c r="S102" i="61"/>
  <c r="S101" i="61"/>
  <c r="S77" i="61"/>
  <c r="S76" i="61"/>
  <c r="S75" i="61"/>
  <c r="S74" i="61"/>
  <c r="O77" i="61"/>
  <c r="O76" i="61"/>
  <c r="O75" i="61"/>
  <c r="O74" i="61"/>
  <c r="P12" i="78"/>
  <c r="P11" i="78" s="1"/>
  <c r="P10" i="78" s="1"/>
  <c r="Q11" i="78" l="1"/>
  <c r="Q10" i="78"/>
  <c r="Q13" i="78"/>
  <c r="Q12" i="78"/>
  <c r="Q13" i="61"/>
  <c r="Q12" i="61" s="1"/>
  <c r="Q11" i="61" s="1"/>
  <c r="T16" i="61" l="1"/>
  <c r="T289" i="61"/>
  <c r="T284" i="61"/>
  <c r="T288" i="61"/>
  <c r="T275" i="61"/>
  <c r="T349" i="61"/>
  <c r="T292" i="61"/>
  <c r="T278" i="61"/>
  <c r="T348" i="61"/>
  <c r="T347" i="61"/>
  <c r="T346" i="61"/>
  <c r="T345" i="61"/>
  <c r="T344" i="61"/>
  <c r="T343" i="61"/>
  <c r="T342" i="61"/>
  <c r="T341" i="61"/>
  <c r="T339" i="61"/>
  <c r="T338" i="61"/>
  <c r="T337" i="61"/>
  <c r="T336" i="61"/>
  <c r="T335" i="61"/>
  <c r="T334" i="61"/>
  <c r="T333" i="61"/>
  <c r="T331" i="61"/>
  <c r="T330" i="61"/>
  <c r="T329" i="61"/>
  <c r="T328" i="61"/>
  <c r="T327" i="61"/>
  <c r="T326" i="61"/>
  <c r="T325" i="61"/>
  <c r="T332" i="61"/>
  <c r="T340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81" i="61"/>
  <c r="T299" i="61"/>
  <c r="T298" i="61"/>
  <c r="T297" i="61"/>
  <c r="T296" i="61"/>
  <c r="T287" i="61"/>
  <c r="T295" i="61"/>
  <c r="T294" i="61"/>
  <c r="T293" i="61"/>
  <c r="T291" i="61"/>
  <c r="T290" i="61"/>
  <c r="T286" i="61"/>
  <c r="T285" i="61"/>
  <c r="T283" i="61"/>
  <c r="T282" i="61"/>
  <c r="T280" i="61"/>
  <c r="T279" i="61"/>
  <c r="T277" i="61"/>
  <c r="T276" i="61"/>
  <c r="T274" i="61"/>
  <c r="T272" i="61"/>
  <c r="T271" i="61"/>
  <c r="T269" i="61"/>
  <c r="T268" i="61"/>
  <c r="T267" i="61"/>
  <c r="T266" i="61"/>
  <c r="T265" i="61"/>
  <c r="T263" i="61"/>
  <c r="T262" i="61"/>
  <c r="T261" i="61"/>
  <c r="T260" i="61"/>
  <c r="T259" i="61"/>
  <c r="T258" i="61"/>
  <c r="T257" i="61"/>
  <c r="T255" i="61"/>
  <c r="T254" i="61"/>
  <c r="T270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87" i="61"/>
  <c r="T196" i="61"/>
  <c r="T195" i="61"/>
  <c r="T194" i="61"/>
  <c r="T193" i="61"/>
  <c r="T192" i="61"/>
  <c r="T191" i="61"/>
  <c r="T190" i="61"/>
  <c r="T189" i="61"/>
  <c r="T188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4" i="61"/>
  <c r="T145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165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5" i="61"/>
  <c r="T14" i="61"/>
  <c r="T13" i="61"/>
  <c r="T12" i="61"/>
  <c r="T11" i="61"/>
  <c r="J18" i="58" l="1"/>
  <c r="J12" i="58"/>
  <c r="J11" i="58" l="1"/>
  <c r="J10" i="58" s="1"/>
  <c r="K23" i="58" s="1"/>
  <c r="C43" i="88"/>
  <c r="K21" i="58" l="1"/>
  <c r="K18" i="58"/>
  <c r="K20" i="58"/>
  <c r="K25" i="58"/>
  <c r="K19" i="58"/>
  <c r="K24" i="58"/>
  <c r="K22" i="58"/>
  <c r="K16" i="58"/>
  <c r="K15" i="58"/>
  <c r="K10" i="58"/>
  <c r="K13" i="58"/>
  <c r="K12" i="58"/>
  <c r="K11" i="58"/>
  <c r="K14" i="58"/>
  <c r="C37" i="88"/>
  <c r="C33" i="88"/>
  <c r="C31" i="88"/>
  <c r="C24" i="88"/>
  <c r="C23" i="88" s="1"/>
  <c r="C18" i="88"/>
  <c r="C17" i="88"/>
  <c r="C15" i="88"/>
  <c r="C13" i="88"/>
  <c r="C11" i="88"/>
  <c r="C12" i="88" l="1"/>
  <c r="C10" i="88" s="1"/>
  <c r="C42" i="88" l="1"/>
  <c r="N35" i="63" l="1"/>
  <c r="N31" i="63"/>
  <c r="N26" i="63"/>
  <c r="N22" i="63"/>
  <c r="N18" i="63"/>
  <c r="N14" i="63"/>
  <c r="O32" i="64"/>
  <c r="O27" i="64"/>
  <c r="O24" i="64"/>
  <c r="O21" i="64"/>
  <c r="O15" i="64"/>
  <c r="O11" i="64"/>
  <c r="P18" i="69"/>
  <c r="P14" i="69"/>
  <c r="K59" i="76"/>
  <c r="K55" i="76"/>
  <c r="K50" i="76"/>
  <c r="K46" i="76"/>
  <c r="K42" i="76"/>
  <c r="K38" i="76"/>
  <c r="K33" i="76"/>
  <c r="K29" i="76"/>
  <c r="K25" i="76"/>
  <c r="K21" i="76"/>
  <c r="K17" i="76"/>
  <c r="K13" i="76"/>
  <c r="N34" i="63"/>
  <c r="N29" i="63"/>
  <c r="N25" i="63"/>
  <c r="N21" i="63"/>
  <c r="N17" i="63"/>
  <c r="N13" i="63"/>
  <c r="O31" i="64"/>
  <c r="O19" i="64"/>
  <c r="O22" i="64"/>
  <c r="O20" i="64"/>
  <c r="O14" i="64"/>
  <c r="P21" i="69"/>
  <c r="P17" i="69"/>
  <c r="P13" i="69"/>
  <c r="K58" i="76"/>
  <c r="K53" i="76"/>
  <c r="K49" i="76"/>
  <c r="K45" i="76"/>
  <c r="K41" i="76"/>
  <c r="K37" i="76"/>
  <c r="K32" i="76"/>
  <c r="K28" i="76"/>
  <c r="K24" i="76"/>
  <c r="K20" i="76"/>
  <c r="K16" i="76"/>
  <c r="K12" i="76"/>
  <c r="N33" i="63"/>
  <c r="N28" i="63"/>
  <c r="N24" i="63"/>
  <c r="N20" i="63"/>
  <c r="N16" i="63"/>
  <c r="N12" i="63"/>
  <c r="O29" i="64"/>
  <c r="O26" i="64"/>
  <c r="O17" i="64"/>
  <c r="O18" i="64"/>
  <c r="O13" i="64"/>
  <c r="P20" i="69"/>
  <c r="P16" i="69"/>
  <c r="P12" i="69"/>
  <c r="K57" i="76"/>
  <c r="K52" i="76"/>
  <c r="K48" i="76"/>
  <c r="K44" i="76"/>
  <c r="K40" i="76"/>
  <c r="K36" i="76"/>
  <c r="K31" i="76"/>
  <c r="K27" i="76"/>
  <c r="K23" i="76"/>
  <c r="K19" i="76"/>
  <c r="K15" i="76"/>
  <c r="K11" i="76"/>
  <c r="N36" i="63"/>
  <c r="N32" i="63"/>
  <c r="N27" i="63"/>
  <c r="N23" i="63"/>
  <c r="N19" i="63"/>
  <c r="N15" i="63"/>
  <c r="N11" i="63"/>
  <c r="O23" i="64"/>
  <c r="P15" i="69"/>
  <c r="K47" i="76"/>
  <c r="K30" i="76"/>
  <c r="K14" i="76"/>
  <c r="O16" i="64"/>
  <c r="P11" i="69"/>
  <c r="K43" i="76"/>
  <c r="K26" i="76"/>
  <c r="O28" i="64"/>
  <c r="O12" i="64"/>
  <c r="K56" i="76"/>
  <c r="K39" i="76"/>
  <c r="K22" i="76"/>
  <c r="O25" i="64"/>
  <c r="P19" i="69"/>
  <c r="K51" i="76"/>
  <c r="K35" i="76"/>
  <c r="K18" i="76"/>
  <c r="D10" i="88"/>
  <c r="R10" i="78"/>
  <c r="R12" i="78"/>
  <c r="K11" i="81"/>
  <c r="R13" i="78"/>
  <c r="K12" i="81"/>
  <c r="R11" i="78"/>
  <c r="K10" i="81"/>
  <c r="U289" i="61"/>
  <c r="U292" i="61"/>
  <c r="U346" i="61"/>
  <c r="U342" i="61"/>
  <c r="U337" i="61"/>
  <c r="U333" i="61"/>
  <c r="U328" i="61"/>
  <c r="U332" i="61"/>
  <c r="U322" i="61"/>
  <c r="U318" i="61"/>
  <c r="U314" i="61"/>
  <c r="U310" i="61"/>
  <c r="U306" i="61"/>
  <c r="U302" i="61"/>
  <c r="U299" i="61"/>
  <c r="U287" i="61"/>
  <c r="U291" i="61"/>
  <c r="U283" i="61"/>
  <c r="U277" i="61"/>
  <c r="U271" i="61"/>
  <c r="U266" i="61"/>
  <c r="U261" i="61"/>
  <c r="U257" i="61"/>
  <c r="U253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4" i="61"/>
  <c r="U190" i="61"/>
  <c r="U185" i="61"/>
  <c r="U182" i="61"/>
  <c r="U178" i="61"/>
  <c r="U174" i="61"/>
  <c r="U170" i="61"/>
  <c r="U164" i="61"/>
  <c r="U160" i="61"/>
  <c r="U156" i="61"/>
  <c r="U152" i="61"/>
  <c r="U148" i="61"/>
  <c r="U145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9" i="61"/>
  <c r="U25" i="61"/>
  <c r="U21" i="61"/>
  <c r="U17" i="61"/>
  <c r="U13" i="61"/>
  <c r="U288" i="61"/>
  <c r="U284" i="61"/>
  <c r="U348" i="61"/>
  <c r="U343" i="61"/>
  <c r="U336" i="61"/>
  <c r="U330" i="61"/>
  <c r="U325" i="61"/>
  <c r="U321" i="61"/>
  <c r="U316" i="61"/>
  <c r="U311" i="61"/>
  <c r="U305" i="61"/>
  <c r="U300" i="61"/>
  <c r="U296" i="61"/>
  <c r="U290" i="61"/>
  <c r="U280" i="61"/>
  <c r="U272" i="61"/>
  <c r="U265" i="61"/>
  <c r="U259" i="61"/>
  <c r="U270" i="61"/>
  <c r="U248" i="61"/>
  <c r="U243" i="61"/>
  <c r="U238" i="61"/>
  <c r="U232" i="61"/>
  <c r="U227" i="61"/>
  <c r="U222" i="61"/>
  <c r="U216" i="61"/>
  <c r="U211" i="61"/>
  <c r="U206" i="61"/>
  <c r="U200" i="61"/>
  <c r="U196" i="61"/>
  <c r="U191" i="61"/>
  <c r="U184" i="61"/>
  <c r="U180" i="61"/>
  <c r="U175" i="61"/>
  <c r="U169" i="61"/>
  <c r="U162" i="61"/>
  <c r="U157" i="61"/>
  <c r="U151" i="61"/>
  <c r="U146" i="61"/>
  <c r="U141" i="61"/>
  <c r="U135" i="61"/>
  <c r="U130" i="61"/>
  <c r="U125" i="61"/>
  <c r="U119" i="61"/>
  <c r="U114" i="61"/>
  <c r="U109" i="61"/>
  <c r="U103" i="61"/>
  <c r="U98" i="61"/>
  <c r="U93" i="61"/>
  <c r="U87" i="61"/>
  <c r="U82" i="61"/>
  <c r="U77" i="61"/>
  <c r="U71" i="61"/>
  <c r="U66" i="61"/>
  <c r="U61" i="61"/>
  <c r="U55" i="61"/>
  <c r="U50" i="61"/>
  <c r="U45" i="61"/>
  <c r="U39" i="61"/>
  <c r="U34" i="61"/>
  <c r="U30" i="61"/>
  <c r="U24" i="61"/>
  <c r="U19" i="61"/>
  <c r="U14" i="61"/>
  <c r="U275" i="61"/>
  <c r="U347" i="61"/>
  <c r="U341" i="61"/>
  <c r="U335" i="61"/>
  <c r="U329" i="61"/>
  <c r="U340" i="61"/>
  <c r="U320" i="61"/>
  <c r="U315" i="61"/>
  <c r="U309" i="61"/>
  <c r="U304" i="61"/>
  <c r="U281" i="61"/>
  <c r="U295" i="61"/>
  <c r="U286" i="61"/>
  <c r="U279" i="61"/>
  <c r="U269" i="61"/>
  <c r="U263" i="61"/>
  <c r="U258" i="61"/>
  <c r="U252" i="61"/>
  <c r="U247" i="61"/>
  <c r="U242" i="61"/>
  <c r="U236" i="61"/>
  <c r="U231" i="61"/>
  <c r="U344" i="61"/>
  <c r="U331" i="61"/>
  <c r="U323" i="61"/>
  <c r="U312" i="61"/>
  <c r="U301" i="61"/>
  <c r="U293" i="61"/>
  <c r="U274" i="61"/>
  <c r="U260" i="61"/>
  <c r="U250" i="61"/>
  <c r="U239" i="61"/>
  <c r="U228" i="61"/>
  <c r="U220" i="61"/>
  <c r="U214" i="61"/>
  <c r="U207" i="61"/>
  <c r="U199" i="61"/>
  <c r="U193" i="61"/>
  <c r="U186" i="61"/>
  <c r="U179" i="61"/>
  <c r="U172" i="61"/>
  <c r="U163" i="61"/>
  <c r="U155" i="61"/>
  <c r="U149" i="61"/>
  <c r="U142" i="61"/>
  <c r="U134" i="61"/>
  <c r="U127" i="61"/>
  <c r="U121" i="61"/>
  <c r="U113" i="61"/>
  <c r="U106" i="61"/>
  <c r="U99" i="61"/>
  <c r="U91" i="61"/>
  <c r="U85" i="61"/>
  <c r="U78" i="61"/>
  <c r="U70" i="61"/>
  <c r="U63" i="61"/>
  <c r="U57" i="61"/>
  <c r="U49" i="61"/>
  <c r="U42" i="61"/>
  <c r="U35" i="61"/>
  <c r="U28" i="61"/>
  <c r="U22" i="61"/>
  <c r="U15" i="61"/>
  <c r="U349" i="61"/>
  <c r="U339" i="61"/>
  <c r="U327" i="61"/>
  <c r="U319" i="61"/>
  <c r="U308" i="61"/>
  <c r="U298" i="61"/>
  <c r="U285" i="61"/>
  <c r="U268" i="61"/>
  <c r="U255" i="61"/>
  <c r="U246" i="61"/>
  <c r="U235" i="61"/>
  <c r="U226" i="61"/>
  <c r="U219" i="61"/>
  <c r="U212" i="61"/>
  <c r="U204" i="61"/>
  <c r="U198" i="61"/>
  <c r="U192" i="61"/>
  <c r="U177" i="61"/>
  <c r="U171" i="61"/>
  <c r="U161" i="61"/>
  <c r="U154" i="61"/>
  <c r="U147" i="61"/>
  <c r="U139" i="61"/>
  <c r="U133" i="61"/>
  <c r="U126" i="61"/>
  <c r="U118" i="61"/>
  <c r="U111" i="61"/>
  <c r="U105" i="61"/>
  <c r="U97" i="61"/>
  <c r="U90" i="61"/>
  <c r="U83" i="61"/>
  <c r="U75" i="61"/>
  <c r="U69" i="61"/>
  <c r="U62" i="61"/>
  <c r="U54" i="61"/>
  <c r="U47" i="61"/>
  <c r="U41" i="61"/>
  <c r="U33" i="61"/>
  <c r="U27" i="61"/>
  <c r="U20" i="61"/>
  <c r="U12" i="61"/>
  <c r="U278" i="61"/>
  <c r="U338" i="61"/>
  <c r="U334" i="61"/>
  <c r="U313" i="61"/>
  <c r="U294" i="61"/>
  <c r="U262" i="61"/>
  <c r="U240" i="61"/>
  <c r="U223" i="61"/>
  <c r="U208" i="61"/>
  <c r="U195" i="61"/>
  <c r="U181" i="61"/>
  <c r="U167" i="61"/>
  <c r="U150" i="61"/>
  <c r="U137" i="61"/>
  <c r="U122" i="61"/>
  <c r="U107" i="61"/>
  <c r="U94" i="61"/>
  <c r="U79" i="61"/>
  <c r="U65" i="61"/>
  <c r="U51" i="61"/>
  <c r="U37" i="61"/>
  <c r="U23" i="61"/>
  <c r="U326" i="61"/>
  <c r="U307" i="61"/>
  <c r="U282" i="61"/>
  <c r="U254" i="61"/>
  <c r="U234" i="61"/>
  <c r="U218" i="61"/>
  <c r="U203" i="61"/>
  <c r="U189" i="61"/>
  <c r="U176" i="61"/>
  <c r="U159" i="61"/>
  <c r="U144" i="61"/>
  <c r="U131" i="61"/>
  <c r="U117" i="61"/>
  <c r="U102" i="61"/>
  <c r="U89" i="61"/>
  <c r="U74" i="61"/>
  <c r="U59" i="61"/>
  <c r="U46" i="61"/>
  <c r="U31" i="61"/>
  <c r="U18" i="61"/>
  <c r="U324" i="61"/>
  <c r="U303" i="61"/>
  <c r="U276" i="61"/>
  <c r="U251" i="61"/>
  <c r="U230" i="61"/>
  <c r="U215" i="61"/>
  <c r="U202" i="61"/>
  <c r="U188" i="61"/>
  <c r="U173" i="61"/>
  <c r="U158" i="61"/>
  <c r="U143" i="61"/>
  <c r="U129" i="61"/>
  <c r="U115" i="61"/>
  <c r="U101" i="61"/>
  <c r="U86" i="61"/>
  <c r="U73" i="61"/>
  <c r="U58" i="61"/>
  <c r="U43" i="61"/>
  <c r="U165" i="61"/>
  <c r="U16" i="61"/>
  <c r="U345" i="61"/>
  <c r="U317" i="61"/>
  <c r="U297" i="61"/>
  <c r="U267" i="61"/>
  <c r="U244" i="61"/>
  <c r="U224" i="61"/>
  <c r="U210" i="61"/>
  <c r="U187" i="61"/>
  <c r="U183" i="61"/>
  <c r="U168" i="61"/>
  <c r="U153" i="61"/>
  <c r="U138" i="61"/>
  <c r="U123" i="61"/>
  <c r="U110" i="61"/>
  <c r="U95" i="61"/>
  <c r="U81" i="61"/>
  <c r="U67" i="61"/>
  <c r="U53" i="61"/>
  <c r="U38" i="61"/>
  <c r="U26" i="61"/>
  <c r="U11" i="61"/>
  <c r="R59" i="59"/>
  <c r="R54" i="59"/>
  <c r="R50" i="59"/>
  <c r="R46" i="59"/>
  <c r="R42" i="59"/>
  <c r="R37" i="59"/>
  <c r="R33" i="59"/>
  <c r="R29" i="59"/>
  <c r="R24" i="59"/>
  <c r="R20" i="59"/>
  <c r="R16" i="59"/>
  <c r="R12" i="59"/>
  <c r="R58" i="59"/>
  <c r="R53" i="59"/>
  <c r="R49" i="59"/>
  <c r="R45" i="59"/>
  <c r="R41" i="59"/>
  <c r="R36" i="59"/>
  <c r="R32" i="59"/>
  <c r="R28" i="59"/>
  <c r="R23" i="59"/>
  <c r="R19" i="59"/>
  <c r="R15" i="59"/>
  <c r="R11" i="59"/>
  <c r="R57" i="59"/>
  <c r="R52" i="59"/>
  <c r="R48" i="59"/>
  <c r="R44" i="59"/>
  <c r="R40" i="59"/>
  <c r="R35" i="59"/>
  <c r="R31" i="59"/>
  <c r="R27" i="59"/>
  <c r="R22" i="59"/>
  <c r="R18" i="59"/>
  <c r="R14" i="59"/>
  <c r="R60" i="59"/>
  <c r="R55" i="59"/>
  <c r="R51" i="59"/>
  <c r="R47" i="59"/>
  <c r="R43" i="59"/>
  <c r="R38" i="59"/>
  <c r="R34" i="59"/>
  <c r="R30" i="59"/>
  <c r="R25" i="59"/>
  <c r="R21" i="59"/>
  <c r="R17" i="59"/>
  <c r="R13" i="59"/>
  <c r="L14" i="58"/>
  <c r="L25" i="58"/>
  <c r="L21" i="58"/>
  <c r="L18" i="58"/>
  <c r="L13" i="58"/>
  <c r="L24" i="58"/>
  <c r="L20" i="58"/>
  <c r="L16" i="58"/>
  <c r="L12" i="58"/>
  <c r="L23" i="58"/>
  <c r="L19" i="58"/>
  <c r="L15" i="58"/>
  <c r="L11" i="58"/>
  <c r="L22" i="58"/>
  <c r="L10" i="58"/>
  <c r="D18" i="88"/>
  <c r="D42" i="88"/>
  <c r="D11" i="88"/>
  <c r="D33" i="88"/>
  <c r="D15" i="88"/>
  <c r="D24" i="88"/>
  <c r="D17" i="88"/>
  <c r="D23" i="88"/>
  <c r="D12" i="88"/>
  <c r="D13" i="88"/>
  <c r="D38" i="88"/>
  <c r="D37" i="88"/>
  <c r="D3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Migdal Hashkaot Neches Boded"/>
    <s v="{[Time].[Hie Time].[Yom].&amp;[20200331]}"/>
    <s v="{[Medida].[Medida].&amp;[2]}"/>
    <s v="{[Keren].[Keren].[All]}"/>
    <s v="{[Cheshbon KM].[Hie Peilut].[Peilut 7].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9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3" si="29">
        <n x="1" s="1"/>
        <n x="27"/>
        <n x="28"/>
      </t>
    </mdx>
    <mdx n="0" f="v">
      <t c="3" si="29">
        <n x="1" s="1"/>
        <n x="30"/>
        <n x="28"/>
      </t>
    </mdx>
    <mdx n="0" f="v">
      <t c="3" si="29">
        <n x="1" s="1"/>
        <n x="31"/>
        <n x="28"/>
      </t>
    </mdx>
    <mdx n="0" f="v">
      <t c="3" si="29">
        <n x="1" s="1"/>
        <n x="32"/>
        <n x="28"/>
      </t>
    </mdx>
    <mdx n="0" f="v">
      <t c="3" si="29">
        <n x="1" s="1"/>
        <n x="33"/>
        <n x="28"/>
      </t>
    </mdx>
    <mdx n="0" f="v">
      <t c="3" si="29">
        <n x="1" s="1"/>
        <n x="34"/>
        <n x="28"/>
      </t>
    </mdx>
    <mdx n="0" f="v">
      <t c="3" si="29">
        <n x="1" s="1"/>
        <n x="35"/>
        <n x="28"/>
      </t>
    </mdx>
    <mdx n="0" f="v">
      <t c="3" si="29">
        <n x="1" s="1"/>
        <n x="36"/>
        <n x="28"/>
      </t>
    </mdx>
    <mdx n="0" f="v">
      <t c="3" si="29">
        <n x="1" s="1"/>
        <n x="37"/>
        <n x="28"/>
      </t>
    </mdx>
    <mdx n="0" f="v">
      <t c="3" si="29">
        <n x="1" s="1"/>
        <n x="38"/>
        <n x="28"/>
      </t>
    </mdx>
    <mdx n="0" f="v">
      <t c="3" si="29">
        <n x="1" s="1"/>
        <n x="39"/>
        <n x="28"/>
      </t>
    </mdx>
  </mdxMetadata>
  <valueMetadata count="4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</valueMetadata>
</metadata>
</file>

<file path=xl/sharedStrings.xml><?xml version="1.0" encoding="utf-8"?>
<sst xmlns="http://schemas.openxmlformats.org/spreadsheetml/2006/main" count="5093" uniqueCount="1342">
  <si>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</si>
  <si>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</si>
  <si>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</si>
  <si>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</si>
  <si>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</si>
  <si>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</si>
  <si>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</si>
  <si>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</si>
  <si>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</si>
  <si>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</si>
  <si>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</si>
  <si>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</si>
  <si>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</si>
  <si>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</si>
  <si>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</si>
  <si>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</si>
  <si>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</si>
  <si>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</si>
  <si>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</si>
  <si>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</si>
  <si>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</si>
  <si>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</si>
  <si>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</si>
  <si>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</si>
  <si>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</si>
  <si>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</si>
  <si>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</si>
  <si>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</si>
  <si>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</si>
  <si>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</si>
  <si>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</si>
  <si>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</si>
  <si>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</si>
  <si>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</si>
  <si>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</si>
  <si>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</si>
  <si>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</si>
  <si>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</si>
  <si>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</si>
  <si>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</si>
  <si>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</si>
  <si>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</si>
  <si>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</si>
  <si>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</si>
  <si>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</si>
  <si>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</si>
  <si>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</si>
  <si>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</si>
  <si>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</si>
  <si>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</si>
  <si>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</si>
  <si>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</si>
  <si>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</si>
  <si>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</si>
  <si>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</si>
  <si>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</si>
  <si>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</si>
  <si>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</si>
  <si>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</si>
  <si>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</si>
  <si>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</si>
  <si>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</si>
  <si>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</si>
  <si>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</si>
  <si>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</si>
  <si>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</si>
  <si>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</si>
  <si>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</si>
  <si>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</si>
  <si>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</si>
  <si>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</si>
  <si>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</si>
  <si>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</si>
  <si>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</si>
  <si>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</si>
  <si>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</si>
  <si>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</si>
  <si>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</si>
  <si>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</si>
  <si>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</si>
  <si>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</si>
  <si>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</si>
  <si>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</si>
  <si>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</si>
  <si>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</si>
  <si>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</si>
  <si>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</si>
  <si>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</si>
  <si>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</si>
  <si>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</si>
  <si>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</si>
  <si>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</si>
  <si>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</si>
  <si>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</si>
  <si>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</si>
  <si>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</si>
  <si>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</si>
  <si>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</si>
  <si>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</si>
  <si>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</si>
  <si>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</si>
  <si>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</si>
  <si>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</si>
  <si>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</si>
  <si>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</si>
  <si>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</si>
  <si>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</si>
  <si>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</si>
  <si>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</si>
  <si>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</si>
  <si>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</si>
  <si>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</si>
  <si>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</si>
  <si>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</si>
  <si>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</si>
  <si>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</si>
  <si>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</si>
  <si>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</si>
  <si>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</si>
  <si>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</si>
  <si>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</si>
  <si>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</si>
  <si>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</si>
  <si>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</si>
  <si>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</si>
  <si>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</si>
  <si>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</si>
  <si>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</si>
  <si>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</si>
  <si>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</si>
  <si>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</si>
  <si>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</si>
  <si>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</si>
  <si>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</si>
  <si>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</si>
  <si>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</si>
  <si>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</si>
  <si>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</si>
  <si>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</si>
  <si>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</si>
  <si>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</si>
  <si>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</si>
  <si>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</si>
  <si>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</si>
  <si>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</si>
  <si>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</si>
  <si>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</si>
  <si>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</si>
  <si>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</si>
  <si>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</si>
  <si>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</si>
  <si>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</si>
  <si>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</si>
  <si>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</si>
  <si>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</si>
  <si>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</si>
  <si>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</si>
  <si>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</si>
  <si>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</si>
  <si>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</si>
  <si>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</si>
  <si>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</si>
  <si>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</si>
  <si>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</si>
  <si>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</si>
  <si>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</si>
  <si>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</si>
  <si>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</si>
  <si>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</si>
  <si>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</si>
  <si>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</si>
  <si>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</si>
  <si>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</si>
  <si>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</si>
  <si>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</si>
  <si>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</si>
  <si>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</si>
  <si>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</si>
  <si>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</si>
  <si>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</si>
  <si>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</si>
  <si>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</si>
  <si>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</si>
  <si>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</si>
  <si>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</si>
  <si>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</si>
  <si>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</si>
  <si>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</si>
  <si>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</si>
  <si>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</si>
  <si>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</si>
  <si>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</si>
  <si>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</si>
  <si>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</si>
  <si>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</si>
  <si>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</si>
  <si>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</si>
  <si>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</si>
  <si>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</si>
  <si>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</si>
  <si>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</si>
  <si>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</si>
  <si>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</si>
  <si>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</si>
  <si>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</si>
  <si>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</si>
  <si>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</si>
  <si>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</si>
  <si>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</si>
  <si>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</si>
  <si>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</si>
  <si>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</si>
  <si>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</si>
  <si>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</si>
  <si>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</si>
  <si>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</si>
  <si>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</si>
  <si>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</si>
  <si>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</si>
  <si>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</si>
  <si>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</si>
  <si>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</si>
  <si>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</si>
  <si>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</si>
  <si>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</si>
  <si>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</si>
  <si>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</si>
  <si>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</si>
  <si>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</si>
  <si>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</si>
  <si>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</si>
  <si>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</si>
  <si>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</si>
  <si>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</si>
  <si>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</si>
  <si>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</si>
  <si>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</si>
  <si>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</si>
  <si>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</si>
  <si>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</si>
  <si>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</si>
  <si>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</si>
  <si>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</si>
  <si>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</si>
  <si>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</si>
  <si>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אג"ח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</si>
  <si>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</si>
  <si>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</si>
  <si>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</si>
  <si>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</si>
  <si>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</si>
  <si>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</si>
  <si>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</si>
  <si>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</si>
  <si>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</si>
  <si>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</si>
  <si>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</si>
  <si>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</si>
  <si>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</si>
  <si>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</si>
  <si>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</si>
  <si>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</si>
  <si>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</si>
  <si>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</si>
  <si>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</si>
  <si>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</si>
  <si>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</si>
  <si>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</si>
  <si>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</si>
  <si>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</si>
  <si>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</si>
  <si>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</si>
  <si>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</si>
  <si>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</si>
  <si>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</si>
  <si>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</si>
  <si>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</si>
  <si>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</si>
  <si>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</si>
  <si>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</si>
  <si>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</si>
  <si>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</si>
  <si>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</si>
  <si>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</si>
  <si>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</si>
  <si>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</si>
  <si>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</si>
  <si>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</si>
  <si>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</si>
  <si>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</si>
  <si>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</si>
  <si>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</si>
  <si>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</si>
  <si>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</si>
  <si>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</si>
  <si>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</si>
  <si>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</si>
  <si>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</si>
  <si>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</si>
  <si>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</si>
  <si>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</si>
  <si>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</si>
  <si>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</si>
  <si>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</si>
  <si>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</si>
  <si>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</si>
  <si>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</si>
  <si>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</si>
  <si>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</si>
  <si>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</si>
  <si>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</si>
  <si>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</si>
  <si>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</si>
  <si>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</si>
  <si>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</si>
  <si>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</si>
  <si>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</si>
  <si>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</si>
  <si>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</si>
  <si>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</si>
  <si>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</si>
  <si>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</si>
  <si>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</si>
  <si>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</si>
  <si>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</si>
  <si>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</si>
  <si>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</si>
  <si>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</si>
  <si>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</si>
  <si>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</si>
  <si>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</si>
  <si>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</si>
  <si>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</si>
  <si>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</si>
  <si>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</si>
  <si>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</si>
  <si>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</si>
  <si>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</si>
  <si>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</si>
  <si>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</si>
  <si>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</si>
  <si>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</si>
  <si>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</si>
  <si>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</si>
  <si>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</si>
  <si>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</si>
  <si>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</si>
  <si>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</si>
  <si>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</si>
  <si>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</si>
  <si>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</si>
  <si>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</si>
  <si>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</si>
  <si>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</si>
  <si>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</si>
  <si>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</si>
  <si>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</si>
  <si>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</si>
  <si>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</si>
  <si>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</si>
  <si>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</si>
  <si>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</si>
  <si>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</si>
  <si>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</si>
  <si>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</si>
  <si>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</si>
  <si>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</si>
  <si>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</si>
  <si>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</si>
  <si>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</si>
  <si>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</si>
  <si>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</si>
  <si>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</si>
  <si>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</si>
  <si>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</si>
  <si>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</si>
  <si>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</si>
  <si>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</si>
  <si>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</si>
  <si>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</si>
  <si>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</si>
  <si>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</si>
  <si>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</si>
  <si>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</si>
  <si>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</si>
  <si>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</si>
  <si>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</si>
  <si>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</si>
  <si>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</si>
  <si>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</si>
  <si>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</si>
  <si>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</si>
  <si>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</si>
  <si>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</si>
  <si>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</si>
  <si>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</si>
  <si>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</si>
  <si>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</si>
  <si>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</si>
  <si>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</si>
  <si>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</si>
  <si>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</si>
  <si>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</si>
  <si>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</si>
  <si>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</si>
  <si>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</si>
  <si>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</si>
  <si>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</si>
  <si>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</si>
  <si>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</si>
  <si>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</si>
  <si>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</si>
  <si>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</si>
  <si>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</si>
  <si>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</si>
  <si>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</si>
  <si>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</si>
  <si>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</si>
  <si>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</si>
  <si>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</si>
  <si>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</si>
  <si>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</si>
  <si>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</si>
  <si>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</si>
  <si>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</si>
  <si>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</si>
  <si>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</si>
  <si>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</si>
  <si>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</si>
  <si>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</si>
  <si>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</si>
  <si>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</si>
  <si>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</si>
  <si>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</si>
  <si>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</si>
  <si>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</si>
  <si>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</si>
  <si>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</si>
  <si>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</si>
  <si>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</si>
  <si>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</si>
  <si>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</si>
  <si>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</si>
  <si>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</si>
  <si>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</si>
  <si>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</si>
  <si>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</si>
  <si>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</si>
  <si>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</si>
  <si>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</si>
  <si>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</si>
  <si>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</si>
  <si>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</si>
  <si>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</si>
  <si>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</si>
  <si>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</si>
  <si>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</si>
  <si>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</si>
  <si>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</si>
  <si>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</si>
  <si>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</si>
  <si>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</si>
  <si>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</si>
  <si>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</si>
  <si>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</si>
  <si>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</si>
  <si>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</si>
  <si>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</si>
  <si>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</si>
  <si>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</si>
  <si>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</si>
  <si>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</si>
  <si>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</si>
  <si>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</si>
  <si>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</si>
  <si>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</si>
  <si>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</si>
  <si>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</si>
  <si>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</si>
  <si>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</si>
  <si>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</si>
  <si>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</si>
  <si>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</si>
  <si>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</si>
  <si>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</si>
  <si>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</si>
  <si>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</si>
  <si>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</si>
  <si>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</si>
  <si>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</si>
  <si>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</si>
  <si>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</si>
  <si>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</si>
  <si>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</si>
  <si>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</si>
  <si>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</si>
  <si>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</si>
  <si>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</si>
  <si>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</si>
  <si>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</si>
  <si>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</si>
  <si>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</si>
  <si>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</si>
  <si>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</si>
  <si>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</si>
  <si>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</si>
  <si>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</si>
  <si>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</si>
  <si>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</si>
  <si>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</si>
  <si>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</si>
  <si>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</si>
  <si>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</si>
  <si>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</si>
  <si>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</si>
  <si>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</si>
  <si>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</si>
  <si>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</si>
  <si>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</si>
  <si>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</si>
  <si>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</si>
  <si>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</si>
  <si>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</si>
  <si>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</si>
  <si>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</si>
  <si>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</si>
  <si>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</si>
  <si>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</si>
  <si>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</si>
  <si>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</si>
  <si>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</si>
  <si>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</si>
  <si>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</si>
  <si>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</si>
  <si>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</si>
  <si>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</si>
  <si>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</si>
  <si>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</si>
  <si>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</si>
  <si>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</si>
  <si>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</si>
  <si>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</si>
  <si>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</si>
  <si>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</si>
  <si>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</si>
  <si>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</si>
  <si>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</si>
  <si>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</si>
  <si>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</si>
  <si>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</si>
  <si>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</si>
  <si>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</si>
  <si>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</si>
  <si>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</si>
  <si>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</si>
  <si>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</si>
  <si>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</si>
  <si>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</si>
  <si>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</si>
  <si>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</si>
  <si>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</si>
  <si>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</si>
  <si>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</si>
  <si>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</si>
  <si>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</si>
  <si>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</si>
  <si>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</si>
  <si>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</si>
  <si>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</si>
  <si>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</si>
  <si>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</si>
  <si>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</si>
  <si>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</si>
  <si>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</si>
  <si>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</si>
  <si>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</si>
  <si>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</si>
  <si>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</si>
  <si>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</si>
  <si>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</si>
  <si>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</si>
  <si>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</si>
  <si>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</si>
  <si>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</si>
  <si>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</si>
  <si>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</si>
  <si>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</si>
  <si>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</si>
  <si>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</si>
  <si>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</si>
  <si>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</si>
  <si>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</si>
  <si>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</si>
  <si>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</si>
  <si>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</si>
  <si>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</si>
  <si>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</si>
  <si>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</si>
  <si>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</si>
  <si>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</si>
  <si>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</si>
  <si>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</si>
  <si>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</si>
  <si>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</si>
  <si>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</si>
  <si>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</si>
  <si>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</si>
  <si>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</si>
  <si>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</si>
  <si>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</si>
  <si>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</si>
  <si>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</si>
  <si>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</si>
  <si>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</si>
  <si>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</si>
  <si>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</si>
  <si>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</si>
  <si>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</si>
  <si>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</si>
  <si>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</si>
  <si>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</si>
  <si>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</si>
  <si>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</si>
  <si>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</si>
  <si>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</si>
  <si>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</si>
  <si>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</si>
  <si>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</si>
  <si>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</si>
  <si>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</si>
  <si>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</si>
  <si>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</si>
  <si>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</si>
  <si>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</si>
  <si>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</si>
  <si>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</si>
  <si>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</si>
  <si>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</si>
  <si>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</si>
  <si>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</si>
  <si>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</si>
  <si>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</si>
  <si>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</si>
  <si>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</si>
  <si>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</si>
  <si>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</si>
  <si>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</si>
  <si>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</si>
  <si>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</si>
  <si>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</si>
  <si>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</si>
  <si>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</si>
  <si>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</si>
  <si>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</si>
  <si>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</si>
  <si>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</si>
  <si>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</si>
  <si>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</si>
  <si>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</si>
  <si>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</si>
  <si>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</si>
  <si>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</si>
  <si>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</si>
  <si>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</si>
  <si>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</si>
  <si>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</si>
  <si>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</si>
  <si>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</si>
  <si>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</si>
  <si>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</si>
  <si>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</si>
  <si>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</si>
  <si>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</si>
  <si>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</si>
  <si>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</si>
  <si>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</si>
  <si>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</si>
  <si>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</si>
  <si>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</si>
  <si>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</si>
  <si>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</si>
  <si>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</si>
  <si>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</si>
  <si>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</si>
  <si>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</si>
  <si>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</si>
  <si>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</si>
  <si>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</si>
  <si>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</si>
  <si>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</si>
  <si>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</si>
  <si>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</si>
  <si>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</si>
  <si>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</si>
  <si>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</si>
  <si>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</si>
  <si>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</si>
  <si>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</si>
  <si>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</si>
  <si>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</si>
  <si>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</si>
  <si>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</si>
  <si>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</si>
  <si>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</si>
  <si>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</si>
  <si>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</si>
  <si>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</si>
  <si>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</si>
  <si>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</si>
  <si>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</si>
  <si>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</si>
  <si>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</si>
  <si>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</si>
  <si>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</si>
  <si>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</si>
  <si>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</si>
  <si>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</si>
  <si>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</si>
  <si>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</si>
  <si>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</si>
  <si>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</si>
  <si>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</si>
  <si>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</si>
  <si>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</si>
  <si>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</si>
  <si>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</si>
  <si>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</si>
  <si>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</si>
  <si>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</si>
  <si>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</si>
  <si>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</si>
  <si>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</si>
  <si>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</si>
  <si>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</si>
  <si>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</si>
  <si>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</si>
  <si>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</si>
  <si>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</si>
  <si>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</si>
  <si>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</si>
  <si>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</si>
  <si>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</si>
  <si>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</si>
  <si>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</si>
  <si>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</si>
  <si>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</si>
  <si>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</si>
  <si>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</si>
  <si>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</si>
  <si>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</si>
  <si>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</si>
  <si>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</si>
  <si>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</si>
  <si>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</si>
  <si>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</si>
  <si>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</si>
  <si>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</si>
  <si>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</si>
  <si>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</si>
  <si>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</si>
  <si>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</si>
  <si>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</si>
  <si>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</si>
  <si>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</si>
  <si>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</si>
  <si>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</si>
  <si>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</si>
  <si>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</si>
  <si>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</si>
  <si>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</si>
  <si>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</si>
  <si>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</si>
  <si>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</si>
  <si>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</si>
  <si>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</si>
  <si>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</si>
  <si>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</si>
  <si>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</si>
  <si>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</si>
  <si>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</si>
  <si>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</si>
  <si>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</si>
  <si>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</si>
  <si>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</si>
  <si>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</si>
  <si>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</si>
  <si>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</si>
  <si>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</si>
  <si>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</si>
  <si>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</si>
  <si>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</si>
  <si>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</si>
  <si>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</si>
  <si>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</si>
  <si>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</si>
  <si>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</si>
  <si>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</si>
  <si>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</si>
  <si>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</si>
  <si>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</si>
  <si>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</si>
  <si>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</si>
  <si>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</si>
  <si>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</si>
  <si>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</si>
  <si>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</si>
  <si>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</si>
  <si>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</si>
  <si>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</si>
  <si>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</si>
  <si>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</si>
  <si>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</si>
  <si>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</si>
  <si>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</si>
  <si>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</si>
  <si>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</si>
  <si>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</si>
  <si>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</si>
  <si>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</si>
  <si>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</si>
  <si>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</si>
  <si>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</si>
  <si>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</si>
  <si>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</si>
  <si>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</si>
  <si>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</si>
  <si>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</si>
  <si>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</si>
  <si>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</si>
  <si>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</si>
  <si>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</si>
  <si>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</si>
  <si>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</si>
  <si>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</si>
  <si>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</si>
  <si>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</si>
  <si>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</si>
  <si>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</si>
  <si>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</si>
  <si>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</si>
  <si>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</si>
  <si>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</si>
  <si>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</si>
  <si>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</si>
  <si>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</si>
  <si>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</si>
  <si>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</si>
  <si>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</si>
  <si>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</si>
  <si>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</si>
  <si>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</si>
  <si>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</si>
  <si>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</si>
  <si>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</si>
  <si>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</si>
  <si>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</si>
  <si>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</si>
  <si>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</si>
  <si>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</si>
  <si>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</si>
  <si>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</si>
  <si>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</si>
  <si>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</si>
  <si>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</si>
  <si>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</si>
  <si>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</si>
  <si>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</si>
  <si>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</si>
  <si>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</si>
  <si>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</si>
  <si>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</si>
  <si>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</si>
  <si>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</si>
  <si>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</si>
  <si>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</si>
  <si>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</si>
  <si>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</si>
  <si>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</si>
  <si>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</si>
  <si>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</si>
  <si>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</si>
  <si>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</si>
  <si>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</si>
  <si>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</si>
  <si>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</si>
  <si>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</si>
  <si>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</si>
  <si>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</si>
  <si>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</si>
  <si>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</si>
  <si>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</si>
  <si>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</si>
  <si>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</si>
  <si>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</si>
  <si>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</si>
  <si>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</si>
  <si>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</si>
  <si>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</si>
  <si>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</si>
  <si>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</si>
  <si>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</si>
  <si>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</si>
  <si>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</si>
  <si>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</si>
  <si>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</si>
  <si>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</si>
  <si>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</si>
  <si>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</si>
  <si>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</si>
  <si>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</si>
  <si>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</si>
  <si>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</si>
  <si>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</si>
  <si>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</si>
  <si>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</si>
  <si>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</si>
  <si>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</si>
  <si>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</si>
  <si>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</si>
  <si>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</si>
  <si>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</si>
  <si>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</si>
  <si>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</si>
  <si>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</si>
  <si>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</si>
  <si>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</si>
  <si>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</si>
  <si>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</si>
  <si>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</si>
  <si>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</si>
  <si>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</si>
  <si>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</si>
  <si>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</si>
  <si>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</si>
  <si>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</si>
  <si>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</si>
  <si>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</si>
  <si>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</si>
  <si>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</si>
  <si>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</si>
  <si>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</si>
  <si>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</si>
  <si>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</si>
  <si>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</si>
  <si>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</si>
  <si>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</si>
  <si>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</si>
  <si>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</si>
  <si>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</si>
  <si>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</si>
  <si>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</si>
  <si>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</si>
  <si>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</si>
  <si>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</si>
  <si>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</si>
  <si>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</si>
  <si>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</si>
  <si>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</si>
  <si>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</si>
  <si>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</si>
  <si>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</si>
  <si>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</si>
  <si>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</si>
  <si>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</si>
  <si>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</si>
  <si>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</si>
  <si>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</si>
  <si>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</si>
  <si>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</si>
  <si>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</si>
  <si>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</si>
  <si>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</si>
  <si>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</si>
  <si>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</si>
  <si>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</si>
  <si>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</si>
  <si>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</si>
  <si>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</si>
  <si>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</si>
  <si>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</si>
  <si>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</si>
  <si>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</si>
  <si>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</si>
  <si>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</si>
  <si>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</si>
  <si>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</si>
  <si>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</si>
  <si>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</si>
  <si>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</si>
  <si>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</si>
  <si>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</si>
  <si>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</si>
  <si>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</si>
  <si>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</si>
  <si>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</si>
  <si>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</si>
  <si>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</si>
  <si>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</si>
  <si>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</si>
  <si>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</si>
  <si>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</si>
  <si>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</si>
  <si>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</si>
  <si>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</si>
  <si>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</si>
  <si>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</si>
  <si>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</si>
  <si>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</si>
  <si>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</si>
  <si>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</si>
  <si>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</si>
  <si>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</si>
  <si>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</si>
  <si>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</si>
  <si>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</si>
  <si>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</si>
  <si>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</si>
  <si>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</si>
  <si>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</si>
  <si>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</si>
  <si>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</si>
  <si>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</si>
  <si>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</si>
  <si>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</si>
  <si>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</si>
  <si>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</si>
  <si>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</si>
  <si>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</si>
  <si>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</si>
  <si>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</si>
  <si>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</si>
  <si>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</si>
  <si>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</si>
  <si>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</si>
  <si>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</si>
  <si>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</si>
  <si>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</si>
  <si>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</si>
  <si>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</si>
  <si>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</si>
  <si>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</si>
  <si>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</si>
  <si>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</si>
  <si>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</si>
  <si>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</si>
  <si>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</si>
  <si>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</si>
  <si>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</si>
  <si>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</si>
  <si>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</si>
  <si>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</si>
  <si>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</si>
  <si>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</si>
  <si>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</si>
  <si>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</si>
  <si>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</si>
  <si>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</si>
  <si>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</si>
  <si>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</si>
  <si>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</si>
  <si>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</si>
  <si>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</si>
  <si>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</si>
  <si>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</si>
  <si>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</si>
  <si>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</si>
  <si>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</si>
  <si>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</si>
  <si>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</si>
  <si>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</si>
  <si>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</si>
  <si>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</si>
  <si>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</si>
  <si>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</si>
  <si>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</si>
  <si>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</si>
  <si>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</si>
  <si>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</si>
  <si>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</si>
  <si>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</si>
  <si>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</si>
  <si>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</si>
  <si>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</si>
  <si>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</si>
  <si>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</si>
  <si>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</si>
  <si>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</si>
  <si>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</si>
  <si>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</si>
  <si>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</si>
  <si>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</si>
  <si>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</si>
  <si>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</si>
  <si>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</si>
  <si>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</si>
  <si>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</si>
  <si>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</si>
  <si>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</si>
  <si>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</si>
  <si>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</si>
  <si>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</si>
  <si>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</si>
  <si>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</si>
  <si>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</si>
  <si>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</si>
  <si>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</si>
  <si>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</si>
  <si>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</si>
  <si>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</si>
  <si>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</si>
  <si>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</si>
  <si>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</si>
  <si>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</si>
  <si>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</si>
  <si>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</si>
  <si>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</si>
  <si>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</si>
  <si>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</si>
  <si>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</si>
  <si>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</si>
  <si>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</si>
  <si>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</si>
  <si>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</si>
  <si>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</si>
  <si>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</si>
  <si>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</si>
  <si>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</si>
  <si>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</si>
  <si>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</si>
  <si>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</si>
  <si>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</si>
  <si>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</si>
  <si>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</si>
  <si>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</si>
  <si>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</si>
  <si>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</si>
  <si>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</si>
  <si>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</si>
  <si>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</si>
  <si>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</si>
  <si>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</si>
  <si>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</si>
  <si>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</si>
  <si>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</si>
  <si>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</si>
  <si>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</si>
  <si>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</si>
  <si>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</si>
  <si>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</si>
  <si>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</si>
  <si>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</si>
  <si>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</si>
  <si>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</si>
  <si>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</si>
  <si>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</si>
  <si>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</si>
  <si>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</si>
  <si>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</si>
  <si>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</si>
  <si>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</si>
  <si>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</si>
  <si>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</si>
  <si>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</si>
  <si>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</si>
  <si>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</si>
  <si>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</si>
  <si>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</si>
  <si>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</si>
  <si>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</si>
  <si>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</si>
  <si>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</si>
  <si>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</si>
  <si>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</si>
  <si>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</si>
  <si>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</si>
  <si>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</si>
  <si>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</si>
  <si>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</si>
  <si>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</si>
  <si>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</si>
  <si>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</si>
  <si>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</si>
  <si>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</si>
  <si>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</si>
  <si>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</si>
  <si>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</si>
  <si>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</si>
  <si>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</si>
  <si>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</si>
  <si>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</si>
  <si>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</si>
  <si>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</si>
  <si>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</si>
  <si>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</si>
  <si>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</si>
  <si>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</si>
  <si>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</si>
  <si>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</si>
  <si>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</si>
  <si>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</si>
  <si>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</si>
  <si>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</si>
  <si>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</si>
  <si>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</si>
  <si>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</si>
  <si>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</si>
  <si>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</si>
  <si>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</si>
  <si>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</si>
  <si>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ערד 8809</t>
  </si>
  <si>
    <t>3322000</t>
  </si>
  <si>
    <t>ערד 8865</t>
  </si>
  <si>
    <t>88650000</t>
  </si>
  <si>
    <t>ערד 8869</t>
  </si>
  <si>
    <t>88690000</t>
  </si>
  <si>
    <t>ערד 8872</t>
  </si>
  <si>
    <t>88720000</t>
  </si>
  <si>
    <t>ערד 8874</t>
  </si>
  <si>
    <t>88740000</t>
  </si>
  <si>
    <t>ערד 8877</t>
  </si>
  <si>
    <t>88770000</t>
  </si>
  <si>
    <t>ערד 8880</t>
  </si>
  <si>
    <t>88800000</t>
  </si>
  <si>
    <t>ערד 8883</t>
  </si>
  <si>
    <t>88830000</t>
  </si>
  <si>
    <t>₪ / מט"ח</t>
  </si>
  <si>
    <t>+ILS/-USD 3.3967 10-03-21 (10) -428</t>
  </si>
  <si>
    <t>10000077</t>
  </si>
  <si>
    <t>ל.ר.</t>
  </si>
  <si>
    <t>+ILS/-USD 3.399 30-11-20 (10) -410</t>
  </si>
  <si>
    <t>10000073</t>
  </si>
  <si>
    <t>+ILS/-USD 3.4045 03-03-21 (12) -505</t>
  </si>
  <si>
    <t>10000006</t>
  </si>
  <si>
    <t>+ILS/-USD 3.4066 12-05-20 (20) -129</t>
  </si>
  <si>
    <t>10000004</t>
  </si>
  <si>
    <t>+ILS/-USD 3.408 10-11-20 (10) -915</t>
  </si>
  <si>
    <t>10000029</t>
  </si>
  <si>
    <t>+ILS/-USD 3.4084 12-05-20 (10) -131</t>
  </si>
  <si>
    <t>10000003</t>
  </si>
  <si>
    <t>+ILS/-USD 3.414 17-03-21 (10) -440</t>
  </si>
  <si>
    <t>10000079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</si>
  <si>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</si>
  <si>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</si>
  <si>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</si>
  <si>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</si>
  <si>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</si>
  <si>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</si>
  <si>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3.4332 20-05-20 (20) -163</t>
  </si>
  <si>
    <t>10000001</t>
  </si>
  <si>
    <t>+ILS/-USD 3.4344 11-06-20 (10) -321</t>
  </si>
  <si>
    <t>10000047</t>
  </si>
  <si>
    <t>+ILS/-USD 3.4402 11-06-20 (10) -373</t>
  </si>
  <si>
    <t>10000044</t>
  </si>
  <si>
    <t>+ILS/-USD 3.452 10-11-20 (10) -800</t>
  </si>
  <si>
    <t>10000028</t>
  </si>
  <si>
    <t>+ILS/-USD 3.456 11-06-20 (10) -415</t>
  </si>
  <si>
    <t>10000043</t>
  </si>
  <si>
    <t>+ILS/-USD 3.484 11-06-20 (10) -605</t>
  </si>
  <si>
    <t>10000032</t>
  </si>
  <si>
    <t>+ILS/-USD 3.5055 11-06-20 (10) -690</t>
  </si>
  <si>
    <t>10000020</t>
  </si>
  <si>
    <t>+ILS/-USD 3.65 11-06-20 (10) -175</t>
  </si>
  <si>
    <t>10000054</t>
  </si>
  <si>
    <t>+ILS/-USD 3.82 02-07-20 (20) -450</t>
  </si>
  <si>
    <t>10000011</t>
  </si>
  <si>
    <t>+USD/-ILS 3.4057 11-06-20 (10) -173</t>
  </si>
  <si>
    <t>10000052</t>
  </si>
  <si>
    <t>+EUR/-USD 1.10965 04-05-20 (20) +18.5</t>
  </si>
  <si>
    <t>10000089</t>
  </si>
  <si>
    <t>+EUR/-USD 1.1152 22-09-20 (20) +74</t>
  </si>
  <si>
    <t>10000090</t>
  </si>
  <si>
    <t>+EUR/-USD 1.1318 04-05-20 (12) +202</t>
  </si>
  <si>
    <t>10000035</t>
  </si>
  <si>
    <t>+GBP/-USD 1.3068 11-05-20 (10) +34</t>
  </si>
  <si>
    <t>10000049</t>
  </si>
  <si>
    <t>+USD/-EUR 1.09197 27-07-20 (10) +55.7</t>
  </si>
  <si>
    <t>10000056</t>
  </si>
  <si>
    <t>+USD/-EUR 1.0943 09-04-20 (10) +37</t>
  </si>
  <si>
    <t>10000050</t>
  </si>
  <si>
    <t>+USD/-EUR 1.1158 04-05-20 (20) +144</t>
  </si>
  <si>
    <t>10000046</t>
  </si>
  <si>
    <t>+USD/-EUR 1.1171 04-05-20 (20) +95</t>
  </si>
  <si>
    <t>10000061</t>
  </si>
  <si>
    <t>+USD/-EUR 1.1256 22-09-20 (20) +91</t>
  </si>
  <si>
    <t>10000075</t>
  </si>
  <si>
    <t>+USD/-EUR 1.1282 04-05-20 (12) +239</t>
  </si>
  <si>
    <t>10000022</t>
  </si>
  <si>
    <t>+USD/-EUR 1.15192 09-04-20 (10) +234.2</t>
  </si>
  <si>
    <t>10000025</t>
  </si>
  <si>
    <t>+USD/-GBP 1.1791 06-07-20 (20) +18</t>
  </si>
  <si>
    <t>10000087</t>
  </si>
  <si>
    <t>+USD/-GBP 1.24427 11-05-20 (10) +102.7</t>
  </si>
  <si>
    <t>10000038</t>
  </si>
  <si>
    <t>+USD/-GBP 1.29325 11-05-20 (10) +74.5</t>
  </si>
  <si>
    <t>10000042</t>
  </si>
  <si>
    <t>+USD/-GBP 1.30424 11-05-20 (10) +46.4</t>
  </si>
  <si>
    <t>10000048</t>
  </si>
  <si>
    <t>+USD/-GBP 1.3061 11-05-20 (10) +28</t>
  </si>
  <si>
    <t>10000051</t>
  </si>
  <si>
    <t>+USD/-GBP 1.3073 06-07-20 (12) +68</t>
  </si>
  <si>
    <t>10000065</t>
  </si>
  <si>
    <t>+USD/-GBP 1.3078 06-07-20 (20) +68</t>
  </si>
  <si>
    <t>10000067</t>
  </si>
  <si>
    <t>IRS</t>
  </si>
  <si>
    <t>10000000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</si>
  <si>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</si>
  <si>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</si>
  <si>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</si>
  <si>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</si>
  <si>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</si>
  <si>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</si>
  <si>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</si>
  <si>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</si>
  <si>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</si>
  <si>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</si>
  <si>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</si>
  <si>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</si>
  <si>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</si>
  <si>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</si>
  <si>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</si>
  <si>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32012000</t>
  </si>
  <si>
    <t>30312000</t>
  </si>
  <si>
    <t>33810000</t>
  </si>
  <si>
    <t>34010000</t>
  </si>
  <si>
    <t>34510000</t>
  </si>
  <si>
    <t>32020000</t>
  </si>
  <si>
    <t>34020000</t>
  </si>
  <si>
    <t>דירוג פנימי</t>
  </si>
  <si>
    <t>לא</t>
  </si>
  <si>
    <t>תשתיות</t>
  </si>
  <si>
    <t>קרדן אן.וי אגח ב חש 2/18</t>
  </si>
  <si>
    <t>1143270</t>
  </si>
  <si>
    <t>סה"כ יתרות התחייבות להשקעה</t>
  </si>
  <si>
    <t>סה"כ בישראל</t>
  </si>
  <si>
    <t>נדל"ן מניב בישראל</t>
  </si>
  <si>
    <t>נדל"ן מניב בחו"ל</t>
  </si>
  <si>
    <t>גורם 155</t>
  </si>
  <si>
    <t>גורם 158</t>
  </si>
  <si>
    <t>בבטחונות אחרים - גורם 155</t>
  </si>
  <si>
    <t>AA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</si>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</sst>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1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64" fontId="26" fillId="0" borderId="0" xfId="13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10" fontId="28" fillId="0" borderId="0" xfId="0" applyNumberFormat="1" applyFont="1" applyFill="1"/>
    <xf numFmtId="10" fontId="26" fillId="0" borderId="0" xfId="14" applyNumberFormat="1" applyFont="1" applyFill="1" applyBorder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0" fontId="26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47" t="s">
        <v>166</v>
      </c>
      <c r="C1" s="68" t="s" vm="1">
        <v>243</v>
      </c>
    </row>
    <row r="2" spans="1:24">
      <c r="B2" s="47" t="s">
        <v>165</v>
      </c>
      <c r="C2" s="68" t="s">
        <v>244</v>
      </c>
    </row>
    <row r="3" spans="1:24">
      <c r="B3" s="47" t="s">
        <v>167</v>
      </c>
      <c r="C3" s="68" t="s">
        <v>245</v>
      </c>
    </row>
    <row r="4" spans="1:24">
      <c r="B4" s="47" t="s">
        <v>168</v>
      </c>
      <c r="C4" s="68">
        <v>12148</v>
      </c>
    </row>
    <row r="6" spans="1:24" ht="26.25" customHeight="1">
      <c r="B6" s="122" t="s">
        <v>182</v>
      </c>
      <c r="C6" s="123"/>
      <c r="D6" s="124"/>
    </row>
    <row r="7" spans="1:24" s="10" customFormat="1">
      <c r="B7" s="22"/>
      <c r="C7" s="23" t="s">
        <v>98</v>
      </c>
      <c r="D7" s="24" t="s">
        <v>96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223</v>
      </c>
      <c r="D8" s="26" t="s">
        <v>19</v>
      </c>
    </row>
    <row r="9" spans="1:24" s="11" customFormat="1" ht="18" customHeight="1">
      <c r="B9" s="36"/>
      <c r="C9" s="19" t="s">
        <v>0</v>
      </c>
      <c r="D9" s="27" t="s">
        <v>1</v>
      </c>
    </row>
    <row r="10" spans="1:24" s="11" customFormat="1" ht="18" customHeight="1">
      <c r="B10" s="55" t="s">
        <v>181</v>
      </c>
      <c r="C10" s="99">
        <f>C11+C12+C23+C33+C37</f>
        <v>6300.382039185999</v>
      </c>
      <c r="D10" s="100">
        <f>C10/$C$42</f>
        <v>1</v>
      </c>
    </row>
    <row r="11" spans="1:24">
      <c r="A11" s="43" t="s">
        <v>128</v>
      </c>
      <c r="B11" s="28" t="s">
        <v>183</v>
      </c>
      <c r="C11" s="99">
        <f>מזומנים!J10</f>
        <v>115.07708274300001</v>
      </c>
      <c r="D11" s="100">
        <f>C11/$C$42</f>
        <v>1.8265095993745137E-2</v>
      </c>
    </row>
    <row r="12" spans="1:24">
      <c r="B12" s="28" t="s">
        <v>184</v>
      </c>
      <c r="C12" s="99">
        <f>C13+C15+C17+C18</f>
        <v>2288.4828030819999</v>
      </c>
      <c r="D12" s="100">
        <f>C12/$C$42</f>
        <v>0.36322921195071989</v>
      </c>
    </row>
    <row r="13" spans="1:24">
      <c r="A13" s="45" t="s">
        <v>128</v>
      </c>
      <c r="B13" s="29" t="s">
        <v>59</v>
      </c>
      <c r="C13" s="99">
        <f>'תעודות התחייבות ממשלתיות'!O11</f>
        <v>952.16077831600012</v>
      </c>
      <c r="D13" s="100">
        <f>C13/$C$42</f>
        <v>0.15112746693675388</v>
      </c>
    </row>
    <row r="14" spans="1:24">
      <c r="A14" s="45" t="s">
        <v>128</v>
      </c>
      <c r="B14" s="29" t="s">
        <v>60</v>
      </c>
      <c r="C14" s="99" t="s" vm="2">
        <v>1306</v>
      </c>
      <c r="D14" s="100" t="s" vm="3">
        <v>1306</v>
      </c>
    </row>
    <row r="15" spans="1:24">
      <c r="A15" s="45" t="s">
        <v>128</v>
      </c>
      <c r="B15" s="29" t="s">
        <v>61</v>
      </c>
      <c r="C15" s="99">
        <f>'אג"ח קונצרני'!R11</f>
        <v>1115.6908757459998</v>
      </c>
      <c r="D15" s="100">
        <f>C15/$C$42</f>
        <v>0.17708305128273549</v>
      </c>
    </row>
    <row r="16" spans="1:24">
      <c r="A16" s="45" t="s">
        <v>128</v>
      </c>
      <c r="B16" s="29" t="s">
        <v>62</v>
      </c>
      <c r="C16" s="99" t="s" vm="4">
        <v>1306</v>
      </c>
      <c r="D16" s="100" t="s" vm="5">
        <v>1306</v>
      </c>
    </row>
    <row r="17" spans="1:4">
      <c r="A17" s="45" t="s">
        <v>128</v>
      </c>
      <c r="B17" s="29" t="s">
        <v>237</v>
      </c>
      <c r="C17" s="99">
        <f>'קרנות סל'!K11</f>
        <v>65.020860752000004</v>
      </c>
      <c r="D17" s="100">
        <f>C17/$C$42</f>
        <v>1.0320145722528377E-2</v>
      </c>
    </row>
    <row r="18" spans="1:4">
      <c r="A18" s="45" t="s">
        <v>128</v>
      </c>
      <c r="B18" s="29" t="s">
        <v>63</v>
      </c>
      <c r="C18" s="99">
        <f>'קרנות נאמנות'!L11</f>
        <v>155.61028826799998</v>
      </c>
      <c r="D18" s="100">
        <f>C18/$C$42</f>
        <v>2.4698548008702123E-2</v>
      </c>
    </row>
    <row r="19" spans="1:4">
      <c r="A19" s="45" t="s">
        <v>128</v>
      </c>
      <c r="B19" s="29" t="s">
        <v>64</v>
      </c>
      <c r="C19" s="99" t="s" vm="6">
        <v>1306</v>
      </c>
      <c r="D19" s="100" t="s" vm="7">
        <v>1306</v>
      </c>
    </row>
    <row r="20" spans="1:4">
      <c r="A20" s="45" t="s">
        <v>128</v>
      </c>
      <c r="B20" s="29" t="s">
        <v>65</v>
      </c>
      <c r="C20" s="99" t="s" vm="8">
        <v>1306</v>
      </c>
      <c r="D20" s="100" t="s" vm="9">
        <v>1306</v>
      </c>
    </row>
    <row r="21" spans="1:4">
      <c r="A21" s="45" t="s">
        <v>128</v>
      </c>
      <c r="B21" s="29" t="s">
        <v>66</v>
      </c>
      <c r="C21" s="99" t="s" vm="10">
        <v>1306</v>
      </c>
      <c r="D21" s="100" t="s" vm="11">
        <v>1306</v>
      </c>
    </row>
    <row r="22" spans="1:4">
      <c r="A22" s="45" t="s">
        <v>128</v>
      </c>
      <c r="B22" s="29" t="s">
        <v>67</v>
      </c>
      <c r="C22" s="99" t="s" vm="12">
        <v>1306</v>
      </c>
      <c r="D22" s="100" t="s" vm="13">
        <v>1306</v>
      </c>
    </row>
    <row r="23" spans="1:4">
      <c r="B23" s="28" t="s">
        <v>185</v>
      </c>
      <c r="C23" s="99">
        <f>C24+C31</f>
        <v>3893.4227030969992</v>
      </c>
      <c r="D23" s="100">
        <f>C23/$C$42</f>
        <v>0.61796612949522411</v>
      </c>
    </row>
    <row r="24" spans="1:4">
      <c r="A24" s="45" t="s">
        <v>128</v>
      </c>
      <c r="B24" s="29" t="s">
        <v>68</v>
      </c>
      <c r="C24" s="99">
        <f>'לא סחיר- תעודות התחייבות ממשלתי'!M11</f>
        <v>3897.611159999999</v>
      </c>
      <c r="D24" s="100">
        <f>C24/$C$42</f>
        <v>0.61863092361039829</v>
      </c>
    </row>
    <row r="25" spans="1:4">
      <c r="A25" s="45" t="s">
        <v>128</v>
      </c>
      <c r="B25" s="29" t="s">
        <v>69</v>
      </c>
      <c r="C25" s="99" t="s" vm="14">
        <v>1306</v>
      </c>
      <c r="D25" s="100" t="s" vm="15">
        <v>1306</v>
      </c>
    </row>
    <row r="26" spans="1:4">
      <c r="A26" s="45" t="s">
        <v>128</v>
      </c>
      <c r="B26" s="29" t="s">
        <v>61</v>
      </c>
      <c r="C26" s="99" t="s" vm="16">
        <v>1306</v>
      </c>
      <c r="D26" s="100" t="s" vm="17">
        <v>1306</v>
      </c>
    </row>
    <row r="27" spans="1:4">
      <c r="A27" s="45" t="s">
        <v>128</v>
      </c>
      <c r="B27" s="29" t="s">
        <v>70</v>
      </c>
      <c r="C27" s="99" t="s" vm="18">
        <v>1306</v>
      </c>
      <c r="D27" s="100" t="s" vm="19">
        <v>1306</v>
      </c>
    </row>
    <row r="28" spans="1:4">
      <c r="A28" s="45" t="s">
        <v>128</v>
      </c>
      <c r="B28" s="29" t="s">
        <v>71</v>
      </c>
      <c r="C28" s="99" t="s" vm="20">
        <v>1306</v>
      </c>
      <c r="D28" s="100" t="s" vm="21">
        <v>1306</v>
      </c>
    </row>
    <row r="29" spans="1:4">
      <c r="A29" s="45" t="s">
        <v>128</v>
      </c>
      <c r="B29" s="29" t="s">
        <v>72</v>
      </c>
      <c r="C29" s="99" t="s" vm="22">
        <v>1306</v>
      </c>
      <c r="D29" s="100" t="s" vm="23">
        <v>1306</v>
      </c>
    </row>
    <row r="30" spans="1:4">
      <c r="A30" s="45" t="s">
        <v>128</v>
      </c>
      <c r="B30" s="29" t="s">
        <v>208</v>
      </c>
      <c r="C30" s="99" t="s" vm="24">
        <v>1306</v>
      </c>
      <c r="D30" s="100" t="s" vm="25">
        <v>1306</v>
      </c>
    </row>
    <row r="31" spans="1:4">
      <c r="A31" s="45" t="s">
        <v>128</v>
      </c>
      <c r="B31" s="29" t="s">
        <v>93</v>
      </c>
      <c r="C31" s="99">
        <f>'לא סחיר - חוזים עתידיים'!I11</f>
        <v>-4.1884569029999987</v>
      </c>
      <c r="D31" s="100">
        <f>C31/$C$42</f>
        <v>-6.6479411517418737E-4</v>
      </c>
    </row>
    <row r="32" spans="1:4">
      <c r="A32" s="45" t="s">
        <v>128</v>
      </c>
      <c r="B32" s="29" t="s">
        <v>73</v>
      </c>
      <c r="C32" s="99" t="s" vm="26">
        <v>1306</v>
      </c>
      <c r="D32" s="100" t="s" vm="27">
        <v>1306</v>
      </c>
    </row>
    <row r="33" spans="1:4">
      <c r="A33" s="45" t="s">
        <v>128</v>
      </c>
      <c r="B33" s="28" t="s">
        <v>186</v>
      </c>
      <c r="C33" s="99">
        <f>הלוואות!P10</f>
        <v>3.33561</v>
      </c>
      <c r="D33" s="100">
        <f>C33/$C$42</f>
        <v>5.2942979953497489E-4</v>
      </c>
    </row>
    <row r="34" spans="1:4">
      <c r="A34" s="45" t="s">
        <v>128</v>
      </c>
      <c r="B34" s="28" t="s">
        <v>187</v>
      </c>
      <c r="C34" s="99" t="s" vm="28">
        <v>1306</v>
      </c>
      <c r="D34" s="100"/>
    </row>
    <row r="35" spans="1:4">
      <c r="A35" s="45" t="s">
        <v>128</v>
      </c>
      <c r="B35" s="28" t="s">
        <v>188</v>
      </c>
      <c r="C35" s="99" t="s" vm="29">
        <v>1306</v>
      </c>
      <c r="D35" s="100" t="s" vm="30">
        <v>1306</v>
      </c>
    </row>
    <row r="36" spans="1:4">
      <c r="A36" s="45" t="s">
        <v>128</v>
      </c>
      <c r="B36" s="46" t="s">
        <v>189</v>
      </c>
      <c r="C36" s="99" t="s" vm="31">
        <v>1306</v>
      </c>
      <c r="D36" s="100" t="s" vm="32">
        <v>1306</v>
      </c>
    </row>
    <row r="37" spans="1:4">
      <c r="A37" s="45" t="s">
        <v>128</v>
      </c>
      <c r="B37" s="28" t="s">
        <v>190</v>
      </c>
      <c r="C37" s="99">
        <f>'השקעות אחרות '!I10</f>
        <v>6.3840263999999994E-2</v>
      </c>
      <c r="D37" s="100">
        <f>C37/$C$42</f>
        <v>1.0132760775924006E-5</v>
      </c>
    </row>
    <row r="38" spans="1:4">
      <c r="A38" s="45"/>
      <c r="B38" s="56" t="s">
        <v>192</v>
      </c>
      <c r="C38" s="99">
        <v>0</v>
      </c>
      <c r="D38" s="100">
        <f>C38/$C$42</f>
        <v>0</v>
      </c>
    </row>
    <row r="39" spans="1:4">
      <c r="A39" s="45" t="s">
        <v>128</v>
      </c>
      <c r="B39" s="57" t="s">
        <v>193</v>
      </c>
      <c r="C39" s="99" t="s" vm="33">
        <v>1306</v>
      </c>
      <c r="D39" s="100" t="s" vm="34">
        <v>1306</v>
      </c>
    </row>
    <row r="40" spans="1:4">
      <c r="A40" s="45" t="s">
        <v>128</v>
      </c>
      <c r="B40" s="57" t="s">
        <v>221</v>
      </c>
      <c r="C40" s="99" t="s" vm="35">
        <v>1306</v>
      </c>
      <c r="D40" s="100" t="s" vm="36">
        <v>1306</v>
      </c>
    </row>
    <row r="41" spans="1:4">
      <c r="A41" s="45" t="s">
        <v>128</v>
      </c>
      <c r="B41" s="57" t="s">
        <v>194</v>
      </c>
      <c r="C41" s="99" t="s" vm="37">
        <v>1306</v>
      </c>
      <c r="D41" s="100" t="s" vm="38">
        <v>1306</v>
      </c>
    </row>
    <row r="42" spans="1:4">
      <c r="B42" s="57" t="s">
        <v>74</v>
      </c>
      <c r="C42" s="99">
        <f>C38+C10</f>
        <v>6300.382039185999</v>
      </c>
      <c r="D42" s="100">
        <f>C42/$C$42</f>
        <v>1</v>
      </c>
    </row>
    <row r="43" spans="1:4">
      <c r="A43" s="45" t="s">
        <v>128</v>
      </c>
      <c r="B43" s="57" t="s">
        <v>191</v>
      </c>
      <c r="C43" s="99">
        <f>'יתרת התחייבות להשקעה'!C10</f>
        <v>39.906983968497386</v>
      </c>
      <c r="D43" s="100"/>
    </row>
    <row r="44" spans="1:4">
      <c r="B44" s="6" t="s">
        <v>97</v>
      </c>
    </row>
    <row r="45" spans="1:4">
      <c r="C45" s="63" t="s">
        <v>173</v>
      </c>
      <c r="D45" s="35" t="s">
        <v>92</v>
      </c>
    </row>
    <row r="46" spans="1:4">
      <c r="C46" s="64" t="s">
        <v>0</v>
      </c>
      <c r="D46" s="24" t="s">
        <v>1</v>
      </c>
    </row>
    <row r="47" spans="1:4">
      <c r="C47" s="101" t="s">
        <v>154</v>
      </c>
      <c r="D47" s="102" vm="39">
        <v>2.1722000000000001</v>
      </c>
    </row>
    <row r="48" spans="1:4">
      <c r="C48" s="101" t="s">
        <v>163</v>
      </c>
      <c r="D48" s="102">
        <v>0.6860650847718569</v>
      </c>
    </row>
    <row r="49" spans="2:4">
      <c r="C49" s="101" t="s">
        <v>159</v>
      </c>
      <c r="D49" s="102" vm="40">
        <v>2.5002</v>
      </c>
    </row>
    <row r="50" spans="2:4">
      <c r="B50" s="12"/>
      <c r="C50" s="101" t="s">
        <v>1307</v>
      </c>
      <c r="D50" s="102" vm="41">
        <v>3.6854</v>
      </c>
    </row>
    <row r="51" spans="2:4">
      <c r="C51" s="101" t="s">
        <v>152</v>
      </c>
      <c r="D51" s="102" vm="42">
        <v>3.9003000000000001</v>
      </c>
    </row>
    <row r="52" spans="2:4">
      <c r="C52" s="101" t="s">
        <v>153</v>
      </c>
      <c r="D52" s="102" vm="43">
        <v>4.3986000000000001</v>
      </c>
    </row>
    <row r="53" spans="2:4">
      <c r="C53" s="101" t="s">
        <v>155</v>
      </c>
      <c r="D53" s="102">
        <v>0.45987538860437815</v>
      </c>
    </row>
    <row r="54" spans="2:4">
      <c r="C54" s="101" t="s">
        <v>160</v>
      </c>
      <c r="D54" s="102" vm="44">
        <v>3.2787999999999999</v>
      </c>
    </row>
    <row r="55" spans="2:4">
      <c r="C55" s="101" t="s">
        <v>161</v>
      </c>
      <c r="D55" s="102">
        <v>0.14994931586939056</v>
      </c>
    </row>
    <row r="56" spans="2:4">
      <c r="C56" s="101" t="s">
        <v>158</v>
      </c>
      <c r="D56" s="102" vm="45">
        <v>0.52229999999999999</v>
      </c>
    </row>
    <row r="57" spans="2:4">
      <c r="C57" s="101" t="s">
        <v>1308</v>
      </c>
      <c r="D57" s="102">
        <v>2.121175</v>
      </c>
    </row>
    <row r="58" spans="2:4">
      <c r="C58" s="101" t="s">
        <v>157</v>
      </c>
      <c r="D58" s="102" vm="46">
        <v>0.35189999999999999</v>
      </c>
    </row>
    <row r="59" spans="2:4">
      <c r="C59" s="101" t="s">
        <v>150</v>
      </c>
      <c r="D59" s="102" vm="47">
        <v>3.5649999999999999</v>
      </c>
    </row>
    <row r="60" spans="2:4">
      <c r="C60" s="101" t="s">
        <v>164</v>
      </c>
      <c r="D60" s="102" vm="48">
        <v>0.19939999999999999</v>
      </c>
    </row>
    <row r="61" spans="2:4">
      <c r="C61" s="101" t="s">
        <v>1309</v>
      </c>
      <c r="D61" s="102" vm="49">
        <v>0.3402</v>
      </c>
    </row>
    <row r="62" spans="2:4">
      <c r="C62" s="101" t="s">
        <v>1310</v>
      </c>
      <c r="D62" s="102">
        <v>4.5403370420181763E-2</v>
      </c>
    </row>
    <row r="63" spans="2:4">
      <c r="C63" s="101" t="s">
        <v>1311</v>
      </c>
      <c r="D63" s="102">
        <v>0.50337465759227351</v>
      </c>
    </row>
    <row r="64" spans="2:4">
      <c r="C64" s="101" t="s">
        <v>151</v>
      </c>
      <c r="D64" s="102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166</v>
      </c>
      <c r="C1" s="68" t="s" vm="1">
        <v>243</v>
      </c>
    </row>
    <row r="2" spans="2:61">
      <c r="B2" s="47" t="s">
        <v>165</v>
      </c>
      <c r="C2" s="68" t="s">
        <v>244</v>
      </c>
    </row>
    <row r="3" spans="2:61">
      <c r="B3" s="47" t="s">
        <v>167</v>
      </c>
      <c r="C3" s="68" t="s">
        <v>245</v>
      </c>
    </row>
    <row r="4" spans="2:61">
      <c r="B4" s="47" t="s">
        <v>168</v>
      </c>
      <c r="C4" s="68">
        <v>12148</v>
      </c>
    </row>
    <row r="6" spans="2:61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1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I7" s="3"/>
    </row>
    <row r="8" spans="2:61" s="3" customFormat="1" ht="78.75">
      <c r="B8" s="22" t="s">
        <v>103</v>
      </c>
      <c r="C8" s="30" t="s">
        <v>39</v>
      </c>
      <c r="D8" s="30" t="s">
        <v>106</v>
      </c>
      <c r="E8" s="30" t="s">
        <v>56</v>
      </c>
      <c r="F8" s="30" t="s">
        <v>90</v>
      </c>
      <c r="G8" s="30" t="s">
        <v>220</v>
      </c>
      <c r="H8" s="30" t="s">
        <v>219</v>
      </c>
      <c r="I8" s="30" t="s">
        <v>52</v>
      </c>
      <c r="J8" s="30" t="s">
        <v>51</v>
      </c>
      <c r="K8" s="30" t="s">
        <v>169</v>
      </c>
      <c r="L8" s="31" t="s">
        <v>171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227</v>
      </c>
      <c r="H9" s="16"/>
      <c r="I9" s="16" t="s">
        <v>223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BD11" s="1"/>
      <c r="BE11" s="3"/>
      <c r="BF11" s="1"/>
      <c r="BH11" s="1"/>
    </row>
    <row r="12" spans="2:6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E12" s="3"/>
    </row>
    <row r="13" spans="2:61" ht="20.25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E13" s="4"/>
    </row>
    <row r="14" spans="2:61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61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 ht="2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BD18" s="4"/>
    </row>
    <row r="19" spans="2:5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166</v>
      </c>
      <c r="C1" s="68" t="s" vm="1">
        <v>243</v>
      </c>
    </row>
    <row r="2" spans="1:60">
      <c r="B2" s="47" t="s">
        <v>165</v>
      </c>
      <c r="C2" s="68" t="s">
        <v>244</v>
      </c>
    </row>
    <row r="3" spans="1:60">
      <c r="B3" s="47" t="s">
        <v>167</v>
      </c>
      <c r="C3" s="68" t="s">
        <v>245</v>
      </c>
    </row>
    <row r="4" spans="1:60">
      <c r="B4" s="47" t="s">
        <v>168</v>
      </c>
      <c r="C4" s="68">
        <v>12148</v>
      </c>
    </row>
    <row r="6" spans="1:60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7"/>
      <c r="BD6" s="1" t="s">
        <v>107</v>
      </c>
      <c r="BF6" s="1" t="s">
        <v>174</v>
      </c>
      <c r="BH6" s="3" t="s">
        <v>151</v>
      </c>
    </row>
    <row r="7" spans="1:60" ht="26.25" customHeight="1">
      <c r="B7" s="125" t="s">
        <v>83</v>
      </c>
      <c r="C7" s="126"/>
      <c r="D7" s="126"/>
      <c r="E7" s="126"/>
      <c r="F7" s="126"/>
      <c r="G7" s="126"/>
      <c r="H7" s="126"/>
      <c r="I7" s="126"/>
      <c r="J7" s="126"/>
      <c r="K7" s="127"/>
      <c r="BD7" s="3" t="s">
        <v>109</v>
      </c>
      <c r="BF7" s="1" t="s">
        <v>129</v>
      </c>
      <c r="BH7" s="3" t="s">
        <v>150</v>
      </c>
    </row>
    <row r="8" spans="1:60" s="3" customFormat="1" ht="78.75">
      <c r="A8" s="2"/>
      <c r="B8" s="22" t="s">
        <v>103</v>
      </c>
      <c r="C8" s="30" t="s">
        <v>39</v>
      </c>
      <c r="D8" s="30" t="s">
        <v>106</v>
      </c>
      <c r="E8" s="30" t="s">
        <v>56</v>
      </c>
      <c r="F8" s="30" t="s">
        <v>90</v>
      </c>
      <c r="G8" s="30" t="s">
        <v>220</v>
      </c>
      <c r="H8" s="30" t="s">
        <v>219</v>
      </c>
      <c r="I8" s="30" t="s">
        <v>52</v>
      </c>
      <c r="J8" s="30" t="s">
        <v>169</v>
      </c>
      <c r="K8" s="31" t="s">
        <v>171</v>
      </c>
      <c r="BC8" s="1" t="s">
        <v>122</v>
      </c>
      <c r="BD8" s="1" t="s">
        <v>123</v>
      </c>
      <c r="BE8" s="1" t="s">
        <v>130</v>
      </c>
      <c r="BG8" s="4" t="s">
        <v>152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227</v>
      </c>
      <c r="H9" s="16"/>
      <c r="I9" s="16" t="s">
        <v>223</v>
      </c>
      <c r="J9" s="32" t="s">
        <v>19</v>
      </c>
      <c r="K9" s="33" t="s">
        <v>19</v>
      </c>
      <c r="BC9" s="1" t="s">
        <v>119</v>
      </c>
      <c r="BE9" s="1" t="s">
        <v>131</v>
      </c>
      <c r="BG9" s="4" t="s">
        <v>153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115</v>
      </c>
      <c r="BD10" s="3"/>
      <c r="BE10" s="1" t="s">
        <v>175</v>
      </c>
      <c r="BG10" s="1" t="s">
        <v>159</v>
      </c>
    </row>
    <row r="11" spans="1:60" s="4" customFormat="1" ht="18" customHeight="1">
      <c r="A11" s="2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3"/>
      <c r="M11" s="3"/>
      <c r="N11" s="3"/>
      <c r="O11" s="3"/>
      <c r="BC11" s="1" t="s">
        <v>114</v>
      </c>
      <c r="BD11" s="3"/>
      <c r="BE11" s="1" t="s">
        <v>132</v>
      </c>
      <c r="BG11" s="1" t="s">
        <v>154</v>
      </c>
    </row>
    <row r="12" spans="1:60" ht="20.25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P12" s="1"/>
      <c r="BC12" s="1" t="s">
        <v>112</v>
      </c>
      <c r="BD12" s="4"/>
      <c r="BE12" s="1" t="s">
        <v>133</v>
      </c>
      <c r="BG12" s="1" t="s">
        <v>155</v>
      </c>
    </row>
    <row r="13" spans="1:60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P13" s="1"/>
      <c r="BC13" s="1" t="s">
        <v>116</v>
      </c>
      <c r="BE13" s="1" t="s">
        <v>134</v>
      </c>
      <c r="BG13" s="1" t="s">
        <v>156</v>
      </c>
    </row>
    <row r="14" spans="1:60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P14" s="1"/>
      <c r="BC14" s="1" t="s">
        <v>113</v>
      </c>
      <c r="BE14" s="1" t="s">
        <v>135</v>
      </c>
      <c r="BG14" s="1" t="s">
        <v>158</v>
      </c>
    </row>
    <row r="15" spans="1:60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P15" s="1"/>
      <c r="BC15" s="1" t="s">
        <v>124</v>
      </c>
      <c r="BE15" s="1" t="s">
        <v>176</v>
      </c>
      <c r="BG15" s="1" t="s">
        <v>160</v>
      </c>
    </row>
    <row r="16" spans="1:60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P16" s="1"/>
      <c r="BC16" s="4" t="s">
        <v>110</v>
      </c>
      <c r="BD16" s="1" t="s">
        <v>125</v>
      </c>
      <c r="BE16" s="1" t="s">
        <v>136</v>
      </c>
      <c r="BG16" s="1" t="s">
        <v>161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120</v>
      </c>
      <c r="BE17" s="1" t="s">
        <v>137</v>
      </c>
      <c r="BG17" s="1" t="s">
        <v>162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108</v>
      </c>
      <c r="BF18" s="1" t="s">
        <v>138</v>
      </c>
      <c r="BH18" s="1" t="s">
        <v>27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121</v>
      </c>
      <c r="BF19" s="1" t="s">
        <v>139</v>
      </c>
    </row>
    <row r="20" spans="2:60">
      <c r="B20" s="91"/>
      <c r="C20" s="91"/>
      <c r="D20" s="91"/>
      <c r="E20" s="91"/>
      <c r="F20" s="91"/>
      <c r="G20" s="91"/>
      <c r="H20" s="91"/>
      <c r="I20" s="91"/>
      <c r="J20" s="91"/>
      <c r="K20" s="91"/>
      <c r="BD20" s="1" t="s">
        <v>126</v>
      </c>
      <c r="BF20" s="1" t="s">
        <v>140</v>
      </c>
    </row>
    <row r="21" spans="2:60">
      <c r="B21" s="91"/>
      <c r="C21" s="91"/>
      <c r="D21" s="91"/>
      <c r="E21" s="91"/>
      <c r="F21" s="91"/>
      <c r="G21" s="91"/>
      <c r="H21" s="91"/>
      <c r="I21" s="91"/>
      <c r="J21" s="91"/>
      <c r="K21" s="91"/>
      <c r="BD21" s="1" t="s">
        <v>111</v>
      </c>
      <c r="BE21" s="1" t="s">
        <v>127</v>
      </c>
      <c r="BF21" s="1" t="s">
        <v>141</v>
      </c>
    </row>
    <row r="22" spans="2:60">
      <c r="B22" s="91"/>
      <c r="C22" s="91"/>
      <c r="D22" s="91"/>
      <c r="E22" s="91"/>
      <c r="F22" s="91"/>
      <c r="G22" s="91"/>
      <c r="H22" s="91"/>
      <c r="I22" s="91"/>
      <c r="J22" s="91"/>
      <c r="K22" s="91"/>
      <c r="BD22" s="1" t="s">
        <v>117</v>
      </c>
      <c r="BF22" s="1" t="s">
        <v>142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27</v>
      </c>
      <c r="BE23" s="1" t="s">
        <v>118</v>
      </c>
      <c r="BF23" s="1" t="s">
        <v>177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180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143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144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179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145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146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178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27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166</v>
      </c>
      <c r="C1" s="68" t="s" vm="1">
        <v>243</v>
      </c>
    </row>
    <row r="2" spans="2:81">
      <c r="B2" s="47" t="s">
        <v>165</v>
      </c>
      <c r="C2" s="68" t="s">
        <v>244</v>
      </c>
    </row>
    <row r="3" spans="2:81">
      <c r="B3" s="47" t="s">
        <v>167</v>
      </c>
      <c r="C3" s="68" t="s">
        <v>245</v>
      </c>
      <c r="E3" s="2"/>
    </row>
    <row r="4" spans="2:81">
      <c r="B4" s="47" t="s">
        <v>168</v>
      </c>
      <c r="C4" s="68">
        <v>12148</v>
      </c>
    </row>
    <row r="6" spans="2:81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81" ht="26.25" customHeight="1">
      <c r="B7" s="125" t="s">
        <v>84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81" s="3" customFormat="1" ht="47.25">
      <c r="B8" s="22" t="s">
        <v>103</v>
      </c>
      <c r="C8" s="30" t="s">
        <v>39</v>
      </c>
      <c r="D8" s="13" t="s">
        <v>43</v>
      </c>
      <c r="E8" s="30" t="s">
        <v>14</v>
      </c>
      <c r="F8" s="30" t="s">
        <v>57</v>
      </c>
      <c r="G8" s="30" t="s">
        <v>91</v>
      </c>
      <c r="H8" s="30" t="s">
        <v>17</v>
      </c>
      <c r="I8" s="30" t="s">
        <v>90</v>
      </c>
      <c r="J8" s="30" t="s">
        <v>16</v>
      </c>
      <c r="K8" s="30" t="s">
        <v>18</v>
      </c>
      <c r="L8" s="30" t="s">
        <v>220</v>
      </c>
      <c r="M8" s="30" t="s">
        <v>219</v>
      </c>
      <c r="N8" s="30" t="s">
        <v>52</v>
      </c>
      <c r="O8" s="30" t="s">
        <v>51</v>
      </c>
      <c r="P8" s="30" t="s">
        <v>169</v>
      </c>
      <c r="Q8" s="31" t="s">
        <v>171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227</v>
      </c>
      <c r="M9" s="32"/>
      <c r="N9" s="32" t="s">
        <v>223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1"/>
  <sheetViews>
    <sheetView rightToLeft="1" workbookViewId="0">
      <selection activeCell="P12" sqref="P12:P21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2.855468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166</v>
      </c>
      <c r="C1" s="68" t="s" vm="1">
        <v>243</v>
      </c>
    </row>
    <row r="2" spans="2:72">
      <c r="B2" s="47" t="s">
        <v>165</v>
      </c>
      <c r="C2" s="68" t="s">
        <v>244</v>
      </c>
    </row>
    <row r="3" spans="2:72">
      <c r="B3" s="47" t="s">
        <v>167</v>
      </c>
      <c r="C3" s="68" t="s">
        <v>245</v>
      </c>
    </row>
    <row r="4" spans="2:72">
      <c r="B4" s="47" t="s">
        <v>168</v>
      </c>
      <c r="C4" s="68">
        <v>12148</v>
      </c>
    </row>
    <row r="6" spans="2:72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72" ht="26.25" customHeight="1">
      <c r="B7" s="125" t="s">
        <v>76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72" s="3" customFormat="1" ht="78.75">
      <c r="B8" s="22" t="s">
        <v>103</v>
      </c>
      <c r="C8" s="30" t="s">
        <v>39</v>
      </c>
      <c r="D8" s="30" t="s">
        <v>14</v>
      </c>
      <c r="E8" s="30" t="s">
        <v>57</v>
      </c>
      <c r="F8" s="30" t="s">
        <v>91</v>
      </c>
      <c r="G8" s="30" t="s">
        <v>17</v>
      </c>
      <c r="H8" s="30" t="s">
        <v>90</v>
      </c>
      <c r="I8" s="30" t="s">
        <v>16</v>
      </c>
      <c r="J8" s="30" t="s">
        <v>18</v>
      </c>
      <c r="K8" s="30" t="s">
        <v>220</v>
      </c>
      <c r="L8" s="30" t="s">
        <v>219</v>
      </c>
      <c r="M8" s="30" t="s">
        <v>98</v>
      </c>
      <c r="N8" s="30" t="s">
        <v>51</v>
      </c>
      <c r="O8" s="30" t="s">
        <v>169</v>
      </c>
      <c r="P8" s="31" t="s">
        <v>171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227</v>
      </c>
      <c r="L9" s="32"/>
      <c r="M9" s="32" t="s">
        <v>223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6" t="s">
        <v>26</v>
      </c>
      <c r="C11" s="72"/>
      <c r="D11" s="72"/>
      <c r="E11" s="72"/>
      <c r="F11" s="72"/>
      <c r="G11" s="81">
        <v>10.26647480129855</v>
      </c>
      <c r="H11" s="72"/>
      <c r="I11" s="72"/>
      <c r="J11" s="94">
        <v>4.8510994092853539E-2</v>
      </c>
      <c r="K11" s="81"/>
      <c r="L11" s="83"/>
      <c r="M11" s="81">
        <v>3897.611159999999</v>
      </c>
      <c r="N11" s="72"/>
      <c r="O11" s="82">
        <v>1</v>
      </c>
      <c r="P11" s="82">
        <f>M11/'סכום נכסי הקרן'!$C$42</f>
        <v>0.61863092361039829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90" customFormat="1" ht="21.75" customHeight="1">
      <c r="B12" s="108" t="s">
        <v>217</v>
      </c>
      <c r="C12" s="105"/>
      <c r="D12" s="105"/>
      <c r="E12" s="105"/>
      <c r="F12" s="105"/>
      <c r="G12" s="106">
        <v>10.26647480129855</v>
      </c>
      <c r="H12" s="105"/>
      <c r="I12" s="105"/>
      <c r="J12" s="112">
        <v>4.8510994092853546E-2</v>
      </c>
      <c r="K12" s="106"/>
      <c r="L12" s="110"/>
      <c r="M12" s="106">
        <v>3897.611159999999</v>
      </c>
      <c r="N12" s="105"/>
      <c r="O12" s="107">
        <v>1</v>
      </c>
      <c r="P12" s="107">
        <f>M12/'סכום נכסי הקרן'!$C$42</f>
        <v>0.61863092361039829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92" t="s">
        <v>58</v>
      </c>
      <c r="C13" s="72"/>
      <c r="D13" s="72"/>
      <c r="E13" s="72"/>
      <c r="F13" s="72"/>
      <c r="G13" s="81">
        <v>10.26647480129855</v>
      </c>
      <c r="H13" s="72"/>
      <c r="I13" s="72"/>
      <c r="J13" s="94">
        <v>4.8510994092853546E-2</v>
      </c>
      <c r="K13" s="81"/>
      <c r="L13" s="83"/>
      <c r="M13" s="81">
        <v>3897.611159999999</v>
      </c>
      <c r="N13" s="72"/>
      <c r="O13" s="82">
        <v>1</v>
      </c>
      <c r="P13" s="82">
        <f>M13/'סכום נכסי הקרן'!$C$42</f>
        <v>0.61863092361039829</v>
      </c>
    </row>
    <row r="14" spans="2:72">
      <c r="B14" s="77" t="s">
        <v>1209</v>
      </c>
      <c r="C14" s="74" t="s">
        <v>1210</v>
      </c>
      <c r="D14" s="74" t="s">
        <v>248</v>
      </c>
      <c r="E14" s="74"/>
      <c r="F14" s="97">
        <v>41609</v>
      </c>
      <c r="G14" s="84">
        <v>7.08</v>
      </c>
      <c r="H14" s="87" t="s">
        <v>151</v>
      </c>
      <c r="I14" s="88">
        <v>4.8000000000000001E-2</v>
      </c>
      <c r="J14" s="88">
        <v>5.0300000000000004E-2</v>
      </c>
      <c r="K14" s="84">
        <v>8000</v>
      </c>
      <c r="L14" s="86">
        <v>101.5801</v>
      </c>
      <c r="M14" s="84">
        <v>8.0283300000000004</v>
      </c>
      <c r="N14" s="74"/>
      <c r="O14" s="85">
        <v>2.0598078336783094E-3</v>
      </c>
      <c r="P14" s="85">
        <f>M14/'סכום נכסי הקרן'!$C$42</f>
        <v>1.2742608226083462E-3</v>
      </c>
    </row>
    <row r="15" spans="2:72">
      <c r="B15" s="77" t="s">
        <v>1211</v>
      </c>
      <c r="C15" s="74" t="s">
        <v>1212</v>
      </c>
      <c r="D15" s="74" t="s">
        <v>248</v>
      </c>
      <c r="E15" s="74"/>
      <c r="F15" s="97">
        <v>43313</v>
      </c>
      <c r="G15" s="84">
        <v>9.93</v>
      </c>
      <c r="H15" s="87" t="s">
        <v>151</v>
      </c>
      <c r="I15" s="88">
        <v>4.8000000000000001E-2</v>
      </c>
      <c r="J15" s="88">
        <v>4.8599999999999997E-2</v>
      </c>
      <c r="K15" s="84">
        <v>462000</v>
      </c>
      <c r="L15" s="86">
        <v>100.77370000000001</v>
      </c>
      <c r="M15" s="84">
        <v>465.43253000000004</v>
      </c>
      <c r="N15" s="74"/>
      <c r="O15" s="85">
        <v>0.11941481869114931</v>
      </c>
      <c r="P15" s="85">
        <f>M15/'סכום נכסי הקרן'!$C$42</f>
        <v>7.3873699579673949E-2</v>
      </c>
    </row>
    <row r="16" spans="2:72">
      <c r="B16" s="77" t="s">
        <v>1213</v>
      </c>
      <c r="C16" s="74" t="s">
        <v>1214</v>
      </c>
      <c r="D16" s="74" t="s">
        <v>248</v>
      </c>
      <c r="E16" s="74"/>
      <c r="F16" s="97">
        <v>43435</v>
      </c>
      <c r="G16" s="84">
        <v>10.030000000000001</v>
      </c>
      <c r="H16" s="87" t="s">
        <v>151</v>
      </c>
      <c r="I16" s="88">
        <v>4.8000000000000001E-2</v>
      </c>
      <c r="J16" s="88">
        <v>4.8599999999999997E-2</v>
      </c>
      <c r="K16" s="84">
        <v>512000</v>
      </c>
      <c r="L16" s="86">
        <v>101.5937</v>
      </c>
      <c r="M16" s="84">
        <v>519.98567000000003</v>
      </c>
      <c r="N16" s="74"/>
      <c r="O16" s="85">
        <v>0.13341137652120233</v>
      </c>
      <c r="P16" s="85">
        <f>M16/'סכום נכסי הקרן'!$C$42</f>
        <v>8.2532403077445998E-2</v>
      </c>
    </row>
    <row r="17" spans="2:16">
      <c r="B17" s="77" t="s">
        <v>1215</v>
      </c>
      <c r="C17" s="74" t="s">
        <v>1216</v>
      </c>
      <c r="D17" s="74" t="s">
        <v>248</v>
      </c>
      <c r="E17" s="74"/>
      <c r="F17" s="97">
        <v>43525</v>
      </c>
      <c r="G17" s="84">
        <v>10.28</v>
      </c>
      <c r="H17" s="87" t="s">
        <v>151</v>
      </c>
      <c r="I17" s="88">
        <v>4.8000000000000001E-2</v>
      </c>
      <c r="J17" s="88">
        <v>4.8499999999999995E-2</v>
      </c>
      <c r="K17" s="84">
        <v>342000</v>
      </c>
      <c r="L17" s="86">
        <v>100.58839999999999</v>
      </c>
      <c r="M17" s="84">
        <v>344.15814</v>
      </c>
      <c r="N17" s="74"/>
      <c r="O17" s="85">
        <v>8.8299762565335047E-2</v>
      </c>
      <c r="P17" s="85">
        <f>M17/'סכום נכסי הקרן'!$C$42</f>
        <v>5.462496367037209E-2</v>
      </c>
    </row>
    <row r="18" spans="2:16">
      <c r="B18" s="77" t="s">
        <v>1217</v>
      </c>
      <c r="C18" s="74" t="s">
        <v>1218</v>
      </c>
      <c r="D18" s="74" t="s">
        <v>248</v>
      </c>
      <c r="E18" s="74"/>
      <c r="F18" s="97">
        <v>43586</v>
      </c>
      <c r="G18" s="84">
        <v>10.200000000000001</v>
      </c>
      <c r="H18" s="87" t="s">
        <v>151</v>
      </c>
      <c r="I18" s="88">
        <v>4.8000000000000001E-2</v>
      </c>
      <c r="J18" s="88">
        <v>4.8399999999999992E-2</v>
      </c>
      <c r="K18" s="84">
        <v>687000</v>
      </c>
      <c r="L18" s="86">
        <v>102.0145</v>
      </c>
      <c r="M18" s="84">
        <v>701.42115000000001</v>
      </c>
      <c r="N18" s="74"/>
      <c r="O18" s="85">
        <v>0.17996180768324777</v>
      </c>
      <c r="P18" s="85">
        <f>M18/'סכום נכסי הקרן'!$C$42</f>
        <v>0.11132993930168443</v>
      </c>
    </row>
    <row r="19" spans="2:16">
      <c r="B19" s="77" t="s">
        <v>1219</v>
      </c>
      <c r="C19" s="74" t="s">
        <v>1220</v>
      </c>
      <c r="D19" s="74" t="s">
        <v>248</v>
      </c>
      <c r="E19" s="74"/>
      <c r="F19" s="97">
        <v>43678</v>
      </c>
      <c r="G19" s="84">
        <v>10.450000000000001</v>
      </c>
      <c r="H19" s="87" t="s">
        <v>151</v>
      </c>
      <c r="I19" s="88">
        <v>4.8000000000000001E-2</v>
      </c>
      <c r="J19" s="88">
        <v>4.8500000000000008E-2</v>
      </c>
      <c r="K19" s="84">
        <v>1401000</v>
      </c>
      <c r="L19" s="86">
        <v>100.79389999999999</v>
      </c>
      <c r="M19" s="84">
        <v>1412.1216499999998</v>
      </c>
      <c r="N19" s="74"/>
      <c r="O19" s="85">
        <v>0.36230439416126881</v>
      </c>
      <c r="P19" s="85">
        <f>M19/'סכום נכסי הקרן'!$C$42</f>
        <v>0.22413270198809152</v>
      </c>
    </row>
    <row r="20" spans="2:16">
      <c r="B20" s="77" t="s">
        <v>1221</v>
      </c>
      <c r="C20" s="74" t="s">
        <v>1222</v>
      </c>
      <c r="D20" s="74" t="s">
        <v>248</v>
      </c>
      <c r="E20" s="74"/>
      <c r="F20" s="97">
        <v>43770</v>
      </c>
      <c r="G20" s="84">
        <v>10.450000000000001</v>
      </c>
      <c r="H20" s="87" t="s">
        <v>151</v>
      </c>
      <c r="I20" s="88">
        <v>4.8000000000000001E-2</v>
      </c>
      <c r="J20" s="88">
        <v>4.8500000000000008E-2</v>
      </c>
      <c r="K20" s="84">
        <v>415000</v>
      </c>
      <c r="L20" s="86">
        <v>101.9962</v>
      </c>
      <c r="M20" s="84">
        <v>423.28415999999999</v>
      </c>
      <c r="N20" s="74"/>
      <c r="O20" s="85">
        <v>0.10860092057002425</v>
      </c>
      <c r="P20" s="85">
        <f>M20/'סכום נכסי הקרן'!$C$42</f>
        <v>6.7183887797173603E-2</v>
      </c>
    </row>
    <row r="21" spans="2:16">
      <c r="B21" s="77" t="s">
        <v>1223</v>
      </c>
      <c r="C21" s="74" t="s">
        <v>1224</v>
      </c>
      <c r="D21" s="74" t="s">
        <v>248</v>
      </c>
      <c r="E21" s="74"/>
      <c r="F21" s="97">
        <v>43863</v>
      </c>
      <c r="G21" s="84">
        <v>10.71</v>
      </c>
      <c r="H21" s="87" t="s">
        <v>151</v>
      </c>
      <c r="I21" s="88">
        <v>4.8000000000000001E-2</v>
      </c>
      <c r="J21" s="88">
        <v>4.8499999999999995E-2</v>
      </c>
      <c r="K21" s="84">
        <v>23000</v>
      </c>
      <c r="L21" s="86">
        <v>100.77809999999999</v>
      </c>
      <c r="M21" s="84">
        <v>23.17953</v>
      </c>
      <c r="N21" s="74"/>
      <c r="O21" s="85">
        <v>5.9471119740944108E-3</v>
      </c>
      <c r="P21" s="85">
        <f>M21/'סכום נכסי הקרן'!$C$42</f>
        <v>3.6790673733484843E-3</v>
      </c>
    </row>
    <row r="22" spans="2:16">
      <c r="B22" s="73"/>
      <c r="C22" s="74"/>
      <c r="D22" s="74"/>
      <c r="E22" s="74"/>
      <c r="F22" s="74"/>
      <c r="G22" s="74"/>
      <c r="H22" s="74"/>
      <c r="I22" s="74"/>
      <c r="J22" s="74"/>
      <c r="K22" s="84"/>
      <c r="L22" s="86"/>
      <c r="M22" s="74"/>
      <c r="N22" s="74"/>
      <c r="O22" s="85"/>
      <c r="P22" s="74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89" t="s">
        <v>99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89" t="s">
        <v>218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89" t="s">
        <v>226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166</v>
      </c>
      <c r="C1" s="68" t="s" vm="1">
        <v>243</v>
      </c>
    </row>
    <row r="2" spans="2:65">
      <c r="B2" s="47" t="s">
        <v>165</v>
      </c>
      <c r="C2" s="68" t="s">
        <v>244</v>
      </c>
    </row>
    <row r="3" spans="2:65">
      <c r="B3" s="47" t="s">
        <v>167</v>
      </c>
      <c r="C3" s="68" t="s">
        <v>245</v>
      </c>
    </row>
    <row r="4" spans="2:65">
      <c r="B4" s="47" t="s">
        <v>168</v>
      </c>
      <c r="C4" s="68">
        <v>12148</v>
      </c>
    </row>
    <row r="6" spans="2:65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65" ht="26.25" customHeight="1">
      <c r="B7" s="125" t="s">
        <v>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65" s="3" customFormat="1" ht="78.75">
      <c r="B8" s="22" t="s">
        <v>103</v>
      </c>
      <c r="C8" s="30" t="s">
        <v>39</v>
      </c>
      <c r="D8" s="30" t="s">
        <v>105</v>
      </c>
      <c r="E8" s="30" t="s">
        <v>104</v>
      </c>
      <c r="F8" s="30" t="s">
        <v>56</v>
      </c>
      <c r="G8" s="30" t="s">
        <v>14</v>
      </c>
      <c r="H8" s="30" t="s">
        <v>57</v>
      </c>
      <c r="I8" s="30" t="s">
        <v>91</v>
      </c>
      <c r="J8" s="30" t="s">
        <v>17</v>
      </c>
      <c r="K8" s="30" t="s">
        <v>90</v>
      </c>
      <c r="L8" s="30" t="s">
        <v>16</v>
      </c>
      <c r="M8" s="59" t="s">
        <v>18</v>
      </c>
      <c r="N8" s="30" t="s">
        <v>220</v>
      </c>
      <c r="O8" s="30" t="s">
        <v>219</v>
      </c>
      <c r="P8" s="30" t="s">
        <v>98</v>
      </c>
      <c r="Q8" s="30" t="s">
        <v>51</v>
      </c>
      <c r="R8" s="30" t="s">
        <v>169</v>
      </c>
      <c r="S8" s="31" t="s">
        <v>171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227</v>
      </c>
      <c r="O9" s="32"/>
      <c r="P9" s="32" t="s">
        <v>223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100</v>
      </c>
      <c r="R10" s="19" t="s">
        <v>101</v>
      </c>
      <c r="S10" s="20" t="s">
        <v>172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166</v>
      </c>
      <c r="C1" s="68" t="s" vm="1">
        <v>243</v>
      </c>
    </row>
    <row r="2" spans="2:81">
      <c r="B2" s="47" t="s">
        <v>165</v>
      </c>
      <c r="C2" s="68" t="s">
        <v>244</v>
      </c>
    </row>
    <row r="3" spans="2:81">
      <c r="B3" s="47" t="s">
        <v>167</v>
      </c>
      <c r="C3" s="68" t="s">
        <v>245</v>
      </c>
    </row>
    <row r="4" spans="2:81">
      <c r="B4" s="47" t="s">
        <v>168</v>
      </c>
      <c r="C4" s="68">
        <v>12148</v>
      </c>
    </row>
    <row r="6" spans="2:81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81" ht="26.25" customHeight="1">
      <c r="B7" s="125" t="s">
        <v>78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81" s="3" customFormat="1" ht="78.75">
      <c r="B8" s="22" t="s">
        <v>103</v>
      </c>
      <c r="C8" s="30" t="s">
        <v>39</v>
      </c>
      <c r="D8" s="30" t="s">
        <v>105</v>
      </c>
      <c r="E8" s="30" t="s">
        <v>104</v>
      </c>
      <c r="F8" s="30" t="s">
        <v>56</v>
      </c>
      <c r="G8" s="30" t="s">
        <v>14</v>
      </c>
      <c r="H8" s="30" t="s">
        <v>57</v>
      </c>
      <c r="I8" s="30" t="s">
        <v>91</v>
      </c>
      <c r="J8" s="30" t="s">
        <v>17</v>
      </c>
      <c r="K8" s="30" t="s">
        <v>90</v>
      </c>
      <c r="L8" s="30" t="s">
        <v>16</v>
      </c>
      <c r="M8" s="59" t="s">
        <v>18</v>
      </c>
      <c r="N8" s="59" t="s">
        <v>220</v>
      </c>
      <c r="O8" s="30" t="s">
        <v>219</v>
      </c>
      <c r="P8" s="30" t="s">
        <v>98</v>
      </c>
      <c r="Q8" s="30" t="s">
        <v>51</v>
      </c>
      <c r="R8" s="30" t="s">
        <v>169</v>
      </c>
      <c r="S8" s="31" t="s">
        <v>171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227</v>
      </c>
      <c r="O9" s="32"/>
      <c r="P9" s="32" t="s">
        <v>223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100</v>
      </c>
      <c r="R10" s="19" t="s">
        <v>101</v>
      </c>
      <c r="S10" s="20" t="s">
        <v>172</v>
      </c>
      <c r="T10" s="5"/>
      <c r="BZ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Z11" s="1"/>
      <c r="CC11" s="1"/>
    </row>
    <row r="12" spans="2:81" ht="17.25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81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81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81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166</v>
      </c>
      <c r="C1" s="68" t="s" vm="1">
        <v>243</v>
      </c>
    </row>
    <row r="2" spans="2:98">
      <c r="B2" s="47" t="s">
        <v>165</v>
      </c>
      <c r="C2" s="68" t="s">
        <v>244</v>
      </c>
    </row>
    <row r="3" spans="2:98">
      <c r="B3" s="47" t="s">
        <v>167</v>
      </c>
      <c r="C3" s="68" t="s">
        <v>245</v>
      </c>
    </row>
    <row r="4" spans="2:98">
      <c r="B4" s="47" t="s">
        <v>168</v>
      </c>
      <c r="C4" s="68">
        <v>12148</v>
      </c>
    </row>
    <row r="6" spans="2:98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98" ht="26.25" customHeight="1">
      <c r="B7" s="125" t="s">
        <v>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98" s="3" customFormat="1" ht="78.75">
      <c r="B8" s="22" t="s">
        <v>103</v>
      </c>
      <c r="C8" s="30" t="s">
        <v>39</v>
      </c>
      <c r="D8" s="30" t="s">
        <v>105</v>
      </c>
      <c r="E8" s="30" t="s">
        <v>104</v>
      </c>
      <c r="F8" s="30" t="s">
        <v>56</v>
      </c>
      <c r="G8" s="30" t="s">
        <v>90</v>
      </c>
      <c r="H8" s="30" t="s">
        <v>220</v>
      </c>
      <c r="I8" s="30" t="s">
        <v>219</v>
      </c>
      <c r="J8" s="30" t="s">
        <v>98</v>
      </c>
      <c r="K8" s="30" t="s">
        <v>51</v>
      </c>
      <c r="L8" s="30" t="s">
        <v>169</v>
      </c>
      <c r="M8" s="31" t="s">
        <v>171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227</v>
      </c>
      <c r="I9" s="32"/>
      <c r="J9" s="32" t="s">
        <v>223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166</v>
      </c>
      <c r="C1" s="68" t="s" vm="1">
        <v>243</v>
      </c>
    </row>
    <row r="2" spans="2:55">
      <c r="B2" s="47" t="s">
        <v>165</v>
      </c>
      <c r="C2" s="68" t="s">
        <v>244</v>
      </c>
    </row>
    <row r="3" spans="2:55">
      <c r="B3" s="47" t="s">
        <v>167</v>
      </c>
      <c r="C3" s="68" t="s">
        <v>245</v>
      </c>
    </row>
    <row r="4" spans="2:55">
      <c r="B4" s="47" t="s">
        <v>168</v>
      </c>
      <c r="C4" s="68">
        <v>12148</v>
      </c>
    </row>
    <row r="6" spans="2:55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5" ht="26.25" customHeight="1">
      <c r="B7" s="125" t="s">
        <v>85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5" s="3" customFormat="1" ht="78.75">
      <c r="B8" s="22" t="s">
        <v>103</v>
      </c>
      <c r="C8" s="30" t="s">
        <v>39</v>
      </c>
      <c r="D8" s="30" t="s">
        <v>90</v>
      </c>
      <c r="E8" s="30" t="s">
        <v>91</v>
      </c>
      <c r="F8" s="30" t="s">
        <v>220</v>
      </c>
      <c r="G8" s="30" t="s">
        <v>219</v>
      </c>
      <c r="H8" s="30" t="s">
        <v>98</v>
      </c>
      <c r="I8" s="30" t="s">
        <v>51</v>
      </c>
      <c r="J8" s="30" t="s">
        <v>169</v>
      </c>
      <c r="K8" s="31" t="s">
        <v>171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227</v>
      </c>
      <c r="G9" s="32"/>
      <c r="H9" s="32" t="s">
        <v>223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99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218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226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166</v>
      </c>
      <c r="C1" s="68" t="s" vm="1">
        <v>243</v>
      </c>
    </row>
    <row r="2" spans="2:59">
      <c r="B2" s="47" t="s">
        <v>165</v>
      </c>
      <c r="C2" s="68" t="s">
        <v>244</v>
      </c>
    </row>
    <row r="3" spans="2:59">
      <c r="B3" s="47" t="s">
        <v>167</v>
      </c>
      <c r="C3" s="68" t="s">
        <v>245</v>
      </c>
    </row>
    <row r="4" spans="2:59">
      <c r="B4" s="47" t="s">
        <v>168</v>
      </c>
      <c r="C4" s="68">
        <v>12148</v>
      </c>
    </row>
    <row r="6" spans="2:59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9" ht="26.25" customHeight="1">
      <c r="B7" s="125" t="s">
        <v>86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9" s="3" customFormat="1" ht="78.75">
      <c r="B8" s="22" t="s">
        <v>103</v>
      </c>
      <c r="C8" s="30" t="s">
        <v>39</v>
      </c>
      <c r="D8" s="30" t="s">
        <v>56</v>
      </c>
      <c r="E8" s="30" t="s">
        <v>90</v>
      </c>
      <c r="F8" s="30" t="s">
        <v>91</v>
      </c>
      <c r="G8" s="30" t="s">
        <v>220</v>
      </c>
      <c r="H8" s="30" t="s">
        <v>219</v>
      </c>
      <c r="I8" s="30" t="s">
        <v>98</v>
      </c>
      <c r="J8" s="30" t="s">
        <v>51</v>
      </c>
      <c r="K8" s="30" t="s">
        <v>169</v>
      </c>
      <c r="L8" s="31" t="s">
        <v>171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227</v>
      </c>
      <c r="H9" s="16"/>
      <c r="I9" s="16" t="s">
        <v>223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"/>
      <c r="N11" s="1"/>
      <c r="O11" s="1"/>
      <c r="P11" s="1"/>
      <c r="BG11" s="1"/>
    </row>
    <row r="12" spans="2:59" ht="21" customHeight="1">
      <c r="B12" s="98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9">
      <c r="B13" s="98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9">
      <c r="B14" s="98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166</v>
      </c>
      <c r="C1" s="68" t="s" vm="1">
        <v>243</v>
      </c>
    </row>
    <row r="2" spans="2:54">
      <c r="B2" s="47" t="s">
        <v>165</v>
      </c>
      <c r="C2" s="68" t="s">
        <v>244</v>
      </c>
    </row>
    <row r="3" spans="2:54">
      <c r="B3" s="47" t="s">
        <v>167</v>
      </c>
      <c r="C3" s="68" t="s">
        <v>245</v>
      </c>
    </row>
    <row r="4" spans="2:54">
      <c r="B4" s="47" t="s">
        <v>168</v>
      </c>
      <c r="C4" s="68">
        <v>12148</v>
      </c>
    </row>
    <row r="6" spans="2:54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4" ht="26.25" customHeight="1">
      <c r="B7" s="125" t="s">
        <v>87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4" s="3" customFormat="1" ht="78.75">
      <c r="B8" s="22" t="s">
        <v>103</v>
      </c>
      <c r="C8" s="30" t="s">
        <v>39</v>
      </c>
      <c r="D8" s="30" t="s">
        <v>56</v>
      </c>
      <c r="E8" s="30" t="s">
        <v>90</v>
      </c>
      <c r="F8" s="30" t="s">
        <v>91</v>
      </c>
      <c r="G8" s="30" t="s">
        <v>220</v>
      </c>
      <c r="H8" s="30" t="s">
        <v>219</v>
      </c>
      <c r="I8" s="30" t="s">
        <v>98</v>
      </c>
      <c r="J8" s="30" t="s">
        <v>51</v>
      </c>
      <c r="K8" s="30" t="s">
        <v>169</v>
      </c>
      <c r="L8" s="31" t="s">
        <v>171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227</v>
      </c>
      <c r="H9" s="16"/>
      <c r="I9" s="16" t="s">
        <v>223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workbookViewId="0">
      <selection activeCell="O21" sqref="O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.8554687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2.855468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47" t="s">
        <v>166</v>
      </c>
      <c r="C1" s="68" t="s" vm="1">
        <v>243</v>
      </c>
    </row>
    <row r="2" spans="2:14">
      <c r="B2" s="47" t="s">
        <v>165</v>
      </c>
      <c r="C2" s="68" t="s">
        <v>244</v>
      </c>
    </row>
    <row r="3" spans="2:14">
      <c r="B3" s="47" t="s">
        <v>167</v>
      </c>
      <c r="C3" s="68" t="s">
        <v>245</v>
      </c>
    </row>
    <row r="4" spans="2:14">
      <c r="B4" s="47" t="s">
        <v>168</v>
      </c>
      <c r="C4" s="68">
        <v>12148</v>
      </c>
    </row>
    <row r="6" spans="2:14" ht="26.25" customHeight="1">
      <c r="B6" s="125" t="s">
        <v>195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4" s="3" customFormat="1" ht="63">
      <c r="B7" s="67" t="s">
        <v>102</v>
      </c>
      <c r="C7" s="50" t="s">
        <v>39</v>
      </c>
      <c r="D7" s="50" t="s">
        <v>104</v>
      </c>
      <c r="E7" s="50" t="s">
        <v>14</v>
      </c>
      <c r="F7" s="50" t="s">
        <v>57</v>
      </c>
      <c r="G7" s="50" t="s">
        <v>90</v>
      </c>
      <c r="H7" s="50" t="s">
        <v>16</v>
      </c>
      <c r="I7" s="50" t="s">
        <v>18</v>
      </c>
      <c r="J7" s="50" t="s">
        <v>52</v>
      </c>
      <c r="K7" s="50" t="s">
        <v>169</v>
      </c>
      <c r="L7" s="52" t="s">
        <v>170</v>
      </c>
      <c r="M7" s="1"/>
    </row>
    <row r="8" spans="2:14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223</v>
      </c>
      <c r="K8" s="16" t="s">
        <v>19</v>
      </c>
      <c r="L8" s="17" t="s">
        <v>19</v>
      </c>
    </row>
    <row r="9" spans="2:1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4" s="4" customFormat="1" ht="18" customHeight="1">
      <c r="B10" s="104" t="s">
        <v>38</v>
      </c>
      <c r="C10" s="105"/>
      <c r="D10" s="105"/>
      <c r="E10" s="105"/>
      <c r="F10" s="105"/>
      <c r="G10" s="105"/>
      <c r="H10" s="105"/>
      <c r="I10" s="105"/>
      <c r="J10" s="106">
        <f>J11</f>
        <v>115.07708274300001</v>
      </c>
      <c r="K10" s="107">
        <f>J10/$J$10</f>
        <v>1</v>
      </c>
      <c r="L10" s="107">
        <f>J10/'סכום נכסי הקרן'!$C$42</f>
        <v>1.8265095993745137E-2</v>
      </c>
      <c r="N10" s="121"/>
    </row>
    <row r="11" spans="2:14" s="90" customFormat="1">
      <c r="B11" s="108" t="s">
        <v>217</v>
      </c>
      <c r="C11" s="105"/>
      <c r="D11" s="105"/>
      <c r="E11" s="105"/>
      <c r="F11" s="105"/>
      <c r="G11" s="105"/>
      <c r="H11" s="105"/>
      <c r="I11" s="105"/>
      <c r="J11" s="106">
        <f>J12+J18</f>
        <v>115.07708274300001</v>
      </c>
      <c r="K11" s="107">
        <f t="shared" ref="K11:K16" si="0">J11/$J$10</f>
        <v>1</v>
      </c>
      <c r="L11" s="107">
        <f>J11/'סכום נכסי הקרן'!$C$42</f>
        <v>1.8265095993745137E-2</v>
      </c>
      <c r="N11" s="121"/>
    </row>
    <row r="12" spans="2:14">
      <c r="B12" s="92" t="s">
        <v>36</v>
      </c>
      <c r="C12" s="72"/>
      <c r="D12" s="72"/>
      <c r="E12" s="72"/>
      <c r="F12" s="72"/>
      <c r="G12" s="72"/>
      <c r="H12" s="72"/>
      <c r="I12" s="72"/>
      <c r="J12" s="81">
        <f>SUM(J13:J16)</f>
        <v>91.086932712999996</v>
      </c>
      <c r="K12" s="82">
        <f t="shared" si="0"/>
        <v>0.7915297341732509</v>
      </c>
      <c r="L12" s="82">
        <f>J12/'סכום נכסי הקרן'!$C$42</f>
        <v>1.4457366576577998E-2</v>
      </c>
      <c r="N12" s="121"/>
    </row>
    <row r="13" spans="2:14">
      <c r="B13" s="77" t="s">
        <v>1312</v>
      </c>
      <c r="C13" s="74" t="s">
        <v>1313</v>
      </c>
      <c r="D13" s="74">
        <v>11</v>
      </c>
      <c r="E13" s="74" t="s">
        <v>328</v>
      </c>
      <c r="F13" s="74" t="s">
        <v>329</v>
      </c>
      <c r="G13" s="87" t="s">
        <v>151</v>
      </c>
      <c r="H13" s="88">
        <v>0</v>
      </c>
      <c r="I13" s="88">
        <v>0</v>
      </c>
      <c r="J13" s="84">
        <v>0.43838121999999996</v>
      </c>
      <c r="K13" s="85">
        <f t="shared" si="0"/>
        <v>3.8094571877445873E-3</v>
      </c>
      <c r="L13" s="85">
        <f>J13/'סכום נכסי הקרן'!$C$42</f>
        <v>6.9580101218217274E-5</v>
      </c>
      <c r="N13" s="121"/>
    </row>
    <row r="14" spans="2:14">
      <c r="B14" s="77" t="s">
        <v>1314</v>
      </c>
      <c r="C14" s="74" t="s">
        <v>1315</v>
      </c>
      <c r="D14" s="74">
        <v>12</v>
      </c>
      <c r="E14" s="74" t="s">
        <v>328</v>
      </c>
      <c r="F14" s="74" t="s">
        <v>329</v>
      </c>
      <c r="G14" s="87" t="s">
        <v>151</v>
      </c>
      <c r="H14" s="88">
        <v>0</v>
      </c>
      <c r="I14" s="88">
        <v>0</v>
      </c>
      <c r="J14" s="84">
        <v>9.8767175100000006</v>
      </c>
      <c r="K14" s="85">
        <f t="shared" si="0"/>
        <v>8.5826971579193848E-2</v>
      </c>
      <c r="L14" s="85">
        <f>J14/'סכום נכסי הקרן'!$C$42</f>
        <v>1.5676378747464114E-3</v>
      </c>
      <c r="N14" s="121"/>
    </row>
    <row r="15" spans="2:14">
      <c r="B15" s="77" t="s">
        <v>1316</v>
      </c>
      <c r="C15" s="74" t="s">
        <v>1317</v>
      </c>
      <c r="D15" s="74">
        <v>10</v>
      </c>
      <c r="E15" s="74" t="s">
        <v>328</v>
      </c>
      <c r="F15" s="74" t="s">
        <v>329</v>
      </c>
      <c r="G15" s="87" t="s">
        <v>151</v>
      </c>
      <c r="H15" s="88">
        <v>0</v>
      </c>
      <c r="I15" s="88">
        <v>0</v>
      </c>
      <c r="J15" s="84">
        <v>74.714299999999994</v>
      </c>
      <c r="K15" s="85">
        <f t="shared" si="0"/>
        <v>0.64925437992600465</v>
      </c>
      <c r="L15" s="85">
        <f>J15/'סכום נכסי הקרן'!$C$42</f>
        <v>1.1858693573707949E-2</v>
      </c>
      <c r="N15" s="121"/>
    </row>
    <row r="16" spans="2:14">
      <c r="B16" s="77" t="s">
        <v>1318</v>
      </c>
      <c r="C16" s="74" t="s">
        <v>1319</v>
      </c>
      <c r="D16" s="74">
        <v>20</v>
      </c>
      <c r="E16" s="74" t="s">
        <v>328</v>
      </c>
      <c r="F16" s="74" t="s">
        <v>329</v>
      </c>
      <c r="G16" s="87" t="s">
        <v>151</v>
      </c>
      <c r="H16" s="88">
        <v>0</v>
      </c>
      <c r="I16" s="88">
        <v>0</v>
      </c>
      <c r="J16" s="84">
        <v>6.0575339829999981</v>
      </c>
      <c r="K16" s="85">
        <f t="shared" si="0"/>
        <v>5.2638925480307852E-2</v>
      </c>
      <c r="L16" s="85">
        <f>J16/'סכום נכסי הקרן'!$C$42</f>
        <v>9.6145502690541979E-4</v>
      </c>
      <c r="N16" s="121"/>
    </row>
    <row r="17" spans="2:14">
      <c r="B17" s="73"/>
      <c r="C17" s="74"/>
      <c r="D17" s="74"/>
      <c r="E17" s="74"/>
      <c r="F17" s="74"/>
      <c r="G17" s="74"/>
      <c r="H17" s="74"/>
      <c r="I17" s="74"/>
      <c r="J17" s="74"/>
      <c r="K17" s="85"/>
      <c r="L17" s="74"/>
      <c r="N17" s="121"/>
    </row>
    <row r="18" spans="2:14">
      <c r="B18" s="92" t="s">
        <v>37</v>
      </c>
      <c r="C18" s="72"/>
      <c r="D18" s="72"/>
      <c r="E18" s="72"/>
      <c r="F18" s="72"/>
      <c r="G18" s="72"/>
      <c r="H18" s="72"/>
      <c r="I18" s="72"/>
      <c r="J18" s="81">
        <f>SUM(J19:J25)</f>
        <v>23.990150030000002</v>
      </c>
      <c r="K18" s="82">
        <f t="shared" ref="K18:K25" si="1">J18/$J$10</f>
        <v>0.20847026582674902</v>
      </c>
      <c r="L18" s="82">
        <f>J18/'סכום נכסי הקרן'!$C$42</f>
        <v>3.8077294171671369E-3</v>
      </c>
      <c r="N18" s="121"/>
    </row>
    <row r="19" spans="2:14">
      <c r="B19" s="77" t="s">
        <v>1314</v>
      </c>
      <c r="C19" s="74" t="s">
        <v>1320</v>
      </c>
      <c r="D19" s="74">
        <v>12</v>
      </c>
      <c r="E19" s="74" t="s">
        <v>328</v>
      </c>
      <c r="F19" s="74" t="s">
        <v>329</v>
      </c>
      <c r="G19" s="87" t="s">
        <v>152</v>
      </c>
      <c r="H19" s="88">
        <v>0</v>
      </c>
      <c r="I19" s="88">
        <v>0</v>
      </c>
      <c r="J19" s="84">
        <v>5.2659395999999997E-2</v>
      </c>
      <c r="K19" s="85">
        <f t="shared" si="1"/>
        <v>4.5760106829961507E-4</v>
      </c>
      <c r="L19" s="85">
        <f>J19/'סכום נכסי הקרן'!$C$42</f>
        <v>8.3581274393327939E-6</v>
      </c>
      <c r="N19" s="121"/>
    </row>
    <row r="20" spans="2:14">
      <c r="B20" s="77" t="s">
        <v>1314</v>
      </c>
      <c r="C20" s="74" t="s">
        <v>1321</v>
      </c>
      <c r="D20" s="74">
        <v>12</v>
      </c>
      <c r="E20" s="74" t="s">
        <v>328</v>
      </c>
      <c r="F20" s="74" t="s">
        <v>329</v>
      </c>
      <c r="G20" s="87" t="s">
        <v>150</v>
      </c>
      <c r="H20" s="88">
        <v>0</v>
      </c>
      <c r="I20" s="88">
        <v>0</v>
      </c>
      <c r="J20" s="84">
        <v>1.3773099999999999E-4</v>
      </c>
      <c r="K20" s="85">
        <f t="shared" si="1"/>
        <v>1.1968586335090944E-6</v>
      </c>
      <c r="L20" s="85">
        <f>J20/'סכום נכסי הקרן'!$C$42</f>
        <v>2.1860737831986239E-8</v>
      </c>
      <c r="N20" s="121"/>
    </row>
    <row r="21" spans="2:14">
      <c r="B21" s="77" t="s">
        <v>1316</v>
      </c>
      <c r="C21" s="74" t="s">
        <v>1322</v>
      </c>
      <c r="D21" s="74">
        <v>10</v>
      </c>
      <c r="E21" s="74" t="s">
        <v>328</v>
      </c>
      <c r="F21" s="74" t="s">
        <v>329</v>
      </c>
      <c r="G21" s="87" t="s">
        <v>153</v>
      </c>
      <c r="H21" s="88">
        <v>0</v>
      </c>
      <c r="I21" s="88">
        <v>0</v>
      </c>
      <c r="J21" s="84">
        <v>0.27429877900000005</v>
      </c>
      <c r="K21" s="85">
        <f t="shared" si="1"/>
        <v>2.3836090771660206E-3</v>
      </c>
      <c r="L21" s="85">
        <f>J21/'סכום נכסי הקרן'!$C$42</f>
        <v>4.353684860599963E-5</v>
      </c>
      <c r="N21" s="121"/>
    </row>
    <row r="22" spans="2:14">
      <c r="B22" s="77" t="s">
        <v>1316</v>
      </c>
      <c r="C22" s="74" t="s">
        <v>1323</v>
      </c>
      <c r="D22" s="74">
        <v>10</v>
      </c>
      <c r="E22" s="74" t="s">
        <v>328</v>
      </c>
      <c r="F22" s="74" t="s">
        <v>329</v>
      </c>
      <c r="G22" s="87" t="s">
        <v>150</v>
      </c>
      <c r="H22" s="88">
        <v>0</v>
      </c>
      <c r="I22" s="88">
        <v>0</v>
      </c>
      <c r="J22" s="84">
        <v>24.237038966</v>
      </c>
      <c r="K22" s="85">
        <f t="shared" si="1"/>
        <v>0.21061568809602368</v>
      </c>
      <c r="L22" s="85">
        <f>J22/'סכום נכסי הקרן'!$C$42</f>
        <v>3.8469157608625577E-3</v>
      </c>
      <c r="N22" s="121"/>
    </row>
    <row r="23" spans="2:14">
      <c r="B23" s="77" t="s">
        <v>1316</v>
      </c>
      <c r="C23" s="74" t="s">
        <v>1324</v>
      </c>
      <c r="D23" s="74">
        <v>10</v>
      </c>
      <c r="E23" s="74" t="s">
        <v>328</v>
      </c>
      <c r="F23" s="74" t="s">
        <v>329</v>
      </c>
      <c r="G23" s="87" t="s">
        <v>152</v>
      </c>
      <c r="H23" s="88">
        <v>0</v>
      </c>
      <c r="I23" s="88">
        <v>0</v>
      </c>
      <c r="J23" s="84">
        <v>-0.77694459800000015</v>
      </c>
      <c r="K23" s="85">
        <f t="shared" si="1"/>
        <v>-6.7515145455602082E-3</v>
      </c>
      <c r="L23" s="85">
        <f>J23/'סכום נכסי הקרן'!$C$42</f>
        <v>-1.2331706127782378E-4</v>
      </c>
      <c r="N23" s="121"/>
    </row>
    <row r="24" spans="2:14">
      <c r="B24" s="77" t="s">
        <v>1318</v>
      </c>
      <c r="C24" s="74" t="s">
        <v>1325</v>
      </c>
      <c r="D24" s="74">
        <v>20</v>
      </c>
      <c r="E24" s="74" t="s">
        <v>328</v>
      </c>
      <c r="F24" s="74" t="s">
        <v>329</v>
      </c>
      <c r="G24" s="87" t="s">
        <v>152</v>
      </c>
      <c r="H24" s="88">
        <v>0</v>
      </c>
      <c r="I24" s="88">
        <v>0</v>
      </c>
      <c r="J24" s="84">
        <v>2.8609870999999999E-2</v>
      </c>
      <c r="K24" s="85">
        <f t="shared" si="1"/>
        <v>2.4861484422484024E-4</v>
      </c>
      <c r="L24" s="85">
        <f>J24/'סכום נכסי הקרן'!$C$42</f>
        <v>4.5409739952367008E-6</v>
      </c>
      <c r="N24" s="121"/>
    </row>
    <row r="25" spans="2:14">
      <c r="B25" s="77" t="s">
        <v>1318</v>
      </c>
      <c r="C25" s="74" t="s">
        <v>1326</v>
      </c>
      <c r="D25" s="74">
        <v>20</v>
      </c>
      <c r="E25" s="74" t="s">
        <v>328</v>
      </c>
      <c r="F25" s="74" t="s">
        <v>329</v>
      </c>
      <c r="G25" s="87" t="s">
        <v>150</v>
      </c>
      <c r="H25" s="88">
        <v>0</v>
      </c>
      <c r="I25" s="88">
        <v>0</v>
      </c>
      <c r="J25" s="84">
        <v>0.17434988500000001</v>
      </c>
      <c r="K25" s="85">
        <f t="shared" si="1"/>
        <v>1.5150704279615179E-3</v>
      </c>
      <c r="L25" s="85">
        <f>J25/'סכום נכסי הקרן'!$C$42</f>
        <v>2.7672906804001648E-5</v>
      </c>
      <c r="N25" s="121"/>
    </row>
    <row r="26" spans="2:14">
      <c r="B26" s="73"/>
      <c r="C26" s="74"/>
      <c r="D26" s="74"/>
      <c r="E26" s="74"/>
      <c r="F26" s="74"/>
      <c r="G26" s="74"/>
      <c r="H26" s="74"/>
      <c r="I26" s="74"/>
      <c r="J26" s="74"/>
      <c r="K26" s="85"/>
      <c r="L26" s="74"/>
      <c r="N26" s="121"/>
    </row>
    <row r="27" spans="2:1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4">
      <c r="B29" s="89" t="s">
        <v>236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4">
      <c r="B30" s="98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9" workbookViewId="0">
      <selection activeCell="L24" sqref="L24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2.855468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166</v>
      </c>
      <c r="C1" s="68" t="s" vm="1">
        <v>243</v>
      </c>
    </row>
    <row r="2" spans="2:51">
      <c r="B2" s="47" t="s">
        <v>165</v>
      </c>
      <c r="C2" s="68" t="s">
        <v>244</v>
      </c>
    </row>
    <row r="3" spans="2:51">
      <c r="B3" s="47" t="s">
        <v>167</v>
      </c>
      <c r="C3" s="68" t="s">
        <v>245</v>
      </c>
    </row>
    <row r="4" spans="2:51">
      <c r="B4" s="47" t="s">
        <v>168</v>
      </c>
      <c r="C4" s="68">
        <v>12148</v>
      </c>
    </row>
    <row r="6" spans="2:51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1" ht="26.25" customHeight="1">
      <c r="B7" s="125" t="s">
        <v>88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1" s="3" customFormat="1" ht="63">
      <c r="B8" s="22" t="s">
        <v>103</v>
      </c>
      <c r="C8" s="30" t="s">
        <v>39</v>
      </c>
      <c r="D8" s="30" t="s">
        <v>56</v>
      </c>
      <c r="E8" s="30" t="s">
        <v>90</v>
      </c>
      <c r="F8" s="30" t="s">
        <v>91</v>
      </c>
      <c r="G8" s="30" t="s">
        <v>220</v>
      </c>
      <c r="H8" s="30" t="s">
        <v>219</v>
      </c>
      <c r="I8" s="30" t="s">
        <v>98</v>
      </c>
      <c r="J8" s="30" t="s">
        <v>169</v>
      </c>
      <c r="K8" s="31" t="s">
        <v>171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227</v>
      </c>
      <c r="H9" s="16"/>
      <c r="I9" s="16" t="s">
        <v>223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42</v>
      </c>
      <c r="C11" s="70"/>
      <c r="D11" s="70"/>
      <c r="E11" s="70"/>
      <c r="F11" s="70"/>
      <c r="G11" s="78"/>
      <c r="H11" s="80"/>
      <c r="I11" s="78">
        <v>-4.1884569029999987</v>
      </c>
      <c r="J11" s="79">
        <v>1</v>
      </c>
      <c r="K11" s="79">
        <f>I11/'סכום נכסי הקרן'!$C$42</f>
        <v>-6.6479411517418737E-4</v>
      </c>
      <c r="AW11" s="1"/>
    </row>
    <row r="12" spans="2:51" ht="19.5" customHeight="1">
      <c r="B12" s="71" t="s">
        <v>31</v>
      </c>
      <c r="C12" s="72"/>
      <c r="D12" s="72"/>
      <c r="E12" s="72"/>
      <c r="F12" s="72"/>
      <c r="G12" s="81"/>
      <c r="H12" s="83"/>
      <c r="I12" s="81">
        <v>-4.1884569029999987</v>
      </c>
      <c r="J12" s="82">
        <v>1</v>
      </c>
      <c r="K12" s="82">
        <f>I12/'סכום נכסי הקרן'!$C$42</f>
        <v>-6.6479411517418737E-4</v>
      </c>
    </row>
    <row r="13" spans="2:51">
      <c r="B13" s="92" t="s">
        <v>1225</v>
      </c>
      <c r="C13" s="72"/>
      <c r="D13" s="72"/>
      <c r="E13" s="72"/>
      <c r="F13" s="72"/>
      <c r="G13" s="81"/>
      <c r="H13" s="83"/>
      <c r="I13" s="81">
        <v>-5.6898212370000003</v>
      </c>
      <c r="J13" s="82">
        <v>1.3584528547792012</v>
      </c>
      <c r="K13" s="82">
        <f>I13/'סכום נכסי הקרן'!$C$42</f>
        <v>-9.0309146359878801E-4</v>
      </c>
    </row>
    <row r="14" spans="2:51">
      <c r="B14" s="77" t="s">
        <v>1226</v>
      </c>
      <c r="C14" s="74" t="s">
        <v>1227</v>
      </c>
      <c r="D14" s="87" t="s">
        <v>1228</v>
      </c>
      <c r="E14" s="87" t="s">
        <v>150</v>
      </c>
      <c r="F14" s="97">
        <v>43894</v>
      </c>
      <c r="G14" s="84">
        <v>4181.847205</v>
      </c>
      <c r="H14" s="86">
        <v>-3.5465</v>
      </c>
      <c r="I14" s="84">
        <v>-0.14831010800000002</v>
      </c>
      <c r="J14" s="85">
        <v>3.5409247709764502E-2</v>
      </c>
      <c r="K14" s="85">
        <f>I14/'סכום נכסי הקרן'!$C$42</f>
        <v>-2.3539859500196512E-5</v>
      </c>
    </row>
    <row r="15" spans="2:51">
      <c r="B15" s="77" t="s">
        <v>1229</v>
      </c>
      <c r="C15" s="74" t="s">
        <v>1230</v>
      </c>
      <c r="D15" s="87" t="s">
        <v>1228</v>
      </c>
      <c r="E15" s="87" t="s">
        <v>150</v>
      </c>
      <c r="F15" s="97">
        <v>43888</v>
      </c>
      <c r="G15" s="84">
        <v>4603.1467350000003</v>
      </c>
      <c r="H15" s="86">
        <v>-3.8509000000000002</v>
      </c>
      <c r="I15" s="84">
        <v>-0.177262947</v>
      </c>
      <c r="J15" s="85">
        <v>4.2321778904549481E-2</v>
      </c>
      <c r="K15" s="85">
        <f>I15/'סכום נכסי הקרן'!$C$42</f>
        <v>-2.8135269559447562E-5</v>
      </c>
    </row>
    <row r="16" spans="2:51" s="7" customFormat="1">
      <c r="B16" s="77" t="s">
        <v>1231</v>
      </c>
      <c r="C16" s="74" t="s">
        <v>1232</v>
      </c>
      <c r="D16" s="87" t="s">
        <v>1228</v>
      </c>
      <c r="E16" s="87" t="s">
        <v>150</v>
      </c>
      <c r="F16" s="97">
        <v>43893</v>
      </c>
      <c r="G16" s="84">
        <v>2650.4032500000003</v>
      </c>
      <c r="H16" s="86">
        <v>-3.3348</v>
      </c>
      <c r="I16" s="84">
        <v>-8.8385160999999976E-2</v>
      </c>
      <c r="J16" s="85">
        <v>2.1102081995088395E-2</v>
      </c>
      <c r="K16" s="85">
        <f>I16/'סכום נכסי הקרן'!$C$42</f>
        <v>-1.4028539928257941E-5</v>
      </c>
      <c r="AW16" s="1"/>
      <c r="AY16" s="1"/>
    </row>
    <row r="17" spans="2:51" s="7" customFormat="1">
      <c r="B17" s="77" t="s">
        <v>1233</v>
      </c>
      <c r="C17" s="74" t="s">
        <v>1234</v>
      </c>
      <c r="D17" s="87" t="s">
        <v>1228</v>
      </c>
      <c r="E17" s="87" t="s">
        <v>150</v>
      </c>
      <c r="F17" s="97">
        <v>43873</v>
      </c>
      <c r="G17" s="84">
        <v>4641.066675</v>
      </c>
      <c r="H17" s="86">
        <v>-4.4705000000000004</v>
      </c>
      <c r="I17" s="84">
        <v>-0.20747659899999998</v>
      </c>
      <c r="J17" s="85">
        <v>4.9535330983445015E-2</v>
      </c>
      <c r="K17" s="85">
        <f>I17/'סכום נכסי הקרן'!$C$42</f>
        <v>-3.2930796530999841E-5</v>
      </c>
      <c r="AW17" s="1"/>
      <c r="AY17" s="1"/>
    </row>
    <row r="18" spans="2:51" s="7" customFormat="1">
      <c r="B18" s="77" t="s">
        <v>1235</v>
      </c>
      <c r="C18" s="74" t="s">
        <v>1236</v>
      </c>
      <c r="D18" s="87" t="s">
        <v>1228</v>
      </c>
      <c r="E18" s="87" t="s">
        <v>150</v>
      </c>
      <c r="F18" s="97">
        <v>43677</v>
      </c>
      <c r="G18" s="84">
        <v>71568</v>
      </c>
      <c r="H18" s="86">
        <v>-3.6558999999999999</v>
      </c>
      <c r="I18" s="84">
        <v>-2.6164299999999998</v>
      </c>
      <c r="J18" s="85">
        <v>0.62467635709131242</v>
      </c>
      <c r="K18" s="85">
        <f>I18/'סכום נכסי הקרן'!$C$42</f>
        <v>-4.1528116608275376E-4</v>
      </c>
      <c r="AW18" s="1"/>
      <c r="AY18" s="1"/>
    </row>
    <row r="19" spans="2:51">
      <c r="B19" s="77" t="s">
        <v>1237</v>
      </c>
      <c r="C19" s="74" t="s">
        <v>1238</v>
      </c>
      <c r="D19" s="87" t="s">
        <v>1228</v>
      </c>
      <c r="E19" s="87" t="s">
        <v>150</v>
      </c>
      <c r="F19" s="97">
        <v>43873</v>
      </c>
      <c r="G19" s="84">
        <v>3980.1590999999999</v>
      </c>
      <c r="H19" s="86">
        <v>-4.4153000000000002</v>
      </c>
      <c r="I19" s="84">
        <v>-0.17573570099999999</v>
      </c>
      <c r="J19" s="85">
        <v>4.1957146765465969E-2</v>
      </c>
      <c r="K19" s="85">
        <f>I19/'סכום נכסי הקרן'!$C$42</f>
        <v>-2.7892864259181467E-5</v>
      </c>
    </row>
    <row r="20" spans="2:51">
      <c r="B20" s="77" t="s">
        <v>1239</v>
      </c>
      <c r="C20" s="74" t="s">
        <v>1240</v>
      </c>
      <c r="D20" s="87" t="s">
        <v>1228</v>
      </c>
      <c r="E20" s="87" t="s">
        <v>150</v>
      </c>
      <c r="F20" s="97">
        <v>43894</v>
      </c>
      <c r="G20" s="84">
        <v>4791.5865540000004</v>
      </c>
      <c r="H20" s="86">
        <v>-2.9980000000000002</v>
      </c>
      <c r="I20" s="84">
        <v>-0.14365055499999999</v>
      </c>
      <c r="J20" s="85">
        <v>3.4296772851383453E-2</v>
      </c>
      <c r="K20" s="85">
        <f>I20/'סכום נכסי הקרן'!$C$42</f>
        <v>-2.2800292761065558E-5</v>
      </c>
    </row>
    <row r="21" spans="2:51">
      <c r="B21" s="77" t="s">
        <v>1241</v>
      </c>
      <c r="C21" s="74" t="s">
        <v>1242</v>
      </c>
      <c r="D21" s="87" t="s">
        <v>1228</v>
      </c>
      <c r="E21" s="87" t="s">
        <v>150</v>
      </c>
      <c r="F21" s="97">
        <v>43867</v>
      </c>
      <c r="G21" s="84">
        <v>3325.0708129999998</v>
      </c>
      <c r="H21" s="86">
        <v>-4.1448</v>
      </c>
      <c r="I21" s="84">
        <v>-0.137815885</v>
      </c>
      <c r="J21" s="85">
        <v>3.2903737149900913E-2</v>
      </c>
      <c r="K21" s="85">
        <f>I21/'סכום נכסי הקרן'!$C$42</f>
        <v>-2.187421082449242E-5</v>
      </c>
    </row>
    <row r="22" spans="2:51">
      <c r="B22" s="77" t="s">
        <v>1243</v>
      </c>
      <c r="C22" s="74" t="s">
        <v>1244</v>
      </c>
      <c r="D22" s="87" t="s">
        <v>1228</v>
      </c>
      <c r="E22" s="87" t="s">
        <v>150</v>
      </c>
      <c r="F22" s="97">
        <v>43895</v>
      </c>
      <c r="G22" s="84">
        <v>5048.5029359999999</v>
      </c>
      <c r="H22" s="86">
        <v>-2.9087999999999998</v>
      </c>
      <c r="I22" s="84">
        <v>-0.14684984299999998</v>
      </c>
      <c r="J22" s="85">
        <v>3.5060607379013072E-2</v>
      </c>
      <c r="K22" s="85">
        <f>I22/'סכום נכסי הקרן'!$C$42</f>
        <v>-2.3308085460000578E-5</v>
      </c>
    </row>
    <row r="23" spans="2:51">
      <c r="B23" s="77" t="s">
        <v>1245</v>
      </c>
      <c r="C23" s="74" t="s">
        <v>1246</v>
      </c>
      <c r="D23" s="87" t="s">
        <v>1228</v>
      </c>
      <c r="E23" s="87" t="s">
        <v>150</v>
      </c>
      <c r="F23" s="97">
        <v>43895</v>
      </c>
      <c r="G23" s="84">
        <v>5049.6848399999999</v>
      </c>
      <c r="H23" s="86">
        <v>-2.9096000000000002</v>
      </c>
      <c r="I23" s="84">
        <v>-0.14692417299999999</v>
      </c>
      <c r="J23" s="85">
        <v>3.507835377147249E-2</v>
      </c>
      <c r="K23" s="85">
        <f>I23/'סכום נכסי הקרן'!$C$42</f>
        <v>-2.3319883157273175E-5</v>
      </c>
    </row>
    <row r="24" spans="2:51">
      <c r="B24" s="77" t="s">
        <v>1247</v>
      </c>
      <c r="C24" s="74" t="s">
        <v>1248</v>
      </c>
      <c r="D24" s="87" t="s">
        <v>1228</v>
      </c>
      <c r="E24" s="87" t="s">
        <v>150</v>
      </c>
      <c r="F24" s="97">
        <v>43866</v>
      </c>
      <c r="G24" s="84">
        <v>5345.4924000000001</v>
      </c>
      <c r="H24" s="86">
        <v>-3.6166999999999998</v>
      </c>
      <c r="I24" s="84">
        <v>-0.19333271600000002</v>
      </c>
      <c r="J24" s="85">
        <v>4.6158458944993486E-2</v>
      </c>
      <c r="K24" s="85">
        <f>I24/'סכום נכסי הקרן'!$C$42</f>
        <v>-3.0685871872141001E-5</v>
      </c>
    </row>
    <row r="25" spans="2:51">
      <c r="B25" s="77" t="s">
        <v>1249</v>
      </c>
      <c r="C25" s="74" t="s">
        <v>1250</v>
      </c>
      <c r="D25" s="87" t="s">
        <v>1228</v>
      </c>
      <c r="E25" s="87" t="s">
        <v>150</v>
      </c>
      <c r="F25" s="97">
        <v>43829</v>
      </c>
      <c r="G25" s="84">
        <v>10303.200000000001</v>
      </c>
      <c r="H25" s="86">
        <v>-3.4483999999999999</v>
      </c>
      <c r="I25" s="84">
        <v>-0.3553</v>
      </c>
      <c r="J25" s="85">
        <v>8.4828376709693482E-2</v>
      </c>
      <c r="K25" s="85">
        <f>I25/'סכום נכסי הקרן'!$C$42</f>
        <v>-5.6393405636383329E-5</v>
      </c>
    </row>
    <row r="26" spans="2:51">
      <c r="B26" s="77" t="s">
        <v>1251</v>
      </c>
      <c r="C26" s="74" t="s">
        <v>1252</v>
      </c>
      <c r="D26" s="87" t="s">
        <v>1228</v>
      </c>
      <c r="E26" s="87" t="s">
        <v>150</v>
      </c>
      <c r="F26" s="97">
        <v>43795</v>
      </c>
      <c r="G26" s="84">
        <v>17201</v>
      </c>
      <c r="H26" s="86">
        <v>-3.2740999999999998</v>
      </c>
      <c r="I26" s="84">
        <v>-0.5631799999999999</v>
      </c>
      <c r="J26" s="85">
        <v>0.13446002025152032</v>
      </c>
      <c r="K26" s="85">
        <f>I26/'סכום נכסי הקרן'!$C$42</f>
        <v>-8.938823018941277E-5</v>
      </c>
    </row>
    <row r="27" spans="2:51">
      <c r="B27" s="77" t="s">
        <v>1253</v>
      </c>
      <c r="C27" s="74" t="s">
        <v>1254</v>
      </c>
      <c r="D27" s="87" t="s">
        <v>1228</v>
      </c>
      <c r="E27" s="87" t="s">
        <v>150</v>
      </c>
      <c r="F27" s="97">
        <v>43657</v>
      </c>
      <c r="G27" s="84">
        <v>43150</v>
      </c>
      <c r="H27" s="86">
        <v>-2.3363</v>
      </c>
      <c r="I27" s="84">
        <v>-1.0081</v>
      </c>
      <c r="J27" s="85">
        <v>0.24068529851123557</v>
      </c>
      <c r="K27" s="85">
        <f>I27/'סכום נכסי הקרן'!$C$42</f>
        <v>-1.6000617005921202E-4</v>
      </c>
    </row>
    <row r="28" spans="2:51">
      <c r="B28" s="77" t="s">
        <v>1255</v>
      </c>
      <c r="C28" s="74" t="s">
        <v>1256</v>
      </c>
      <c r="D28" s="87" t="s">
        <v>1228</v>
      </c>
      <c r="E28" s="87" t="s">
        <v>150</v>
      </c>
      <c r="F28" s="97">
        <v>43774</v>
      </c>
      <c r="G28" s="84">
        <v>3456</v>
      </c>
      <c r="H28" s="86">
        <v>-2.8020999999999998</v>
      </c>
      <c r="I28" s="84">
        <v>-9.6840000000000009E-2</v>
      </c>
      <c r="J28" s="85">
        <v>2.3120686745192E-2</v>
      </c>
      <c r="K28" s="85">
        <f>I28/'סכום נכסי הקרן'!$C$42</f>
        <v>-1.5370496486989481E-5</v>
      </c>
    </row>
    <row r="29" spans="2:51">
      <c r="B29" s="77" t="s">
        <v>1257</v>
      </c>
      <c r="C29" s="74" t="s">
        <v>1258</v>
      </c>
      <c r="D29" s="87" t="s">
        <v>1228</v>
      </c>
      <c r="E29" s="87" t="s">
        <v>150</v>
      </c>
      <c r="F29" s="97">
        <v>43696</v>
      </c>
      <c r="G29" s="84">
        <v>10452</v>
      </c>
      <c r="H29" s="86">
        <v>-1.9763999999999999</v>
      </c>
      <c r="I29" s="84">
        <v>-0.20657</v>
      </c>
      <c r="J29" s="85">
        <v>4.9318879192010646E-2</v>
      </c>
      <c r="K29" s="85">
        <f>I29/'סכום נכסי הקרן'!$C$42</f>
        <v>-3.278690065383536E-5</v>
      </c>
    </row>
    <row r="30" spans="2:51">
      <c r="B30" s="77" t="s">
        <v>1259</v>
      </c>
      <c r="C30" s="74" t="s">
        <v>1260</v>
      </c>
      <c r="D30" s="87" t="s">
        <v>1228</v>
      </c>
      <c r="E30" s="87" t="s">
        <v>150</v>
      </c>
      <c r="F30" s="97">
        <v>43627</v>
      </c>
      <c r="G30" s="84">
        <v>55386.9</v>
      </c>
      <c r="H30" s="86">
        <v>-1.3512</v>
      </c>
      <c r="I30" s="84">
        <v>-0.74836999999999998</v>
      </c>
      <c r="J30" s="85">
        <v>0.17867439425340081</v>
      </c>
      <c r="K30" s="85">
        <f>I30/'סכום נכסי הקרן'!$C$42</f>
        <v>-1.1878168583197352E-4</v>
      </c>
    </row>
    <row r="31" spans="2:51">
      <c r="B31" s="77" t="s">
        <v>1261</v>
      </c>
      <c r="C31" s="74" t="s">
        <v>1262</v>
      </c>
      <c r="D31" s="87" t="s">
        <v>1228</v>
      </c>
      <c r="E31" s="87" t="s">
        <v>150</v>
      </c>
      <c r="F31" s="97">
        <v>43909</v>
      </c>
      <c r="G31" s="84">
        <v>29200</v>
      </c>
      <c r="H31" s="86">
        <v>2.6595</v>
      </c>
      <c r="I31" s="84">
        <v>0.77657000000000009</v>
      </c>
      <c r="J31" s="85">
        <v>-0.18540718407387188</v>
      </c>
      <c r="K31" s="85">
        <f>I31/'סכום נכסי הקרן'!$C$42</f>
        <v>1.2325760488332733E-4</v>
      </c>
    </row>
    <row r="32" spans="2:51">
      <c r="B32" s="77" t="s">
        <v>1263</v>
      </c>
      <c r="C32" s="74" t="s">
        <v>1264</v>
      </c>
      <c r="D32" s="87" t="s">
        <v>1228</v>
      </c>
      <c r="E32" s="87" t="s">
        <v>150</v>
      </c>
      <c r="F32" s="97">
        <v>43908</v>
      </c>
      <c r="G32" s="84">
        <v>1486.9349999999999</v>
      </c>
      <c r="H32" s="86">
        <v>7.1060999999999996</v>
      </c>
      <c r="I32" s="84">
        <v>0.105662451</v>
      </c>
      <c r="J32" s="85">
        <v>-2.5227059379390741E-2</v>
      </c>
      <c r="K32" s="85">
        <f>I32/'סכום נכסי הקרן'!$C$42</f>
        <v>1.6770800618568753E-5</v>
      </c>
    </row>
    <row r="33" spans="2:11">
      <c r="B33" s="77" t="s">
        <v>1265</v>
      </c>
      <c r="C33" s="74" t="s">
        <v>1266</v>
      </c>
      <c r="D33" s="87" t="s">
        <v>1228</v>
      </c>
      <c r="E33" s="87" t="s">
        <v>150</v>
      </c>
      <c r="F33" s="97">
        <v>43880</v>
      </c>
      <c r="G33" s="84">
        <v>14260</v>
      </c>
      <c r="H33" s="86">
        <v>4.1268000000000002</v>
      </c>
      <c r="I33" s="84">
        <v>0.58848</v>
      </c>
      <c r="J33" s="85">
        <v>-0.1405004309769784</v>
      </c>
      <c r="K33" s="85">
        <f>I33/'סכום נכסי הקרן'!$C$42</f>
        <v>9.3403859692932334E-5</v>
      </c>
    </row>
    <row r="34" spans="2:11">
      <c r="B34" s="73"/>
      <c r="C34" s="74"/>
      <c r="D34" s="74"/>
      <c r="E34" s="74"/>
      <c r="F34" s="74"/>
      <c r="G34" s="84"/>
      <c r="H34" s="86"/>
      <c r="I34" s="74"/>
      <c r="J34" s="85"/>
      <c r="K34" s="74"/>
    </row>
    <row r="35" spans="2:11">
      <c r="B35" s="92" t="s">
        <v>215</v>
      </c>
      <c r="C35" s="72"/>
      <c r="D35" s="72"/>
      <c r="E35" s="72"/>
      <c r="F35" s="72"/>
      <c r="G35" s="81"/>
      <c r="H35" s="83"/>
      <c r="I35" s="81">
        <v>0.92648828000000005</v>
      </c>
      <c r="J35" s="82">
        <v>-0.22120038511949333</v>
      </c>
      <c r="K35" s="82">
        <f>I35/'סכום נכסי הקרן'!$C$42</f>
        <v>1.4705271430170307E-4</v>
      </c>
    </row>
    <row r="36" spans="2:11">
      <c r="B36" s="77" t="s">
        <v>1267</v>
      </c>
      <c r="C36" s="74" t="s">
        <v>1268</v>
      </c>
      <c r="D36" s="87" t="s">
        <v>1228</v>
      </c>
      <c r="E36" s="87" t="s">
        <v>152</v>
      </c>
      <c r="F36" s="97">
        <v>43920</v>
      </c>
      <c r="G36" s="84">
        <v>4321.6689109999998</v>
      </c>
      <c r="H36" s="86">
        <v>-1.2967</v>
      </c>
      <c r="I36" s="84">
        <v>-5.6040709000000001E-2</v>
      </c>
      <c r="J36" s="85">
        <v>1.3379798407346778E-2</v>
      </c>
      <c r="K36" s="85">
        <f>I36/'סכום נכסי הקרן'!$C$42</f>
        <v>-8.8948112434211026E-6</v>
      </c>
    </row>
    <row r="37" spans="2:11">
      <c r="B37" s="77" t="s">
        <v>1269</v>
      </c>
      <c r="C37" s="74" t="s">
        <v>1270</v>
      </c>
      <c r="D37" s="87" t="s">
        <v>1228</v>
      </c>
      <c r="E37" s="87" t="s">
        <v>152</v>
      </c>
      <c r="F37" s="97">
        <v>43920</v>
      </c>
      <c r="G37" s="84">
        <v>115.24450400000002</v>
      </c>
      <c r="H37" s="86">
        <v>-1.3667</v>
      </c>
      <c r="I37" s="84">
        <v>-1.5750409999999999E-3</v>
      </c>
      <c r="J37" s="85">
        <v>3.7604326282356413E-4</v>
      </c>
      <c r="K37" s="85">
        <f>I37/'סכום נכסי הקרן'!$C$42</f>
        <v>-2.4999134817600571E-7</v>
      </c>
    </row>
    <row r="38" spans="2:11">
      <c r="B38" s="77" t="s">
        <v>1271</v>
      </c>
      <c r="C38" s="74" t="s">
        <v>1272</v>
      </c>
      <c r="D38" s="87" t="s">
        <v>1228</v>
      </c>
      <c r="E38" s="87" t="s">
        <v>152</v>
      </c>
      <c r="F38" s="97">
        <v>43703</v>
      </c>
      <c r="G38" s="84">
        <v>864.33378200000004</v>
      </c>
      <c r="H38" s="86">
        <v>-3.3182</v>
      </c>
      <c r="I38" s="84">
        <v>-2.8680541E-2</v>
      </c>
      <c r="J38" s="85">
        <v>6.8475196627802116E-3</v>
      </c>
      <c r="K38" s="85">
        <f>I38/'סכום נכסי הקרן'!$C$42</f>
        <v>-4.5521907753558211E-6</v>
      </c>
    </row>
    <row r="39" spans="2:11">
      <c r="B39" s="77" t="s">
        <v>1273</v>
      </c>
      <c r="C39" s="74" t="s">
        <v>1274</v>
      </c>
      <c r="D39" s="87" t="s">
        <v>1228</v>
      </c>
      <c r="E39" s="87" t="s">
        <v>153</v>
      </c>
      <c r="F39" s="97">
        <v>43864</v>
      </c>
      <c r="G39" s="84">
        <v>791.75</v>
      </c>
      <c r="H39" s="86">
        <v>-5.7454999999999998</v>
      </c>
      <c r="I39" s="84">
        <v>-4.5490000000000003E-2</v>
      </c>
      <c r="J39" s="85">
        <v>1.0860801735220818E-2</v>
      </c>
      <c r="K39" s="85">
        <f>I39/'סכום נכסי הקרן'!$C$42</f>
        <v>-7.2201970796484037E-6</v>
      </c>
    </row>
    <row r="40" spans="2:11">
      <c r="B40" s="77" t="s">
        <v>1275</v>
      </c>
      <c r="C40" s="74" t="s">
        <v>1276</v>
      </c>
      <c r="D40" s="87" t="s">
        <v>1228</v>
      </c>
      <c r="E40" s="87" t="s">
        <v>152</v>
      </c>
      <c r="F40" s="97">
        <v>43914</v>
      </c>
      <c r="G40" s="84">
        <v>13118.99</v>
      </c>
      <c r="H40" s="86">
        <v>-0.52990000000000004</v>
      </c>
      <c r="I40" s="84">
        <v>-6.9519999999999998E-2</v>
      </c>
      <c r="J40" s="85">
        <v>1.6597998167345598E-2</v>
      </c>
      <c r="K40" s="85">
        <f>I40/'סכום נכסי הקרן'!$C$42</f>
        <v>-1.1034251505323302E-5</v>
      </c>
    </row>
    <row r="41" spans="2:11">
      <c r="B41" s="77" t="s">
        <v>1277</v>
      </c>
      <c r="C41" s="74" t="s">
        <v>1278</v>
      </c>
      <c r="D41" s="87" t="s">
        <v>1228</v>
      </c>
      <c r="E41" s="87" t="s">
        <v>152</v>
      </c>
      <c r="F41" s="97">
        <v>43872</v>
      </c>
      <c r="G41" s="84">
        <v>1287.3900000000001</v>
      </c>
      <c r="H41" s="86">
        <v>-3.8999999999999998E-3</v>
      </c>
      <c r="I41" s="84">
        <v>-5.0000000000000002E-5</v>
      </c>
      <c r="J41" s="85">
        <v>1.1937570603672037E-5</v>
      </c>
      <c r="K41" s="85">
        <f>I41/'סכום נכסי הקרן'!$C$42</f>
        <v>-7.9360266867975416E-9</v>
      </c>
    </row>
    <row r="42" spans="2:11">
      <c r="B42" s="77" t="s">
        <v>1279</v>
      </c>
      <c r="C42" s="74" t="s">
        <v>1280</v>
      </c>
      <c r="D42" s="87" t="s">
        <v>1228</v>
      </c>
      <c r="E42" s="87" t="s">
        <v>152</v>
      </c>
      <c r="F42" s="97">
        <v>43753</v>
      </c>
      <c r="G42" s="84">
        <v>2448.6508560000002</v>
      </c>
      <c r="H42" s="86">
        <v>1.8218000000000001</v>
      </c>
      <c r="I42" s="84">
        <v>4.4609430000000005E-2</v>
      </c>
      <c r="J42" s="85">
        <v>-1.065056440429131E-2</v>
      </c>
      <c r="K42" s="85">
        <f>I42/'סכום נכסי הקרן'!$C$42</f>
        <v>7.0804325392565379E-6</v>
      </c>
    </row>
    <row r="43" spans="2:11">
      <c r="B43" s="77" t="s">
        <v>1281</v>
      </c>
      <c r="C43" s="74" t="s">
        <v>1282</v>
      </c>
      <c r="D43" s="87" t="s">
        <v>1228</v>
      </c>
      <c r="E43" s="87" t="s">
        <v>152</v>
      </c>
      <c r="F43" s="97">
        <v>43822</v>
      </c>
      <c r="G43" s="84">
        <v>1961.20299</v>
      </c>
      <c r="H43" s="86">
        <v>1.9359</v>
      </c>
      <c r="I43" s="84">
        <v>3.7966361999999997E-2</v>
      </c>
      <c r="J43" s="85">
        <v>-9.0645225387914197E-3</v>
      </c>
      <c r="K43" s="85">
        <f>I43/'סכום נכסי הקרן'!$C$42</f>
        <v>6.0260412406523205E-6</v>
      </c>
    </row>
    <row r="44" spans="2:11">
      <c r="B44" s="77" t="s">
        <v>1283</v>
      </c>
      <c r="C44" s="74" t="s">
        <v>1284</v>
      </c>
      <c r="D44" s="87" t="s">
        <v>1228</v>
      </c>
      <c r="E44" s="87" t="s">
        <v>152</v>
      </c>
      <c r="F44" s="97">
        <v>43894</v>
      </c>
      <c r="G44" s="84">
        <v>118.56754600000001</v>
      </c>
      <c r="H44" s="86">
        <v>2.2446999999999999</v>
      </c>
      <c r="I44" s="84">
        <v>2.6614569999999999E-3</v>
      </c>
      <c r="J44" s="85">
        <v>-6.3542661692274328E-4</v>
      </c>
      <c r="K44" s="85">
        <f>I44/'סכום נכסי הקרן'!$C$42</f>
        <v>4.2242787555528243E-7</v>
      </c>
    </row>
    <row r="45" spans="2:11">
      <c r="B45" s="77" t="s">
        <v>1285</v>
      </c>
      <c r="C45" s="74" t="s">
        <v>1286</v>
      </c>
      <c r="D45" s="87" t="s">
        <v>1228</v>
      </c>
      <c r="E45" s="87" t="s">
        <v>152</v>
      </c>
      <c r="F45" s="97">
        <v>43678</v>
      </c>
      <c r="G45" s="84">
        <v>2971.0355570000002</v>
      </c>
      <c r="H45" s="86">
        <v>2.8992</v>
      </c>
      <c r="I45" s="84">
        <v>8.6135943999999992E-2</v>
      </c>
      <c r="J45" s="85">
        <v>-2.0565078260278813E-2</v>
      </c>
      <c r="K45" s="85">
        <f>I45/'סכום נכסי הקרן'!$C$42</f>
        <v>1.367154300552997E-5</v>
      </c>
    </row>
    <row r="46" spans="2:11">
      <c r="B46" s="77" t="s">
        <v>1287</v>
      </c>
      <c r="C46" s="74" t="s">
        <v>1288</v>
      </c>
      <c r="D46" s="87" t="s">
        <v>1228</v>
      </c>
      <c r="E46" s="87" t="s">
        <v>152</v>
      </c>
      <c r="F46" s="97">
        <v>43650</v>
      </c>
      <c r="G46" s="84">
        <v>10266.49</v>
      </c>
      <c r="H46" s="86">
        <v>4.9969000000000001</v>
      </c>
      <c r="I46" s="84">
        <v>0.51300999999999997</v>
      </c>
      <c r="J46" s="85">
        <v>-0.12248186190779581</v>
      </c>
      <c r="K46" s="85">
        <f>I46/'סכום נכסי הקרן'!$C$42</f>
        <v>8.142522101188013E-5</v>
      </c>
    </row>
    <row r="47" spans="2:11">
      <c r="B47" s="77" t="s">
        <v>1289</v>
      </c>
      <c r="C47" s="74" t="s">
        <v>1290</v>
      </c>
      <c r="D47" s="87" t="s">
        <v>1228</v>
      </c>
      <c r="E47" s="87" t="s">
        <v>153</v>
      </c>
      <c r="F47" s="97">
        <v>43908</v>
      </c>
      <c r="G47" s="84">
        <v>4140.1028480000004</v>
      </c>
      <c r="H47" s="86">
        <v>-5.0171000000000001</v>
      </c>
      <c r="I47" s="84">
        <v>-0.207713178</v>
      </c>
      <c r="J47" s="85">
        <v>4.9591814553761937E-2</v>
      </c>
      <c r="K47" s="85">
        <f>I47/'סכום נכסי הקרן'!$C$42</f>
        <v>-3.2968346476150559E-5</v>
      </c>
    </row>
    <row r="48" spans="2:11">
      <c r="B48" s="77" t="s">
        <v>1291</v>
      </c>
      <c r="C48" s="74" t="s">
        <v>1292</v>
      </c>
      <c r="D48" s="87" t="s">
        <v>1228</v>
      </c>
      <c r="E48" s="87" t="s">
        <v>153</v>
      </c>
      <c r="F48" s="97">
        <v>43720</v>
      </c>
      <c r="G48" s="84">
        <v>16013.3</v>
      </c>
      <c r="H48" s="86">
        <v>0.68320000000000003</v>
      </c>
      <c r="I48" s="84">
        <v>0.10940000000000001</v>
      </c>
      <c r="J48" s="85">
        <v>-2.6119404480834416E-2</v>
      </c>
      <c r="K48" s="85">
        <f>I48/'סכום נכסי הקרן'!$C$42</f>
        <v>1.7364026390713022E-5</v>
      </c>
    </row>
    <row r="49" spans="2:11">
      <c r="B49" s="77" t="s">
        <v>1293</v>
      </c>
      <c r="C49" s="74" t="s">
        <v>1294</v>
      </c>
      <c r="D49" s="87" t="s">
        <v>1228</v>
      </c>
      <c r="E49" s="87" t="s">
        <v>153</v>
      </c>
      <c r="F49" s="97">
        <v>43766</v>
      </c>
      <c r="G49" s="84">
        <v>1521.44</v>
      </c>
      <c r="H49" s="86">
        <v>4.4371999999999998</v>
      </c>
      <c r="I49" s="84">
        <v>6.7510000000000001E-2</v>
      </c>
      <c r="J49" s="85">
        <v>-1.6118107829077983E-2</v>
      </c>
      <c r="K49" s="85">
        <f>I49/'סכום נכסי הקרן'!$C$42</f>
        <v>1.071522323251404E-5</v>
      </c>
    </row>
    <row r="50" spans="2:11">
      <c r="B50" s="77" t="s">
        <v>1295</v>
      </c>
      <c r="C50" s="74" t="s">
        <v>1296</v>
      </c>
      <c r="D50" s="87" t="s">
        <v>1228</v>
      </c>
      <c r="E50" s="87" t="s">
        <v>153</v>
      </c>
      <c r="F50" s="97">
        <v>43844</v>
      </c>
      <c r="G50" s="84">
        <v>3115.24</v>
      </c>
      <c r="H50" s="86">
        <v>5.2409999999999997</v>
      </c>
      <c r="I50" s="84">
        <v>0.16327</v>
      </c>
      <c r="J50" s="85">
        <v>-3.8980943049230665E-2</v>
      </c>
      <c r="K50" s="85">
        <f>I50/'סכום נכסי הקרן'!$C$42</f>
        <v>2.5914301543068692E-5</v>
      </c>
    </row>
    <row r="51" spans="2:11">
      <c r="B51" s="77" t="s">
        <v>1297</v>
      </c>
      <c r="C51" s="74" t="s">
        <v>1298</v>
      </c>
      <c r="D51" s="87" t="s">
        <v>1228</v>
      </c>
      <c r="E51" s="87" t="s">
        <v>153</v>
      </c>
      <c r="F51" s="97">
        <v>43874</v>
      </c>
      <c r="G51" s="84">
        <v>1862.5</v>
      </c>
      <c r="H51" s="86">
        <v>5.3756000000000004</v>
      </c>
      <c r="I51" s="84">
        <v>0.10012</v>
      </c>
      <c r="J51" s="85">
        <v>-2.3903791376792886E-2</v>
      </c>
      <c r="K51" s="85">
        <f>I51/'סכום נכסי הקרן'!$C$42</f>
        <v>1.5891099837643396E-5</v>
      </c>
    </row>
    <row r="52" spans="2:11">
      <c r="B52" s="77" t="s">
        <v>1299</v>
      </c>
      <c r="C52" s="74" t="s">
        <v>1300</v>
      </c>
      <c r="D52" s="87" t="s">
        <v>1228</v>
      </c>
      <c r="E52" s="87" t="s">
        <v>153</v>
      </c>
      <c r="F52" s="97">
        <v>43845</v>
      </c>
      <c r="G52" s="84">
        <v>1721.3414210000001</v>
      </c>
      <c r="H52" s="86">
        <v>5.2285000000000004</v>
      </c>
      <c r="I52" s="84">
        <v>9.0000632999999997E-2</v>
      </c>
      <c r="J52" s="85">
        <v>-2.1487778216253507E-2</v>
      </c>
      <c r="K52" s="85">
        <f>I52/'סכום נכסי הקרן'!$C$42</f>
        <v>1.4284948506333428E-5</v>
      </c>
    </row>
    <row r="53" spans="2:11">
      <c r="B53" s="77" t="s">
        <v>1301</v>
      </c>
      <c r="C53" s="74" t="s">
        <v>1302</v>
      </c>
      <c r="D53" s="87" t="s">
        <v>1228</v>
      </c>
      <c r="E53" s="87" t="s">
        <v>153</v>
      </c>
      <c r="F53" s="97">
        <v>43845</v>
      </c>
      <c r="G53" s="84">
        <v>2295.9997050000002</v>
      </c>
      <c r="H53" s="86">
        <v>5.2645</v>
      </c>
      <c r="I53" s="84">
        <v>0.12087392300000002</v>
      </c>
      <c r="J53" s="85">
        <v>-2.8858819799106348E-2</v>
      </c>
      <c r="K53" s="85">
        <f>I53/'סכום נכסי הקרן'!$C$42</f>
        <v>1.9185173573318225E-5</v>
      </c>
    </row>
    <row r="54" spans="2:11">
      <c r="B54" s="73"/>
      <c r="C54" s="74"/>
      <c r="D54" s="74"/>
      <c r="E54" s="74"/>
      <c r="F54" s="74"/>
      <c r="G54" s="84"/>
      <c r="H54" s="86"/>
      <c r="I54" s="74"/>
      <c r="J54" s="85"/>
      <c r="K54" s="74"/>
    </row>
    <row r="55" spans="2:11">
      <c r="B55" s="92" t="s">
        <v>214</v>
      </c>
      <c r="C55" s="72"/>
      <c r="D55" s="72"/>
      <c r="E55" s="72"/>
      <c r="F55" s="72"/>
      <c r="G55" s="81"/>
      <c r="H55" s="83"/>
      <c r="I55" s="81">
        <v>0.57487605400000008</v>
      </c>
      <c r="J55" s="82">
        <v>-0.13725246965970758</v>
      </c>
      <c r="K55" s="82">
        <f>I55/'סכום נכסי הקרן'!$C$42</f>
        <v>9.1244634122897295E-5</v>
      </c>
    </row>
    <row r="56" spans="2:11">
      <c r="B56" s="77" t="s">
        <v>1303</v>
      </c>
      <c r="C56" s="74" t="s">
        <v>1304</v>
      </c>
      <c r="D56" s="87" t="s">
        <v>1228</v>
      </c>
      <c r="E56" s="87" t="s">
        <v>151</v>
      </c>
      <c r="F56" s="97">
        <v>43614</v>
      </c>
      <c r="G56" s="84">
        <v>77.454999999999998</v>
      </c>
      <c r="H56" s="86">
        <v>0.28270000000000001</v>
      </c>
      <c r="I56" s="84">
        <v>2.1899499999999999E-4</v>
      </c>
      <c r="J56" s="85">
        <v>-5.2285365487023145E-5</v>
      </c>
      <c r="K56" s="85">
        <f>I56/'סכום נכסי הקרן'!$C$42</f>
        <v>3.475900328550455E-8</v>
      </c>
    </row>
    <row r="57" spans="2:11">
      <c r="B57" s="77" t="s">
        <v>1303</v>
      </c>
      <c r="C57" s="74" t="s">
        <v>1242</v>
      </c>
      <c r="D57" s="87" t="s">
        <v>1228</v>
      </c>
      <c r="E57" s="87" t="s">
        <v>151</v>
      </c>
      <c r="F57" s="97">
        <v>43626</v>
      </c>
      <c r="G57" s="84">
        <v>15491</v>
      </c>
      <c r="H57" s="86">
        <v>0.91120000000000001</v>
      </c>
      <c r="I57" s="84">
        <v>0.14115974399999998</v>
      </c>
      <c r="J57" s="85">
        <v>-3.3702088207925397E-2</v>
      </c>
      <c r="K57" s="85">
        <f>I57/'סכום נכסי הקרן'!$C$42</f>
        <v>2.2404949909710177E-5</v>
      </c>
    </row>
    <row r="58" spans="2:11">
      <c r="B58" s="77" t="s">
        <v>1303</v>
      </c>
      <c r="C58" s="74" t="s">
        <v>1234</v>
      </c>
      <c r="D58" s="87" t="s">
        <v>1228</v>
      </c>
      <c r="E58" s="87" t="s">
        <v>151</v>
      </c>
      <c r="F58" s="97">
        <v>43887</v>
      </c>
      <c r="G58" s="84">
        <v>7745.5</v>
      </c>
      <c r="H58" s="86">
        <v>2.5811000000000002</v>
      </c>
      <c r="I58" s="84">
        <v>0.199922567</v>
      </c>
      <c r="J58" s="85">
        <v>-4.7731795176597057E-2</v>
      </c>
      <c r="K58" s="85">
        <f>I58/'סכום נכסי הקרן'!$C$42</f>
        <v>3.1731816540101388E-5</v>
      </c>
    </row>
    <row r="59" spans="2:11">
      <c r="B59" s="77" t="s">
        <v>1303</v>
      </c>
      <c r="C59" s="74" t="s">
        <v>1305</v>
      </c>
      <c r="D59" s="87" t="s">
        <v>1228</v>
      </c>
      <c r="E59" s="87" t="s">
        <v>151</v>
      </c>
      <c r="F59" s="97">
        <v>43881</v>
      </c>
      <c r="G59" s="84">
        <v>15491</v>
      </c>
      <c r="H59" s="86">
        <v>1.5078</v>
      </c>
      <c r="I59" s="84">
        <v>0.233574748</v>
      </c>
      <c r="J59" s="85">
        <v>-5.5766300909698072E-2</v>
      </c>
      <c r="K59" s="85">
        <f>I59/'סכום נכסי הקרן'!$C$42</f>
        <v>3.7073108669800212E-5</v>
      </c>
    </row>
    <row r="60" spans="2:11">
      <c r="C60" s="1"/>
      <c r="D60" s="1"/>
    </row>
    <row r="61" spans="2:11">
      <c r="C61" s="1"/>
      <c r="D61" s="1"/>
    </row>
    <row r="62" spans="2:11">
      <c r="C62" s="1"/>
      <c r="D62" s="1"/>
    </row>
    <row r="63" spans="2:11">
      <c r="B63" s="89" t="s">
        <v>236</v>
      </c>
      <c r="C63" s="1"/>
      <c r="D63" s="1"/>
    </row>
    <row r="64" spans="2:11">
      <c r="B64" s="89" t="s">
        <v>99</v>
      </c>
      <c r="C64" s="1"/>
      <c r="D64" s="1"/>
    </row>
    <row r="65" spans="2:4">
      <c r="B65" s="89" t="s">
        <v>218</v>
      </c>
      <c r="C65" s="1"/>
      <c r="D65" s="1"/>
    </row>
    <row r="66" spans="2:4">
      <c r="B66" s="89" t="s">
        <v>226</v>
      </c>
      <c r="C66" s="1"/>
      <c r="D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166</v>
      </c>
      <c r="C1" s="68" t="s" vm="1">
        <v>243</v>
      </c>
    </row>
    <row r="2" spans="2:78">
      <c r="B2" s="47" t="s">
        <v>165</v>
      </c>
      <c r="C2" s="68" t="s">
        <v>244</v>
      </c>
    </row>
    <row r="3" spans="2:78">
      <c r="B3" s="47" t="s">
        <v>167</v>
      </c>
      <c r="C3" s="68" t="s">
        <v>245</v>
      </c>
    </row>
    <row r="4" spans="2:78">
      <c r="B4" s="47" t="s">
        <v>168</v>
      </c>
      <c r="C4" s="68">
        <v>12148</v>
      </c>
    </row>
    <row r="6" spans="2:78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78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78" s="3" customFormat="1" ht="47.25">
      <c r="B8" s="22" t="s">
        <v>103</v>
      </c>
      <c r="C8" s="30" t="s">
        <v>39</v>
      </c>
      <c r="D8" s="30" t="s">
        <v>43</v>
      </c>
      <c r="E8" s="30" t="s">
        <v>14</v>
      </c>
      <c r="F8" s="30" t="s">
        <v>57</v>
      </c>
      <c r="G8" s="30" t="s">
        <v>91</v>
      </c>
      <c r="H8" s="30" t="s">
        <v>17</v>
      </c>
      <c r="I8" s="30" t="s">
        <v>90</v>
      </c>
      <c r="J8" s="30" t="s">
        <v>16</v>
      </c>
      <c r="K8" s="30" t="s">
        <v>18</v>
      </c>
      <c r="L8" s="30" t="s">
        <v>220</v>
      </c>
      <c r="M8" s="30" t="s">
        <v>219</v>
      </c>
      <c r="N8" s="30" t="s">
        <v>98</v>
      </c>
      <c r="O8" s="30" t="s">
        <v>51</v>
      </c>
      <c r="P8" s="30" t="s">
        <v>169</v>
      </c>
      <c r="Q8" s="31" t="s">
        <v>171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227</v>
      </c>
      <c r="M9" s="16"/>
      <c r="N9" s="16" t="s">
        <v>223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100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13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62.85546875" style="2" bestFit="1" customWidth="1"/>
    <col min="4" max="4" width="6.5703125" style="2" bestFit="1" customWidth="1"/>
    <col min="5" max="5" width="11.28515625" style="2" bestFit="1" customWidth="1"/>
    <col min="6" max="6" width="4.570312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7.57031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166</v>
      </c>
      <c r="C1" s="68" t="s" vm="1">
        <v>243</v>
      </c>
    </row>
    <row r="2" spans="2:62">
      <c r="B2" s="47" t="s">
        <v>165</v>
      </c>
      <c r="C2" s="68" t="s">
        <v>244</v>
      </c>
    </row>
    <row r="3" spans="2:62">
      <c r="B3" s="47" t="s">
        <v>167</v>
      </c>
      <c r="C3" s="68" t="s">
        <v>245</v>
      </c>
    </row>
    <row r="4" spans="2:62">
      <c r="B4" s="47" t="s">
        <v>168</v>
      </c>
      <c r="C4" s="68">
        <v>12148</v>
      </c>
    </row>
    <row r="6" spans="2:62" ht="26.25" customHeight="1">
      <c r="B6" s="125" t="s">
        <v>198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62" s="3" customFormat="1" ht="78.75">
      <c r="B7" s="48" t="s">
        <v>103</v>
      </c>
      <c r="C7" s="49" t="s">
        <v>210</v>
      </c>
      <c r="D7" s="49" t="s">
        <v>39</v>
      </c>
      <c r="E7" s="49" t="s">
        <v>104</v>
      </c>
      <c r="F7" s="49" t="s">
        <v>14</v>
      </c>
      <c r="G7" s="49" t="s">
        <v>91</v>
      </c>
      <c r="H7" s="49" t="s">
        <v>57</v>
      </c>
      <c r="I7" s="49" t="s">
        <v>17</v>
      </c>
      <c r="J7" s="49" t="s">
        <v>242</v>
      </c>
      <c r="K7" s="49" t="s">
        <v>90</v>
      </c>
      <c r="L7" s="49" t="s">
        <v>32</v>
      </c>
      <c r="M7" s="49" t="s">
        <v>18</v>
      </c>
      <c r="N7" s="49" t="s">
        <v>220</v>
      </c>
      <c r="O7" s="49" t="s">
        <v>219</v>
      </c>
      <c r="P7" s="49" t="s">
        <v>98</v>
      </c>
      <c r="Q7" s="49" t="s">
        <v>169</v>
      </c>
      <c r="R7" s="51" t="s">
        <v>171</v>
      </c>
      <c r="S7" s="1"/>
      <c r="T7" s="1"/>
      <c r="U7" s="1"/>
      <c r="V7" s="1"/>
      <c r="W7" s="1"/>
      <c r="X7" s="1"/>
      <c r="BI7" s="3" t="s">
        <v>149</v>
      </c>
      <c r="BJ7" s="3" t="s">
        <v>151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227</v>
      </c>
      <c r="O8" s="16"/>
      <c r="P8" s="16" t="s">
        <v>223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147</v>
      </c>
      <c r="BJ8" s="3" t="s">
        <v>150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100</v>
      </c>
      <c r="R9" s="20" t="s">
        <v>101</v>
      </c>
      <c r="S9" s="1"/>
      <c r="T9" s="1"/>
      <c r="U9" s="1"/>
      <c r="V9" s="1"/>
      <c r="W9" s="1"/>
      <c r="X9" s="1"/>
      <c r="BI9" s="4" t="s">
        <v>148</v>
      </c>
      <c r="BJ9" s="4" t="s">
        <v>152</v>
      </c>
    </row>
    <row r="10" spans="2:62" s="4" customFormat="1" ht="18" customHeight="1">
      <c r="B10" s="104" t="s">
        <v>35</v>
      </c>
      <c r="C10" s="105"/>
      <c r="D10" s="105"/>
      <c r="E10" s="105"/>
      <c r="F10" s="105"/>
      <c r="G10" s="105"/>
      <c r="H10" s="105"/>
      <c r="I10" s="106">
        <v>7.0699999999999994</v>
      </c>
      <c r="J10" s="105"/>
      <c r="K10" s="105"/>
      <c r="L10" s="105"/>
      <c r="M10" s="112">
        <v>5.79E-2</v>
      </c>
      <c r="N10" s="106"/>
      <c r="O10" s="110"/>
      <c r="P10" s="106">
        <f>P11</f>
        <v>3.33561</v>
      </c>
      <c r="Q10" s="107">
        <f>P10/$P$10</f>
        <v>1</v>
      </c>
      <c r="R10" s="107">
        <f>P10/'סכום נכסי הקרן'!$C$42</f>
        <v>5.2942979953497489E-4</v>
      </c>
      <c r="S10" s="90"/>
      <c r="T10" s="90"/>
      <c r="U10" s="90"/>
      <c r="V10" s="90"/>
      <c r="W10" s="90"/>
      <c r="X10" s="90"/>
      <c r="BI10" s="90" t="s">
        <v>27</v>
      </c>
      <c r="BJ10" s="4" t="s">
        <v>153</v>
      </c>
    </row>
    <row r="11" spans="2:62" s="90" customFormat="1" ht="21.75" customHeight="1">
      <c r="B11" s="108" t="s">
        <v>34</v>
      </c>
      <c r="C11" s="105"/>
      <c r="D11" s="105"/>
      <c r="E11" s="105"/>
      <c r="F11" s="105"/>
      <c r="G11" s="105"/>
      <c r="H11" s="105"/>
      <c r="I11" s="106">
        <v>7.0699999999999994</v>
      </c>
      <c r="J11" s="105"/>
      <c r="K11" s="105"/>
      <c r="L11" s="105"/>
      <c r="M11" s="112">
        <v>5.79E-2</v>
      </c>
      <c r="N11" s="106"/>
      <c r="O11" s="110"/>
      <c r="P11" s="106">
        <f>P12</f>
        <v>3.33561</v>
      </c>
      <c r="Q11" s="107">
        <f t="shared" ref="Q11:Q13" si="0">P11/$P$10</f>
        <v>1</v>
      </c>
      <c r="R11" s="107">
        <f>P11/'סכום נכסי הקרן'!$C$42</f>
        <v>5.2942979953497489E-4</v>
      </c>
      <c r="BJ11" s="90" t="s">
        <v>159</v>
      </c>
    </row>
    <row r="12" spans="2:62">
      <c r="B12" s="92" t="s">
        <v>33</v>
      </c>
      <c r="C12" s="72"/>
      <c r="D12" s="72"/>
      <c r="E12" s="72"/>
      <c r="F12" s="72"/>
      <c r="G12" s="72"/>
      <c r="H12" s="72"/>
      <c r="I12" s="81">
        <v>7.0699999999999994</v>
      </c>
      <c r="J12" s="72"/>
      <c r="K12" s="72"/>
      <c r="L12" s="72"/>
      <c r="M12" s="94">
        <v>5.79E-2</v>
      </c>
      <c r="N12" s="81"/>
      <c r="O12" s="83"/>
      <c r="P12" s="81">
        <f>P13</f>
        <v>3.33561</v>
      </c>
      <c r="Q12" s="82">
        <f t="shared" si="0"/>
        <v>1</v>
      </c>
      <c r="R12" s="82">
        <f>P12/'סכום נכסי הקרן'!$C$42</f>
        <v>5.2942979953497489E-4</v>
      </c>
      <c r="BJ12" s="1" t="s">
        <v>154</v>
      </c>
    </row>
    <row r="13" spans="2:62">
      <c r="B13" s="77" t="s">
        <v>1338</v>
      </c>
      <c r="C13" s="87" t="s">
        <v>1328</v>
      </c>
      <c r="D13" s="74">
        <v>7561</v>
      </c>
      <c r="E13" s="74"/>
      <c r="F13" s="74" t="s">
        <v>961</v>
      </c>
      <c r="G13" s="97">
        <v>43920</v>
      </c>
      <c r="H13" s="74" t="s">
        <v>1327</v>
      </c>
      <c r="I13" s="84">
        <v>7.0699999999999994</v>
      </c>
      <c r="J13" s="87" t="s">
        <v>1329</v>
      </c>
      <c r="K13" s="87" t="s">
        <v>151</v>
      </c>
      <c r="L13" s="88">
        <v>5.5918000000000002E-2</v>
      </c>
      <c r="M13" s="88">
        <v>5.79E-2</v>
      </c>
      <c r="N13" s="84">
        <v>3352.37</v>
      </c>
      <c r="O13" s="86">
        <v>99.5</v>
      </c>
      <c r="P13" s="84">
        <v>3.33561</v>
      </c>
      <c r="Q13" s="85">
        <f t="shared" si="0"/>
        <v>1</v>
      </c>
      <c r="R13" s="85">
        <f>P13/'סכום נכסי הקרן'!$C$42</f>
        <v>5.2942979953497489E-4</v>
      </c>
      <c r="BJ13" s="1" t="s">
        <v>155</v>
      </c>
    </row>
    <row r="14" spans="2:62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84"/>
      <c r="O14" s="86"/>
      <c r="P14" s="74"/>
      <c r="Q14" s="85"/>
      <c r="R14" s="74"/>
      <c r="BJ14" s="1" t="s">
        <v>156</v>
      </c>
    </row>
    <row r="15" spans="2:6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BJ15" s="1" t="s">
        <v>158</v>
      </c>
    </row>
    <row r="16" spans="2:6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BJ16" s="1" t="s">
        <v>157</v>
      </c>
    </row>
    <row r="17" spans="2:62">
      <c r="B17" s="89" t="s">
        <v>236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BJ17" s="1" t="s">
        <v>160</v>
      </c>
    </row>
    <row r="18" spans="2:62">
      <c r="B18" s="89" t="s">
        <v>99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BJ18" s="1" t="s">
        <v>161</v>
      </c>
    </row>
    <row r="19" spans="2:62">
      <c r="B19" s="89" t="s">
        <v>218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BJ19" s="1" t="s">
        <v>162</v>
      </c>
    </row>
    <row r="20" spans="2:62">
      <c r="B20" s="89" t="s">
        <v>226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BJ20" s="1" t="s">
        <v>163</v>
      </c>
    </row>
    <row r="21" spans="2:6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BJ21" s="1" t="s">
        <v>164</v>
      </c>
    </row>
    <row r="22" spans="2:6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BJ22" s="1" t="s">
        <v>27</v>
      </c>
    </row>
    <row r="23" spans="2:6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2:6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6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2:6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2:6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6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2:6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6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2:6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6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2:18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2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2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2:18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2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2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2:18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2:18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2:18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2:18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2:18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</sheetData>
  <sheetProtection sheet="1" objects="1" scenarios="1"/>
  <mergeCells count="1">
    <mergeCell ref="B6:R6"/>
  </mergeCells>
  <phoneticPr fontId="3" type="noConversion"/>
  <conditionalFormatting sqref="B58:B11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13">
    <cfRule type="cellIs" dxfId="1" priority="2" operator="equal">
      <formula>2958465</formula>
    </cfRule>
  </conditionalFormatting>
  <conditionalFormatting sqref="B11:B16 B2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4:R1048576 B17:B20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166</v>
      </c>
      <c r="C1" s="68" t="s" vm="1">
        <v>243</v>
      </c>
    </row>
    <row r="2" spans="2:64">
      <c r="B2" s="47" t="s">
        <v>165</v>
      </c>
      <c r="C2" s="68" t="s">
        <v>244</v>
      </c>
    </row>
    <row r="3" spans="2:64">
      <c r="B3" s="47" t="s">
        <v>167</v>
      </c>
      <c r="C3" s="68" t="s">
        <v>245</v>
      </c>
    </row>
    <row r="4" spans="2:64">
      <c r="B4" s="47" t="s">
        <v>168</v>
      </c>
      <c r="C4" s="68">
        <v>12148</v>
      </c>
    </row>
    <row r="6" spans="2:64" ht="26.25" customHeight="1">
      <c r="B6" s="125" t="s">
        <v>199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4" s="3" customFormat="1" ht="78.75">
      <c r="B7" s="48" t="s">
        <v>103</v>
      </c>
      <c r="C7" s="49" t="s">
        <v>39</v>
      </c>
      <c r="D7" s="49" t="s">
        <v>104</v>
      </c>
      <c r="E7" s="49" t="s">
        <v>14</v>
      </c>
      <c r="F7" s="49" t="s">
        <v>57</v>
      </c>
      <c r="G7" s="49" t="s">
        <v>17</v>
      </c>
      <c r="H7" s="49" t="s">
        <v>90</v>
      </c>
      <c r="I7" s="49" t="s">
        <v>45</v>
      </c>
      <c r="J7" s="49" t="s">
        <v>18</v>
      </c>
      <c r="K7" s="49" t="s">
        <v>220</v>
      </c>
      <c r="L7" s="49" t="s">
        <v>219</v>
      </c>
      <c r="M7" s="49" t="s">
        <v>98</v>
      </c>
      <c r="N7" s="49" t="s">
        <v>169</v>
      </c>
      <c r="O7" s="51" t="s">
        <v>171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227</v>
      </c>
      <c r="L8" s="32"/>
      <c r="M8" s="32" t="s">
        <v>223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99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218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226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166</v>
      </c>
      <c r="C1" s="68" t="s" vm="1">
        <v>243</v>
      </c>
    </row>
    <row r="2" spans="2:56">
      <c r="B2" s="47" t="s">
        <v>165</v>
      </c>
      <c r="C2" s="68" t="s">
        <v>244</v>
      </c>
    </row>
    <row r="3" spans="2:56">
      <c r="B3" s="47" t="s">
        <v>167</v>
      </c>
      <c r="C3" s="68" t="s">
        <v>245</v>
      </c>
    </row>
    <row r="4" spans="2:56">
      <c r="B4" s="47" t="s">
        <v>168</v>
      </c>
      <c r="C4" s="68">
        <v>12148</v>
      </c>
    </row>
    <row r="6" spans="2:56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7"/>
    </row>
    <row r="7" spans="2:56" s="3" customFormat="1" ht="78.75">
      <c r="B7" s="48" t="s">
        <v>103</v>
      </c>
      <c r="C7" s="50" t="s">
        <v>47</v>
      </c>
      <c r="D7" s="50" t="s">
        <v>75</v>
      </c>
      <c r="E7" s="50" t="s">
        <v>48</v>
      </c>
      <c r="F7" s="50" t="s">
        <v>90</v>
      </c>
      <c r="G7" s="50" t="s">
        <v>211</v>
      </c>
      <c r="H7" s="50" t="s">
        <v>169</v>
      </c>
      <c r="I7" s="50" t="s">
        <v>170</v>
      </c>
      <c r="J7" s="65" t="s">
        <v>230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8"/>
      <c r="C11" s="91"/>
      <c r="D11" s="91"/>
      <c r="E11" s="91"/>
      <c r="F11" s="91"/>
      <c r="G11" s="91"/>
      <c r="H11" s="91"/>
      <c r="I11" s="91"/>
      <c r="J11" s="91"/>
    </row>
    <row r="12" spans="2:56">
      <c r="B12" s="98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166</v>
      </c>
      <c r="C1" s="68" t="s" vm="1">
        <v>243</v>
      </c>
    </row>
    <row r="2" spans="2:60">
      <c r="B2" s="47" t="s">
        <v>165</v>
      </c>
      <c r="C2" s="68" t="s">
        <v>244</v>
      </c>
    </row>
    <row r="3" spans="2:60">
      <c r="B3" s="47" t="s">
        <v>167</v>
      </c>
      <c r="C3" s="68" t="s">
        <v>245</v>
      </c>
    </row>
    <row r="4" spans="2:60">
      <c r="B4" s="47" t="s">
        <v>168</v>
      </c>
      <c r="C4" s="68">
        <v>12148</v>
      </c>
    </row>
    <row r="6" spans="2:60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60" s="3" customFormat="1" ht="63">
      <c r="B7" s="48" t="s">
        <v>103</v>
      </c>
      <c r="C7" s="50" t="s">
        <v>104</v>
      </c>
      <c r="D7" s="50" t="s">
        <v>14</v>
      </c>
      <c r="E7" s="50" t="s">
        <v>15</v>
      </c>
      <c r="F7" s="50" t="s">
        <v>50</v>
      </c>
      <c r="G7" s="50" t="s">
        <v>90</v>
      </c>
      <c r="H7" s="50" t="s">
        <v>46</v>
      </c>
      <c r="I7" s="50" t="s">
        <v>98</v>
      </c>
      <c r="J7" s="50" t="s">
        <v>169</v>
      </c>
      <c r="K7" s="65" t="s">
        <v>170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223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98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2.855468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166</v>
      </c>
      <c r="C1" s="68" t="s" vm="1">
        <v>243</v>
      </c>
    </row>
    <row r="2" spans="2:60">
      <c r="B2" s="47" t="s">
        <v>165</v>
      </c>
      <c r="C2" s="68" t="s">
        <v>244</v>
      </c>
    </row>
    <row r="3" spans="2:60">
      <c r="B3" s="47" t="s">
        <v>167</v>
      </c>
      <c r="C3" s="68" t="s">
        <v>245</v>
      </c>
    </row>
    <row r="4" spans="2:60">
      <c r="B4" s="47" t="s">
        <v>168</v>
      </c>
      <c r="C4" s="68">
        <v>12148</v>
      </c>
    </row>
    <row r="6" spans="2:60" ht="26.25" customHeight="1">
      <c r="B6" s="125" t="s">
        <v>202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60" s="3" customFormat="1" ht="63">
      <c r="B7" s="48" t="s">
        <v>103</v>
      </c>
      <c r="C7" s="50" t="s">
        <v>39</v>
      </c>
      <c r="D7" s="50" t="s">
        <v>14</v>
      </c>
      <c r="E7" s="50" t="s">
        <v>15</v>
      </c>
      <c r="F7" s="50" t="s">
        <v>50</v>
      </c>
      <c r="G7" s="50" t="s">
        <v>90</v>
      </c>
      <c r="H7" s="50" t="s">
        <v>46</v>
      </c>
      <c r="I7" s="50" t="s">
        <v>98</v>
      </c>
      <c r="J7" s="50" t="s">
        <v>169</v>
      </c>
      <c r="K7" s="52" t="s">
        <v>170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223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4" t="s">
        <v>49</v>
      </c>
      <c r="C10" s="105"/>
      <c r="D10" s="105"/>
      <c r="E10" s="105"/>
      <c r="F10" s="105"/>
      <c r="G10" s="105"/>
      <c r="H10" s="107">
        <v>0</v>
      </c>
      <c r="I10" s="106">
        <v>6.3840263999999994E-2</v>
      </c>
      <c r="J10" s="107">
        <v>1</v>
      </c>
      <c r="K10" s="107">
        <f>I10/'סכום נכסי הקרן'!$C$42</f>
        <v>1.0132760775924006E-5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0"/>
    </row>
    <row r="11" spans="2:60" s="90" customFormat="1" ht="21" customHeight="1">
      <c r="B11" s="108" t="s">
        <v>217</v>
      </c>
      <c r="C11" s="105"/>
      <c r="D11" s="105"/>
      <c r="E11" s="105"/>
      <c r="F11" s="105"/>
      <c r="G11" s="105"/>
      <c r="H11" s="107">
        <v>0</v>
      </c>
      <c r="I11" s="106">
        <v>6.3840263999999994E-2</v>
      </c>
      <c r="J11" s="107">
        <v>1</v>
      </c>
      <c r="K11" s="107">
        <f>I11/'סכום נכסי הקרן'!$C$42</f>
        <v>1.0132760775924006E-5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73" t="s">
        <v>1330</v>
      </c>
      <c r="C12" s="74" t="s">
        <v>1331</v>
      </c>
      <c r="D12" s="74" t="s">
        <v>695</v>
      </c>
      <c r="E12" s="74" t="s">
        <v>329</v>
      </c>
      <c r="F12" s="88">
        <v>0</v>
      </c>
      <c r="G12" s="87" t="s">
        <v>151</v>
      </c>
      <c r="H12" s="85">
        <v>0</v>
      </c>
      <c r="I12" s="84">
        <v>6.3840263999999994E-2</v>
      </c>
      <c r="J12" s="85">
        <v>1</v>
      </c>
      <c r="K12" s="85">
        <f>I12/'סכום נכסי הקרן'!$C$42</f>
        <v>1.0132760775924006E-5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5"/>
      <c r="C13" s="74"/>
      <c r="D13" s="74"/>
      <c r="E13" s="74"/>
      <c r="F13" s="74"/>
      <c r="G13" s="74"/>
      <c r="H13" s="85"/>
      <c r="I13" s="74"/>
      <c r="J13" s="85"/>
      <c r="K13" s="7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8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8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3"/>
  <sheetViews>
    <sheetView rightToLeft="1" workbookViewId="0">
      <selection activeCell="B12" sqref="B12:D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166</v>
      </c>
      <c r="C1" s="68" t="s" vm="1">
        <v>243</v>
      </c>
    </row>
    <row r="2" spans="2:47">
      <c r="B2" s="47" t="s">
        <v>165</v>
      </c>
      <c r="C2" s="68" t="s">
        <v>244</v>
      </c>
    </row>
    <row r="3" spans="2:47">
      <c r="B3" s="47" t="s">
        <v>167</v>
      </c>
      <c r="C3" s="68" t="s">
        <v>245</v>
      </c>
    </row>
    <row r="4" spans="2:47">
      <c r="B4" s="47" t="s">
        <v>168</v>
      </c>
      <c r="C4" s="68">
        <v>12148</v>
      </c>
    </row>
    <row r="6" spans="2:47" ht="26.25" customHeight="1">
      <c r="B6" s="125" t="s">
        <v>203</v>
      </c>
      <c r="C6" s="126"/>
      <c r="D6" s="127"/>
    </row>
    <row r="7" spans="2:47" s="3" customFormat="1" ht="33">
      <c r="B7" s="48" t="s">
        <v>103</v>
      </c>
      <c r="C7" s="53" t="s">
        <v>95</v>
      </c>
      <c r="D7" s="54" t="s">
        <v>94</v>
      </c>
    </row>
    <row r="8" spans="2:47" s="3" customFormat="1">
      <c r="B8" s="15"/>
      <c r="C8" s="32" t="s">
        <v>223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>
      <c r="B10" s="96" t="s">
        <v>1332</v>
      </c>
      <c r="C10" s="81">
        <v>39.906983968497386</v>
      </c>
      <c r="D10" s="9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>
      <c r="B11" s="71" t="s">
        <v>1333</v>
      </c>
      <c r="C11" s="81">
        <v>39.906983968497386</v>
      </c>
      <c r="D11" s="103"/>
    </row>
    <row r="12" spans="2:47">
      <c r="B12" s="77" t="s">
        <v>1336</v>
      </c>
      <c r="C12" s="84">
        <v>17.980880000000003</v>
      </c>
      <c r="D12" s="97">
        <v>44926</v>
      </c>
    </row>
    <row r="13" spans="2:47">
      <c r="B13" s="77" t="s">
        <v>1337</v>
      </c>
      <c r="C13" s="84">
        <v>21.926103968497387</v>
      </c>
      <c r="D13" s="97">
        <v>51774</v>
      </c>
    </row>
    <row r="14" spans="2:47">
      <c r="B14" s="91"/>
      <c r="C14" s="91"/>
      <c r="D14" s="91"/>
    </row>
    <row r="15" spans="2:47">
      <c r="B15" s="91"/>
      <c r="C15" s="91"/>
      <c r="D15" s="91"/>
    </row>
    <row r="16" spans="2:47">
      <c r="B16" s="91"/>
      <c r="C16" s="91"/>
      <c r="D16" s="91"/>
    </row>
    <row r="17" spans="2:4">
      <c r="B17" s="91"/>
      <c r="C17" s="91"/>
      <c r="D17" s="91"/>
    </row>
    <row r="18" spans="2:4">
      <c r="B18" s="91"/>
      <c r="C18" s="91"/>
      <c r="D18" s="91"/>
    </row>
    <row r="19" spans="2:4">
      <c r="B19" s="91"/>
      <c r="C19" s="91"/>
      <c r="D19" s="91"/>
    </row>
    <row r="20" spans="2:4">
      <c r="B20" s="91"/>
      <c r="C20" s="91"/>
      <c r="D20" s="91"/>
    </row>
    <row r="21" spans="2:4">
      <c r="B21" s="91"/>
      <c r="C21" s="91"/>
      <c r="D21" s="91"/>
    </row>
    <row r="22" spans="2:4">
      <c r="B22" s="91"/>
      <c r="C22" s="91"/>
      <c r="D22" s="91"/>
    </row>
    <row r="23" spans="2:4">
      <c r="B23" s="91"/>
      <c r="C23" s="91"/>
      <c r="D23" s="91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24:XFD1048576 D22:AF23 AH22:XFD23 D1:XFD21 A1:B1048576 C5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166</v>
      </c>
      <c r="C1" s="68" t="s" vm="1">
        <v>243</v>
      </c>
    </row>
    <row r="2" spans="2:18">
      <c r="B2" s="47" t="s">
        <v>165</v>
      </c>
      <c r="C2" s="68" t="s">
        <v>244</v>
      </c>
    </row>
    <row r="3" spans="2:18">
      <c r="B3" s="47" t="s">
        <v>167</v>
      </c>
      <c r="C3" s="68" t="s">
        <v>245</v>
      </c>
    </row>
    <row r="4" spans="2:18">
      <c r="B4" s="47" t="s">
        <v>168</v>
      </c>
      <c r="C4" s="68">
        <v>12148</v>
      </c>
    </row>
    <row r="6" spans="2:18" ht="26.25" customHeight="1">
      <c r="B6" s="125" t="s">
        <v>206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103</v>
      </c>
      <c r="C7" s="30" t="s">
        <v>39</v>
      </c>
      <c r="D7" s="30" t="s">
        <v>56</v>
      </c>
      <c r="E7" s="30" t="s">
        <v>14</v>
      </c>
      <c r="F7" s="30" t="s">
        <v>57</v>
      </c>
      <c r="G7" s="30" t="s">
        <v>91</v>
      </c>
      <c r="H7" s="30" t="s">
        <v>17</v>
      </c>
      <c r="I7" s="30" t="s">
        <v>90</v>
      </c>
      <c r="J7" s="30" t="s">
        <v>16</v>
      </c>
      <c r="K7" s="30" t="s">
        <v>204</v>
      </c>
      <c r="L7" s="30" t="s">
        <v>225</v>
      </c>
      <c r="M7" s="30" t="s">
        <v>205</v>
      </c>
      <c r="N7" s="30" t="s">
        <v>51</v>
      </c>
      <c r="O7" s="30" t="s">
        <v>169</v>
      </c>
      <c r="P7" s="31" t="s">
        <v>171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227</v>
      </c>
      <c r="M8" s="32" t="s">
        <v>223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166</v>
      </c>
      <c r="C1" s="68" t="s" vm="1">
        <v>243</v>
      </c>
    </row>
    <row r="2" spans="2:18">
      <c r="B2" s="47" t="s">
        <v>165</v>
      </c>
      <c r="C2" s="68" t="s">
        <v>244</v>
      </c>
    </row>
    <row r="3" spans="2:18">
      <c r="B3" s="47" t="s">
        <v>167</v>
      </c>
      <c r="C3" s="68" t="s">
        <v>245</v>
      </c>
    </row>
    <row r="4" spans="2:18">
      <c r="B4" s="47" t="s">
        <v>168</v>
      </c>
      <c r="C4" s="68">
        <v>12148</v>
      </c>
    </row>
    <row r="6" spans="2:18" ht="26.25" customHeight="1">
      <c r="B6" s="125" t="s">
        <v>207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103</v>
      </c>
      <c r="C7" s="30" t="s">
        <v>39</v>
      </c>
      <c r="D7" s="30" t="s">
        <v>56</v>
      </c>
      <c r="E7" s="30" t="s">
        <v>14</v>
      </c>
      <c r="F7" s="30" t="s">
        <v>57</v>
      </c>
      <c r="G7" s="30" t="s">
        <v>91</v>
      </c>
      <c r="H7" s="30" t="s">
        <v>17</v>
      </c>
      <c r="I7" s="30" t="s">
        <v>90</v>
      </c>
      <c r="J7" s="30" t="s">
        <v>16</v>
      </c>
      <c r="K7" s="30" t="s">
        <v>204</v>
      </c>
      <c r="L7" s="30" t="s">
        <v>220</v>
      </c>
      <c r="M7" s="30" t="s">
        <v>205</v>
      </c>
      <c r="N7" s="30" t="s">
        <v>51</v>
      </c>
      <c r="O7" s="30" t="s">
        <v>169</v>
      </c>
      <c r="P7" s="31" t="s">
        <v>171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227</v>
      </c>
      <c r="M8" s="32" t="s">
        <v>223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7" workbookViewId="0">
      <selection activeCell="R55" sqref="R55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62.855468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166</v>
      </c>
      <c r="C1" s="68" t="s" vm="1">
        <v>243</v>
      </c>
    </row>
    <row r="2" spans="2:53">
      <c r="B2" s="47" t="s">
        <v>165</v>
      </c>
      <c r="C2" s="68" t="s">
        <v>244</v>
      </c>
    </row>
    <row r="3" spans="2:53">
      <c r="B3" s="47" t="s">
        <v>167</v>
      </c>
      <c r="C3" s="68" t="s">
        <v>245</v>
      </c>
    </row>
    <row r="4" spans="2:53">
      <c r="B4" s="47" t="s">
        <v>168</v>
      </c>
      <c r="C4" s="68">
        <v>12148</v>
      </c>
    </row>
    <row r="6" spans="2:53" ht="21.75" customHeight="1">
      <c r="B6" s="128" t="s">
        <v>196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76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2" t="s">
        <v>102</v>
      </c>
      <c r="C8" s="30" t="s">
        <v>39</v>
      </c>
      <c r="D8" s="30" t="s">
        <v>106</v>
      </c>
      <c r="E8" s="30" t="s">
        <v>14</v>
      </c>
      <c r="F8" s="30" t="s">
        <v>57</v>
      </c>
      <c r="G8" s="30" t="s">
        <v>91</v>
      </c>
      <c r="H8" s="30" t="s">
        <v>17</v>
      </c>
      <c r="I8" s="30" t="s">
        <v>90</v>
      </c>
      <c r="J8" s="30" t="s">
        <v>16</v>
      </c>
      <c r="K8" s="30" t="s">
        <v>18</v>
      </c>
      <c r="L8" s="30" t="s">
        <v>220</v>
      </c>
      <c r="M8" s="30" t="s">
        <v>219</v>
      </c>
      <c r="N8" s="30" t="s">
        <v>235</v>
      </c>
      <c r="O8" s="30" t="s">
        <v>52</v>
      </c>
      <c r="P8" s="30" t="s">
        <v>222</v>
      </c>
      <c r="Q8" s="30" t="s">
        <v>169</v>
      </c>
      <c r="R8" s="60" t="s">
        <v>171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227</v>
      </c>
      <c r="M9" s="32"/>
      <c r="N9" s="16" t="s">
        <v>223</v>
      </c>
      <c r="O9" s="32" t="s">
        <v>228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100</v>
      </c>
      <c r="R10" s="20" t="s">
        <v>101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8.2990309883700171</v>
      </c>
      <c r="I11" s="70"/>
      <c r="J11" s="70"/>
      <c r="K11" s="79">
        <v>8.0241747353873467E-3</v>
      </c>
      <c r="L11" s="78"/>
      <c r="M11" s="80"/>
      <c r="N11" s="70"/>
      <c r="O11" s="78">
        <v>952.16077831600012</v>
      </c>
      <c r="P11" s="70"/>
      <c r="Q11" s="79">
        <v>1</v>
      </c>
      <c r="R11" s="79">
        <f>O11/'סכום נכסי הקרן'!$C$42</f>
        <v>0.15112746693675388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217</v>
      </c>
      <c r="C12" s="72"/>
      <c r="D12" s="72"/>
      <c r="E12" s="72"/>
      <c r="F12" s="72"/>
      <c r="G12" s="72"/>
      <c r="H12" s="81">
        <v>8.2245754353067344</v>
      </c>
      <c r="I12" s="72"/>
      <c r="J12" s="72"/>
      <c r="K12" s="82">
        <v>7.8327040275665769E-3</v>
      </c>
      <c r="L12" s="81"/>
      <c r="M12" s="83"/>
      <c r="N12" s="72"/>
      <c r="O12" s="81">
        <v>945.42531059999999</v>
      </c>
      <c r="P12" s="72"/>
      <c r="Q12" s="82">
        <v>0.99292612353985787</v>
      </c>
      <c r="R12" s="82">
        <f>O12/'סכום נכסי הקרן'!$C$42</f>
        <v>0.15005840990590907</v>
      </c>
      <c r="AW12" s="4"/>
    </row>
    <row r="13" spans="2:53" s="90" customFormat="1">
      <c r="B13" s="109" t="s">
        <v>25</v>
      </c>
      <c r="C13" s="105"/>
      <c r="D13" s="105"/>
      <c r="E13" s="105"/>
      <c r="F13" s="105"/>
      <c r="G13" s="105"/>
      <c r="H13" s="106">
        <v>6.7247845305709495</v>
      </c>
      <c r="I13" s="105"/>
      <c r="J13" s="105"/>
      <c r="K13" s="107">
        <v>2.0508348583092788E-3</v>
      </c>
      <c r="L13" s="106"/>
      <c r="M13" s="110"/>
      <c r="N13" s="105"/>
      <c r="O13" s="106">
        <v>371.09868951000004</v>
      </c>
      <c r="P13" s="105"/>
      <c r="Q13" s="107">
        <v>0.38974372601896962</v>
      </c>
      <c r="R13" s="107">
        <f>O13/'סכום נכסי הקרן'!$C$42</f>
        <v>5.8900982067739104E-2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6.7247845305709495</v>
      </c>
      <c r="I14" s="72"/>
      <c r="J14" s="72"/>
      <c r="K14" s="82">
        <v>2.0508348583092788E-3</v>
      </c>
      <c r="L14" s="81"/>
      <c r="M14" s="83"/>
      <c r="N14" s="72"/>
      <c r="O14" s="81">
        <v>371.09868951000004</v>
      </c>
      <c r="P14" s="72"/>
      <c r="Q14" s="82">
        <v>0.38974372601896962</v>
      </c>
      <c r="R14" s="82">
        <f>O14/'סכום נכסי הקרן'!$C$42</f>
        <v>5.8900982067739104E-2</v>
      </c>
    </row>
    <row r="15" spans="2:53">
      <c r="B15" s="76" t="s">
        <v>246</v>
      </c>
      <c r="C15" s="74" t="s">
        <v>247</v>
      </c>
      <c r="D15" s="87" t="s">
        <v>107</v>
      </c>
      <c r="E15" s="74" t="s">
        <v>248</v>
      </c>
      <c r="F15" s="74"/>
      <c r="G15" s="74"/>
      <c r="H15" s="84">
        <v>1.2899999999978216</v>
      </c>
      <c r="I15" s="87" t="s">
        <v>151</v>
      </c>
      <c r="J15" s="88">
        <v>0.04</v>
      </c>
      <c r="K15" s="85">
        <v>9.3000000000257443E-3</v>
      </c>
      <c r="L15" s="84">
        <v>36211.999322000003</v>
      </c>
      <c r="M15" s="86">
        <v>139.44999999999999</v>
      </c>
      <c r="N15" s="74"/>
      <c r="O15" s="84">
        <v>50.497634859000001</v>
      </c>
      <c r="P15" s="85">
        <v>2.3290744039979402E-6</v>
      </c>
      <c r="Q15" s="85">
        <v>5.3034777328583686E-2</v>
      </c>
      <c r="R15" s="85">
        <f>O15/'סכום נכסי הקרן'!$C$42</f>
        <v>8.015011557223636E-3</v>
      </c>
    </row>
    <row r="16" spans="2:53" ht="20.25">
      <c r="B16" s="76" t="s">
        <v>249</v>
      </c>
      <c r="C16" s="74" t="s">
        <v>250</v>
      </c>
      <c r="D16" s="87" t="s">
        <v>107</v>
      </c>
      <c r="E16" s="74" t="s">
        <v>248</v>
      </c>
      <c r="F16" s="74"/>
      <c r="G16" s="74"/>
      <c r="H16" s="84">
        <v>4.0000000000412665</v>
      </c>
      <c r="I16" s="87" t="s">
        <v>151</v>
      </c>
      <c r="J16" s="88">
        <v>0.04</v>
      </c>
      <c r="K16" s="85">
        <v>-8.9999999991334176E-4</v>
      </c>
      <c r="L16" s="84">
        <v>32527.618614999999</v>
      </c>
      <c r="M16" s="86">
        <v>149</v>
      </c>
      <c r="N16" s="74"/>
      <c r="O16" s="84">
        <v>48.466153337999991</v>
      </c>
      <c r="P16" s="85">
        <v>2.7997861415330525E-6</v>
      </c>
      <c r="Q16" s="85">
        <v>5.0901228491807504E-2</v>
      </c>
      <c r="R16" s="85">
        <f>O16/'סכום נכסי הקרן'!$C$42</f>
        <v>7.6925737259357935E-3</v>
      </c>
      <c r="AU16" s="4"/>
    </row>
    <row r="17" spans="2:48" ht="20.25">
      <c r="B17" s="76" t="s">
        <v>251</v>
      </c>
      <c r="C17" s="74" t="s">
        <v>252</v>
      </c>
      <c r="D17" s="87" t="s">
        <v>107</v>
      </c>
      <c r="E17" s="74" t="s">
        <v>248</v>
      </c>
      <c r="F17" s="74"/>
      <c r="G17" s="74"/>
      <c r="H17" s="84">
        <v>6.9699999998424857</v>
      </c>
      <c r="I17" s="87" t="s">
        <v>151</v>
      </c>
      <c r="J17" s="88">
        <v>7.4999999999999997E-3</v>
      </c>
      <c r="K17" s="85">
        <v>-6.0000000022251217E-4</v>
      </c>
      <c r="L17" s="84">
        <v>15856.747818</v>
      </c>
      <c r="M17" s="86">
        <v>107.7</v>
      </c>
      <c r="N17" s="74"/>
      <c r="O17" s="84">
        <v>17.077716277</v>
      </c>
      <c r="P17" s="85">
        <v>1.1185591537386209E-6</v>
      </c>
      <c r="Q17" s="85">
        <v>1.7935748526844174E-2</v>
      </c>
      <c r="R17" s="85">
        <f>O17/'סכום נכסי הקרן'!$C$42</f>
        <v>2.7105842424765751E-3</v>
      </c>
      <c r="AV17" s="4"/>
    </row>
    <row r="18" spans="2:48">
      <c r="B18" s="76" t="s">
        <v>253</v>
      </c>
      <c r="C18" s="74" t="s">
        <v>254</v>
      </c>
      <c r="D18" s="87" t="s">
        <v>107</v>
      </c>
      <c r="E18" s="74" t="s">
        <v>248</v>
      </c>
      <c r="F18" s="74"/>
      <c r="G18" s="74"/>
      <c r="H18" s="84">
        <v>12.900000000027248</v>
      </c>
      <c r="I18" s="87" t="s">
        <v>151</v>
      </c>
      <c r="J18" s="88">
        <v>0.04</v>
      </c>
      <c r="K18" s="85">
        <v>1.4000000000856353E-3</v>
      </c>
      <c r="L18" s="84">
        <v>13073.965878999999</v>
      </c>
      <c r="M18" s="86">
        <v>196.5</v>
      </c>
      <c r="N18" s="74"/>
      <c r="O18" s="84">
        <v>25.690342927000003</v>
      </c>
      <c r="P18" s="85">
        <v>8.0596016799326177E-7</v>
      </c>
      <c r="Q18" s="85">
        <v>2.6981097638191072E-2</v>
      </c>
      <c r="R18" s="85">
        <f>O18/'סכום נכסי הקרן'!$C$42</f>
        <v>4.0775849412330494E-3</v>
      </c>
      <c r="AU18" s="3"/>
    </row>
    <row r="19" spans="2:48">
      <c r="B19" s="76" t="s">
        <v>255</v>
      </c>
      <c r="C19" s="74" t="s">
        <v>256</v>
      </c>
      <c r="D19" s="87" t="s">
        <v>107</v>
      </c>
      <c r="E19" s="74" t="s">
        <v>248</v>
      </c>
      <c r="F19" s="74"/>
      <c r="G19" s="74"/>
      <c r="H19" s="84">
        <v>17.3399999997431</v>
      </c>
      <c r="I19" s="87" t="s">
        <v>151</v>
      </c>
      <c r="J19" s="88">
        <v>2.75E-2</v>
      </c>
      <c r="K19" s="85">
        <v>2.9999999998414186E-3</v>
      </c>
      <c r="L19" s="84">
        <v>19310.076682999999</v>
      </c>
      <c r="M19" s="86">
        <v>163.28</v>
      </c>
      <c r="N19" s="74"/>
      <c r="O19" s="84">
        <v>31.529494415000002</v>
      </c>
      <c r="P19" s="85">
        <v>1.0925037332531752E-6</v>
      </c>
      <c r="Q19" s="85">
        <v>3.3113624435112045E-2</v>
      </c>
      <c r="R19" s="85">
        <f>O19/'סכום נכסי הקרן'!$C$42</f>
        <v>5.0043781819734809E-3</v>
      </c>
      <c r="AV19" s="3"/>
    </row>
    <row r="20" spans="2:48">
      <c r="B20" s="76" t="s">
        <v>257</v>
      </c>
      <c r="C20" s="74" t="s">
        <v>258</v>
      </c>
      <c r="D20" s="87" t="s">
        <v>107</v>
      </c>
      <c r="E20" s="74" t="s">
        <v>248</v>
      </c>
      <c r="F20" s="74"/>
      <c r="G20" s="74"/>
      <c r="H20" s="84">
        <v>3.399999999993113</v>
      </c>
      <c r="I20" s="87" t="s">
        <v>151</v>
      </c>
      <c r="J20" s="88">
        <v>1.7500000000000002E-2</v>
      </c>
      <c r="K20" s="85">
        <v>6.0000000004131911E-4</v>
      </c>
      <c r="L20" s="84">
        <v>53386.429177999999</v>
      </c>
      <c r="M20" s="86">
        <v>108.8</v>
      </c>
      <c r="N20" s="74"/>
      <c r="O20" s="84">
        <v>58.084430546</v>
      </c>
      <c r="P20" s="85">
        <v>3.1829679836632885E-6</v>
      </c>
      <c r="Q20" s="85">
        <v>6.1002754859036133E-2</v>
      </c>
      <c r="R20" s="85">
        <f>O20/'סכום נכסי הקרן'!$C$42</f>
        <v>9.2191918180098854E-3</v>
      </c>
    </row>
    <row r="21" spans="2:48">
      <c r="B21" s="76" t="s">
        <v>259</v>
      </c>
      <c r="C21" s="74" t="s">
        <v>260</v>
      </c>
      <c r="D21" s="87" t="s">
        <v>107</v>
      </c>
      <c r="E21" s="74" t="s">
        <v>248</v>
      </c>
      <c r="F21" s="74"/>
      <c r="G21" s="74"/>
      <c r="H21" s="84">
        <v>0.579999997453989</v>
      </c>
      <c r="I21" s="87" t="s">
        <v>151</v>
      </c>
      <c r="J21" s="88">
        <v>1E-3</v>
      </c>
      <c r="K21" s="85">
        <v>1.4999999957566483E-2</v>
      </c>
      <c r="L21" s="84">
        <v>117.561003</v>
      </c>
      <c r="M21" s="86">
        <v>100.23</v>
      </c>
      <c r="N21" s="74"/>
      <c r="O21" s="84">
        <v>0.117831385</v>
      </c>
      <c r="P21" s="85">
        <v>7.757017332193413E-9</v>
      </c>
      <c r="Q21" s="85">
        <v>1.2375156347901414E-4</v>
      </c>
      <c r="R21" s="85">
        <f>O21/'סכום נכסי הקרן'!$C$42</f>
        <v>1.8702260318046309E-5</v>
      </c>
    </row>
    <row r="22" spans="2:48">
      <c r="B22" s="76" t="s">
        <v>261</v>
      </c>
      <c r="C22" s="74" t="s">
        <v>262</v>
      </c>
      <c r="D22" s="87" t="s">
        <v>107</v>
      </c>
      <c r="E22" s="74" t="s">
        <v>248</v>
      </c>
      <c r="F22" s="74"/>
      <c r="G22" s="74"/>
      <c r="H22" s="84">
        <v>5.4799999999808158</v>
      </c>
      <c r="I22" s="87" t="s">
        <v>151</v>
      </c>
      <c r="J22" s="88">
        <v>7.4999999999999997E-3</v>
      </c>
      <c r="K22" s="85">
        <v>-9.000000000389675E-4</v>
      </c>
      <c r="L22" s="84">
        <v>31576.910638000001</v>
      </c>
      <c r="M22" s="86">
        <v>105.65</v>
      </c>
      <c r="N22" s="74"/>
      <c r="O22" s="84">
        <v>33.361008642999998</v>
      </c>
      <c r="P22" s="85">
        <v>2.3107587566636404E-6</v>
      </c>
      <c r="Q22" s="85">
        <v>3.5037159062571946E-2</v>
      </c>
      <c r="R22" s="85">
        <f>O22/'סכום נכסי הקרן'!$C$42</f>
        <v>5.2950770977866282E-3</v>
      </c>
    </row>
    <row r="23" spans="2:48">
      <c r="B23" s="76" t="s">
        <v>263</v>
      </c>
      <c r="C23" s="74" t="s">
        <v>264</v>
      </c>
      <c r="D23" s="87" t="s">
        <v>107</v>
      </c>
      <c r="E23" s="74" t="s">
        <v>248</v>
      </c>
      <c r="F23" s="74"/>
      <c r="G23" s="74"/>
      <c r="H23" s="84">
        <v>8.9599999999350874</v>
      </c>
      <c r="I23" s="87" t="s">
        <v>151</v>
      </c>
      <c r="J23" s="88">
        <v>5.0000000000000001E-3</v>
      </c>
      <c r="K23" s="85">
        <v>-7.9999999977685963E-4</v>
      </c>
      <c r="L23" s="84">
        <v>18602.383656999998</v>
      </c>
      <c r="M23" s="86">
        <v>106</v>
      </c>
      <c r="N23" s="74"/>
      <c r="O23" s="84">
        <v>19.718527217999998</v>
      </c>
      <c r="P23" s="85">
        <v>1.7457963520159346E-6</v>
      </c>
      <c r="Q23" s="85">
        <v>2.0709241198607613E-2</v>
      </c>
      <c r="R23" s="85">
        <f>O23/'סכום נכסי הקרן'!$C$42</f>
        <v>3.1297351645278334E-3</v>
      </c>
    </row>
    <row r="24" spans="2:48">
      <c r="B24" s="76" t="s">
        <v>265</v>
      </c>
      <c r="C24" s="74" t="s">
        <v>266</v>
      </c>
      <c r="D24" s="87" t="s">
        <v>107</v>
      </c>
      <c r="E24" s="74" t="s">
        <v>248</v>
      </c>
      <c r="F24" s="74"/>
      <c r="G24" s="74"/>
      <c r="H24" s="84">
        <v>22.36999999967135</v>
      </c>
      <c r="I24" s="87" t="s">
        <v>151</v>
      </c>
      <c r="J24" s="88">
        <v>0.01</v>
      </c>
      <c r="K24" s="85">
        <v>5.9999999999156206E-3</v>
      </c>
      <c r="L24" s="84">
        <v>21292.788853999999</v>
      </c>
      <c r="M24" s="86">
        <v>111.32</v>
      </c>
      <c r="N24" s="74"/>
      <c r="O24" s="84">
        <v>23.703130667000003</v>
      </c>
      <c r="P24" s="85">
        <v>1.3667425831992657E-6</v>
      </c>
      <c r="Q24" s="85">
        <v>2.4894042273954583E-2</v>
      </c>
      <c r="R24" s="85">
        <f>O24/'סכום נכסי הקרן'!$C$42</f>
        <v>3.7621735506792246E-3</v>
      </c>
    </row>
    <row r="25" spans="2:48">
      <c r="B25" s="76" t="s">
        <v>267</v>
      </c>
      <c r="C25" s="74" t="s">
        <v>268</v>
      </c>
      <c r="D25" s="87" t="s">
        <v>107</v>
      </c>
      <c r="E25" s="74" t="s">
        <v>248</v>
      </c>
      <c r="F25" s="74"/>
      <c r="G25" s="74"/>
      <c r="H25" s="84">
        <v>2.4199999999888626</v>
      </c>
      <c r="I25" s="87" t="s">
        <v>151</v>
      </c>
      <c r="J25" s="88">
        <v>2.75E-2</v>
      </c>
      <c r="K25" s="85">
        <v>1.3000000000715961E-3</v>
      </c>
      <c r="L25" s="84">
        <v>56123.240675000001</v>
      </c>
      <c r="M25" s="86">
        <v>111.99</v>
      </c>
      <c r="N25" s="74"/>
      <c r="O25" s="84">
        <v>62.852419235000006</v>
      </c>
      <c r="P25" s="85">
        <v>3.3847432806593477E-6</v>
      </c>
      <c r="Q25" s="85">
        <v>6.6010300640781852E-2</v>
      </c>
      <c r="R25" s="85">
        <f>O25/'סכום נכסי הקרן'!$C$42</f>
        <v>9.9759695275749433E-3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 s="90" customFormat="1">
      <c r="B27" s="109" t="s">
        <v>40</v>
      </c>
      <c r="C27" s="105"/>
      <c r="D27" s="105"/>
      <c r="E27" s="105"/>
      <c r="F27" s="105"/>
      <c r="G27" s="105"/>
      <c r="H27" s="106">
        <v>9.1936589129804069</v>
      </c>
      <c r="I27" s="105"/>
      <c r="J27" s="105"/>
      <c r="K27" s="107">
        <v>1.1568634059083295E-2</v>
      </c>
      <c r="L27" s="106"/>
      <c r="M27" s="110"/>
      <c r="N27" s="105"/>
      <c r="O27" s="106">
        <v>574.32662109000012</v>
      </c>
      <c r="P27" s="105"/>
      <c r="Q27" s="107">
        <v>0.60318239752088842</v>
      </c>
      <c r="R27" s="107">
        <f>O27/'סכום נכסי הקרן'!$C$42</f>
        <v>9.1157427838170005E-2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0.49639997635082156</v>
      </c>
      <c r="I28" s="72"/>
      <c r="J28" s="72"/>
      <c r="K28" s="82">
        <v>2.4906622073080421E-3</v>
      </c>
      <c r="L28" s="81"/>
      <c r="M28" s="83"/>
      <c r="N28" s="72"/>
      <c r="O28" s="81">
        <v>8.4641756469999994</v>
      </c>
      <c r="P28" s="72"/>
      <c r="Q28" s="82">
        <v>8.8894395145847262E-3</v>
      </c>
      <c r="R28" s="82">
        <f>O28/'סכום נכסי הקרן'!$C$42</f>
        <v>1.3434384763266769E-3</v>
      </c>
    </row>
    <row r="29" spans="2:48">
      <c r="B29" s="76" t="s">
        <v>269</v>
      </c>
      <c r="C29" s="74" t="s">
        <v>270</v>
      </c>
      <c r="D29" s="87" t="s">
        <v>107</v>
      </c>
      <c r="E29" s="74" t="s">
        <v>248</v>
      </c>
      <c r="F29" s="74"/>
      <c r="G29" s="74"/>
      <c r="H29" s="84">
        <v>0.5400000000282168</v>
      </c>
      <c r="I29" s="87" t="s">
        <v>151</v>
      </c>
      <c r="J29" s="88">
        <v>0</v>
      </c>
      <c r="K29" s="85">
        <v>2.1999999980248275E-3</v>
      </c>
      <c r="L29" s="84">
        <v>2128.9513019999999</v>
      </c>
      <c r="M29" s="86">
        <v>99.88</v>
      </c>
      <c r="N29" s="74"/>
      <c r="O29" s="84">
        <v>2.126396561</v>
      </c>
      <c r="P29" s="85">
        <v>2.3655014466666665E-7</v>
      </c>
      <c r="Q29" s="85">
        <v>2.2332326739616009E-3</v>
      </c>
      <c r="R29" s="85">
        <f>O29/'סכום נכסי הקרן'!$C$42</f>
        <v>3.3750279709621032E-4</v>
      </c>
    </row>
    <row r="30" spans="2:48">
      <c r="B30" s="76" t="s">
        <v>271</v>
      </c>
      <c r="C30" s="74" t="s">
        <v>272</v>
      </c>
      <c r="D30" s="87" t="s">
        <v>107</v>
      </c>
      <c r="E30" s="74" t="s">
        <v>248</v>
      </c>
      <c r="F30" s="74"/>
      <c r="G30" s="74"/>
      <c r="H30" s="84">
        <v>0.77000000081217446</v>
      </c>
      <c r="I30" s="87" t="s">
        <v>151</v>
      </c>
      <c r="J30" s="88">
        <v>0</v>
      </c>
      <c r="K30" s="85">
        <v>2.599999998089002E-3</v>
      </c>
      <c r="L30" s="84">
        <v>838.93648900000005</v>
      </c>
      <c r="M30" s="86">
        <v>99.8</v>
      </c>
      <c r="N30" s="74"/>
      <c r="O30" s="84">
        <v>0.83725861599999984</v>
      </c>
      <c r="P30" s="85">
        <v>1.0486706112500001E-7</v>
      </c>
      <c r="Q30" s="85">
        <v>8.7932483154870415E-4</v>
      </c>
      <c r="R30" s="85">
        <f>O30/'סכום נכסי הקרן'!$C$42</f>
        <v>1.3289013440654347E-4</v>
      </c>
    </row>
    <row r="31" spans="2:48">
      <c r="B31" s="76" t="s">
        <v>273</v>
      </c>
      <c r="C31" s="74" t="s">
        <v>274</v>
      </c>
      <c r="D31" s="87" t="s">
        <v>107</v>
      </c>
      <c r="E31" s="74" t="s">
        <v>248</v>
      </c>
      <c r="F31" s="74"/>
      <c r="G31" s="74"/>
      <c r="H31" s="84">
        <v>0.589999999741183</v>
      </c>
      <c r="I31" s="87" t="s">
        <v>151</v>
      </c>
      <c r="J31" s="88">
        <v>0</v>
      </c>
      <c r="K31" s="85">
        <v>2.2000000021314319E-3</v>
      </c>
      <c r="L31" s="84">
        <v>1315.3805199999999</v>
      </c>
      <c r="M31" s="86">
        <v>99.87</v>
      </c>
      <c r="N31" s="74"/>
      <c r="O31" s="84">
        <v>1.3136705260000003</v>
      </c>
      <c r="P31" s="85">
        <v>1.461533911111111E-7</v>
      </c>
      <c r="Q31" s="85">
        <v>1.3796730089254143E-3</v>
      </c>
      <c r="R31" s="85">
        <f>O31/'סכום נכסי הקרן'!$C$42</f>
        <v>2.085064870399073E-4</v>
      </c>
    </row>
    <row r="32" spans="2:48">
      <c r="B32" s="76" t="s">
        <v>275</v>
      </c>
      <c r="C32" s="74" t="s">
        <v>276</v>
      </c>
      <c r="D32" s="87" t="s">
        <v>107</v>
      </c>
      <c r="E32" s="74" t="s">
        <v>248</v>
      </c>
      <c r="F32" s="74"/>
      <c r="G32" s="74"/>
      <c r="H32" s="84">
        <v>0.67000000021911621</v>
      </c>
      <c r="I32" s="87" t="s">
        <v>151</v>
      </c>
      <c r="J32" s="88">
        <v>0</v>
      </c>
      <c r="K32" s="85">
        <v>2.1999999946950817E-3</v>
      </c>
      <c r="L32" s="84">
        <v>868.42247600000007</v>
      </c>
      <c r="M32" s="86">
        <v>99.85</v>
      </c>
      <c r="N32" s="74"/>
      <c r="O32" s="84">
        <v>0.867119843</v>
      </c>
      <c r="P32" s="85">
        <v>9.6491386222222228E-8</v>
      </c>
      <c r="Q32" s="85">
        <v>9.1068637014601222E-4</v>
      </c>
      <c r="R32" s="85">
        <f>O32/'סכום נכסי הקרן'!$C$42</f>
        <v>1.3762972429399387E-4</v>
      </c>
    </row>
    <row r="33" spans="2:18">
      <c r="B33" s="76" t="s">
        <v>277</v>
      </c>
      <c r="C33" s="74" t="s">
        <v>278</v>
      </c>
      <c r="D33" s="87" t="s">
        <v>107</v>
      </c>
      <c r="E33" s="74" t="s">
        <v>248</v>
      </c>
      <c r="F33" s="74"/>
      <c r="G33" s="74"/>
      <c r="H33" s="84">
        <v>0.84000000024437405</v>
      </c>
      <c r="I33" s="87" t="s">
        <v>151</v>
      </c>
      <c r="J33" s="88">
        <v>0</v>
      </c>
      <c r="K33" s="85">
        <v>2.1000000158843137E-3</v>
      </c>
      <c r="L33" s="84">
        <v>163.978656</v>
      </c>
      <c r="M33" s="86">
        <v>99.82</v>
      </c>
      <c r="N33" s="74"/>
      <c r="O33" s="84">
        <v>0.16368349399999998</v>
      </c>
      <c r="P33" s="85">
        <v>2.3425522285714285E-8</v>
      </c>
      <c r="Q33" s="85">
        <v>1.7190741073108687E-4</v>
      </c>
      <c r="R33" s="85">
        <f>O33/'סכום נכסי הקרן'!$C$42</f>
        <v>2.5979931531445303E-5</v>
      </c>
    </row>
    <row r="34" spans="2:18">
      <c r="B34" s="76" t="s">
        <v>279</v>
      </c>
      <c r="C34" s="74" t="s">
        <v>280</v>
      </c>
      <c r="D34" s="87" t="s">
        <v>107</v>
      </c>
      <c r="E34" s="74" t="s">
        <v>248</v>
      </c>
      <c r="F34" s="74"/>
      <c r="G34" s="74"/>
      <c r="H34" s="84">
        <v>1.9999999500887742E-2</v>
      </c>
      <c r="I34" s="87" t="s">
        <v>151</v>
      </c>
      <c r="J34" s="88">
        <v>0</v>
      </c>
      <c r="K34" s="85">
        <v>5.2000000015761426E-3</v>
      </c>
      <c r="L34" s="84">
        <v>761.42791199999988</v>
      </c>
      <c r="M34" s="86">
        <v>99.99</v>
      </c>
      <c r="N34" s="74"/>
      <c r="O34" s="84">
        <v>0.76135176900000012</v>
      </c>
      <c r="P34" s="85">
        <v>6.3452325999999996E-8</v>
      </c>
      <c r="Q34" s="85">
        <v>7.9960421216523274E-4</v>
      </c>
      <c r="R34" s="85">
        <f>O34/'סכום נכסי הקרן'!$C$42</f>
        <v>1.2084215913649035E-4</v>
      </c>
    </row>
    <row r="35" spans="2:18">
      <c r="B35" s="76" t="s">
        <v>281</v>
      </c>
      <c r="C35" s="74" t="s">
        <v>282</v>
      </c>
      <c r="D35" s="87" t="s">
        <v>107</v>
      </c>
      <c r="E35" s="74" t="s">
        <v>248</v>
      </c>
      <c r="F35" s="74"/>
      <c r="G35" s="74"/>
      <c r="H35" s="84">
        <v>0.10000000207624539</v>
      </c>
      <c r="I35" s="87" t="s">
        <v>151</v>
      </c>
      <c r="J35" s="88">
        <v>0</v>
      </c>
      <c r="K35" s="85">
        <v>2.100000012457472E-3</v>
      </c>
      <c r="L35" s="84">
        <v>96.346997000000016</v>
      </c>
      <c r="M35" s="86">
        <v>99.98</v>
      </c>
      <c r="N35" s="74"/>
      <c r="O35" s="84">
        <v>9.6327727999999987E-2</v>
      </c>
      <c r="P35" s="85">
        <v>8.0289164166666687E-9</v>
      </c>
      <c r="Q35" s="85">
        <v>1.0116750258329906E-4</v>
      </c>
      <c r="R35" s="85">
        <f>O35/'סכום נכסי הקרן'!$C$42</f>
        <v>1.5289188401731494E-5</v>
      </c>
    </row>
    <row r="36" spans="2:18">
      <c r="B36" s="76" t="s">
        <v>283</v>
      </c>
      <c r="C36" s="74" t="s">
        <v>284</v>
      </c>
      <c r="D36" s="87" t="s">
        <v>107</v>
      </c>
      <c r="E36" s="74" t="s">
        <v>248</v>
      </c>
      <c r="F36" s="74"/>
      <c r="G36" s="74"/>
      <c r="H36" s="84">
        <v>0.17000000140325394</v>
      </c>
      <c r="I36" s="87" t="s">
        <v>151</v>
      </c>
      <c r="J36" s="88">
        <v>0</v>
      </c>
      <c r="K36" s="85">
        <v>2.3000000035081347E-3</v>
      </c>
      <c r="L36" s="84">
        <v>228.13265699999999</v>
      </c>
      <c r="M36" s="86">
        <v>99.96</v>
      </c>
      <c r="N36" s="74"/>
      <c r="O36" s="84">
        <v>0.228041404</v>
      </c>
      <c r="P36" s="85">
        <v>1.9011054750000001E-8</v>
      </c>
      <c r="Q36" s="85">
        <v>2.3949884220532169E-4</v>
      </c>
      <c r="R36" s="85">
        <f>O36/'סכום נכסי הקרן'!$C$42</f>
        <v>3.6194853356775589E-5</v>
      </c>
    </row>
    <row r="37" spans="2:18">
      <c r="B37" s="76" t="s">
        <v>285</v>
      </c>
      <c r="C37" s="74" t="s">
        <v>286</v>
      </c>
      <c r="D37" s="87" t="s">
        <v>107</v>
      </c>
      <c r="E37" s="74" t="s">
        <v>248</v>
      </c>
      <c r="F37" s="74"/>
      <c r="G37" s="74"/>
      <c r="H37" s="84">
        <v>0.35000000097112322</v>
      </c>
      <c r="I37" s="87" t="s">
        <v>151</v>
      </c>
      <c r="J37" s="88">
        <v>0</v>
      </c>
      <c r="K37" s="85">
        <v>2.3000000019422462E-3</v>
      </c>
      <c r="L37" s="84">
        <v>257.63997699999999</v>
      </c>
      <c r="M37" s="86">
        <v>99.92</v>
      </c>
      <c r="N37" s="74"/>
      <c r="O37" s="84">
        <v>0.25743386500000004</v>
      </c>
      <c r="P37" s="85">
        <v>2.862666411111111E-8</v>
      </c>
      <c r="Q37" s="85">
        <v>2.7036806268716492E-4</v>
      </c>
      <c r="R37" s="85">
        <f>O37/'סכום נכסי הקרן'!$C$42</f>
        <v>4.0860040454508719E-5</v>
      </c>
    </row>
    <row r="38" spans="2:18">
      <c r="B38" s="76" t="s">
        <v>287</v>
      </c>
      <c r="C38" s="74" t="s">
        <v>288</v>
      </c>
      <c r="D38" s="87" t="s">
        <v>107</v>
      </c>
      <c r="E38" s="74" t="s">
        <v>248</v>
      </c>
      <c r="F38" s="74"/>
      <c r="G38" s="74"/>
      <c r="H38" s="84">
        <v>0.41999999987864695</v>
      </c>
      <c r="I38" s="87" t="s">
        <v>151</v>
      </c>
      <c r="J38" s="88">
        <v>0</v>
      </c>
      <c r="K38" s="85">
        <v>2.1000000021512591E-3</v>
      </c>
      <c r="L38" s="84">
        <v>1814.5249140000001</v>
      </c>
      <c r="M38" s="86">
        <v>99.91</v>
      </c>
      <c r="N38" s="74"/>
      <c r="O38" s="84">
        <v>1.8128918410000001</v>
      </c>
      <c r="P38" s="85">
        <v>2.0161387933333333E-7</v>
      </c>
      <c r="Q38" s="85">
        <v>1.9039765996308907E-3</v>
      </c>
      <c r="R38" s="85">
        <f>O38/'סכום נכסי הקרן'!$C$42</f>
        <v>2.877431606090705E-4</v>
      </c>
    </row>
    <row r="39" spans="2:18">
      <c r="B39" s="77"/>
      <c r="C39" s="74"/>
      <c r="D39" s="74"/>
      <c r="E39" s="74"/>
      <c r="F39" s="74"/>
      <c r="G39" s="74"/>
      <c r="H39" s="74"/>
      <c r="I39" s="74"/>
      <c r="J39" s="74"/>
      <c r="K39" s="85"/>
      <c r="L39" s="84"/>
      <c r="M39" s="86"/>
      <c r="N39" s="74"/>
      <c r="O39" s="74"/>
      <c r="P39" s="74"/>
      <c r="Q39" s="85"/>
      <c r="R39" s="74"/>
    </row>
    <row r="40" spans="2:18">
      <c r="B40" s="75" t="s">
        <v>23</v>
      </c>
      <c r="C40" s="72"/>
      <c r="D40" s="72"/>
      <c r="E40" s="72"/>
      <c r="F40" s="72"/>
      <c r="G40" s="72"/>
      <c r="H40" s="81">
        <v>9.3237525918946211</v>
      </c>
      <c r="I40" s="72"/>
      <c r="J40" s="72"/>
      <c r="K40" s="82">
        <v>1.170442244527279E-2</v>
      </c>
      <c r="L40" s="81"/>
      <c r="M40" s="83"/>
      <c r="N40" s="72"/>
      <c r="O40" s="81">
        <v>565.86244544300007</v>
      </c>
      <c r="P40" s="72"/>
      <c r="Q40" s="82">
        <v>0.59429295800630366</v>
      </c>
      <c r="R40" s="82">
        <f>O40/'סכום נכסי הקרן'!$C$42</f>
        <v>8.981398936184333E-2</v>
      </c>
    </row>
    <row r="41" spans="2:18">
      <c r="B41" s="76" t="s">
        <v>289</v>
      </c>
      <c r="C41" s="74" t="s">
        <v>290</v>
      </c>
      <c r="D41" s="87" t="s">
        <v>107</v>
      </c>
      <c r="E41" s="74" t="s">
        <v>248</v>
      </c>
      <c r="F41" s="74"/>
      <c r="G41" s="74"/>
      <c r="H41" s="84">
        <v>5.6399999999830737</v>
      </c>
      <c r="I41" s="87" t="s">
        <v>151</v>
      </c>
      <c r="J41" s="88">
        <v>6.25E-2</v>
      </c>
      <c r="K41" s="85">
        <v>8.3000000001009037E-3</v>
      </c>
      <c r="L41" s="84">
        <v>22395.643219000005</v>
      </c>
      <c r="M41" s="86">
        <v>137.18</v>
      </c>
      <c r="N41" s="74"/>
      <c r="O41" s="84">
        <v>30.722344043</v>
      </c>
      <c r="P41" s="85">
        <v>1.3599219582956553E-6</v>
      </c>
      <c r="Q41" s="85">
        <v>3.2265920569985888E-2</v>
      </c>
      <c r="R41" s="85">
        <f>O41/'סכום נכסי הקרן'!$C$42</f>
        <v>4.8762668441244689E-3</v>
      </c>
    </row>
    <row r="42" spans="2:18">
      <c r="B42" s="76" t="s">
        <v>291</v>
      </c>
      <c r="C42" s="74" t="s">
        <v>292</v>
      </c>
      <c r="D42" s="87" t="s">
        <v>107</v>
      </c>
      <c r="E42" s="74" t="s">
        <v>248</v>
      </c>
      <c r="F42" s="74"/>
      <c r="G42" s="74"/>
      <c r="H42" s="84">
        <v>3.8000000000236955</v>
      </c>
      <c r="I42" s="87" t="s">
        <v>151</v>
      </c>
      <c r="J42" s="88">
        <v>3.7499999999999999E-2</v>
      </c>
      <c r="K42" s="85">
        <v>5.4999999999407597E-3</v>
      </c>
      <c r="L42" s="84">
        <v>29972.64157</v>
      </c>
      <c r="M42" s="86">
        <v>112.64</v>
      </c>
      <c r="N42" s="74"/>
      <c r="O42" s="84">
        <v>33.761183463999998</v>
      </c>
      <c r="P42" s="85">
        <v>1.8470861791585942E-6</v>
      </c>
      <c r="Q42" s="85">
        <v>3.5457439786283074E-2</v>
      </c>
      <c r="R42" s="85">
        <f>O42/'סכום נכסי הקרן'!$C$42</f>
        <v>5.3585930589634366E-3</v>
      </c>
    </row>
    <row r="43" spans="2:18">
      <c r="B43" s="76" t="s">
        <v>293</v>
      </c>
      <c r="C43" s="74" t="s">
        <v>294</v>
      </c>
      <c r="D43" s="87" t="s">
        <v>107</v>
      </c>
      <c r="E43" s="74" t="s">
        <v>248</v>
      </c>
      <c r="F43" s="74"/>
      <c r="G43" s="74"/>
      <c r="H43" s="84">
        <v>18.809999999950044</v>
      </c>
      <c r="I43" s="87" t="s">
        <v>151</v>
      </c>
      <c r="J43" s="88">
        <v>3.7499999999999999E-2</v>
      </c>
      <c r="K43" s="85">
        <v>2.1299999999950123E-2</v>
      </c>
      <c r="L43" s="84">
        <v>95001.703257000001</v>
      </c>
      <c r="M43" s="86">
        <v>132.96</v>
      </c>
      <c r="N43" s="74"/>
      <c r="O43" s="84">
        <v>126.31426465099999</v>
      </c>
      <c r="P43" s="85">
        <v>6.0025336086572422E-6</v>
      </c>
      <c r="Q43" s="85">
        <v>0.13266064673909431</v>
      </c>
      <c r="R43" s="85">
        <f>O43/'סכום נכסי הקרן'!$C$42</f>
        <v>2.0048667503870864E-2</v>
      </c>
    </row>
    <row r="44" spans="2:18">
      <c r="B44" s="76" t="s">
        <v>295</v>
      </c>
      <c r="C44" s="74" t="s">
        <v>296</v>
      </c>
      <c r="D44" s="87" t="s">
        <v>107</v>
      </c>
      <c r="E44" s="74" t="s">
        <v>248</v>
      </c>
      <c r="F44" s="74"/>
      <c r="G44" s="74"/>
      <c r="H44" s="84">
        <v>2.6300000000174477</v>
      </c>
      <c r="I44" s="87" t="s">
        <v>151</v>
      </c>
      <c r="J44" s="88">
        <v>1.2500000000000001E-2</v>
      </c>
      <c r="K44" s="85">
        <v>4.3999999997925074E-3</v>
      </c>
      <c r="L44" s="84">
        <v>20676.382673</v>
      </c>
      <c r="M44" s="86">
        <v>102.56</v>
      </c>
      <c r="N44" s="74"/>
      <c r="O44" s="84">
        <v>21.205697701000005</v>
      </c>
      <c r="P44" s="85">
        <v>1.779651212445556E-6</v>
      </c>
      <c r="Q44" s="85">
        <v>2.227113128783207E-2</v>
      </c>
      <c r="R44" s="85">
        <f>O44/'סכום נכסי הקרן'!$C$42</f>
        <v>3.3657796573459461E-3</v>
      </c>
    </row>
    <row r="45" spans="2:18">
      <c r="B45" s="76" t="s">
        <v>297</v>
      </c>
      <c r="C45" s="74" t="s">
        <v>298</v>
      </c>
      <c r="D45" s="87" t="s">
        <v>107</v>
      </c>
      <c r="E45" s="74" t="s">
        <v>248</v>
      </c>
      <c r="F45" s="74"/>
      <c r="G45" s="74"/>
      <c r="H45" s="84">
        <v>3.5799999999980598</v>
      </c>
      <c r="I45" s="87" t="s">
        <v>151</v>
      </c>
      <c r="J45" s="88">
        <v>1.4999999999999999E-2</v>
      </c>
      <c r="K45" s="85">
        <v>5.1999999999223934E-3</v>
      </c>
      <c r="L45" s="84">
        <v>49526.199110000001</v>
      </c>
      <c r="M45" s="86">
        <v>104.07</v>
      </c>
      <c r="N45" s="74"/>
      <c r="O45" s="84">
        <v>51.541915345</v>
      </c>
      <c r="P45" s="85">
        <v>2.9449794302404039E-6</v>
      </c>
      <c r="Q45" s="85">
        <v>5.4131525388136113E-2</v>
      </c>
      <c r="R45" s="85">
        <f>O45/'סכום נכסי הקרן'!$C$42</f>
        <v>8.1807603133315938E-3</v>
      </c>
    </row>
    <row r="46" spans="2:18">
      <c r="B46" s="76" t="s">
        <v>299</v>
      </c>
      <c r="C46" s="74" t="s">
        <v>300</v>
      </c>
      <c r="D46" s="87" t="s">
        <v>107</v>
      </c>
      <c r="E46" s="74" t="s">
        <v>248</v>
      </c>
      <c r="F46" s="74"/>
      <c r="G46" s="74"/>
      <c r="H46" s="84">
        <v>0.84000000005981446</v>
      </c>
      <c r="I46" s="87" t="s">
        <v>151</v>
      </c>
      <c r="J46" s="88">
        <v>5.0000000000000001E-3</v>
      </c>
      <c r="K46" s="85">
        <v>2.3999999991027843E-3</v>
      </c>
      <c r="L46" s="84">
        <v>2666.9407070000002</v>
      </c>
      <c r="M46" s="86">
        <v>100.3</v>
      </c>
      <c r="N46" s="74"/>
      <c r="O46" s="84">
        <v>2.6749415760000002</v>
      </c>
      <c r="P46" s="85">
        <v>1.7047880147733683E-7</v>
      </c>
      <c r="Q46" s="85">
        <v>2.8093381253646312E-3</v>
      </c>
      <c r="R46" s="85">
        <f>O46/'סכום נכסי הקרן'!$C$42</f>
        <v>4.2456815465520548E-4</v>
      </c>
    </row>
    <row r="47" spans="2:18">
      <c r="B47" s="76" t="s">
        <v>301</v>
      </c>
      <c r="C47" s="74" t="s">
        <v>302</v>
      </c>
      <c r="D47" s="87" t="s">
        <v>107</v>
      </c>
      <c r="E47" s="74" t="s">
        <v>248</v>
      </c>
      <c r="F47" s="74"/>
      <c r="G47" s="74"/>
      <c r="H47" s="84">
        <v>1.7900000000227556</v>
      </c>
      <c r="I47" s="87" t="s">
        <v>151</v>
      </c>
      <c r="J47" s="88">
        <v>5.5E-2</v>
      </c>
      <c r="K47" s="85">
        <v>3.6000000000162543E-3</v>
      </c>
      <c r="L47" s="84">
        <v>22309.380679000002</v>
      </c>
      <c r="M47" s="86">
        <v>110.31</v>
      </c>
      <c r="N47" s="74"/>
      <c r="O47" s="84">
        <v>24.609477736000002</v>
      </c>
      <c r="P47" s="85">
        <v>1.2588852727133183E-6</v>
      </c>
      <c r="Q47" s="85">
        <v>2.5845926755694075E-2</v>
      </c>
      <c r="R47" s="85">
        <f>O47/'סכום נכסי הקרן'!$C$42</f>
        <v>3.9060294412209193E-3</v>
      </c>
    </row>
    <row r="48" spans="2:18">
      <c r="B48" s="76" t="s">
        <v>303</v>
      </c>
      <c r="C48" s="74" t="s">
        <v>304</v>
      </c>
      <c r="D48" s="87" t="s">
        <v>107</v>
      </c>
      <c r="E48" s="74" t="s">
        <v>248</v>
      </c>
      <c r="F48" s="74"/>
      <c r="G48" s="74"/>
      <c r="H48" s="84">
        <v>15.119999999985916</v>
      </c>
      <c r="I48" s="87" t="s">
        <v>151</v>
      </c>
      <c r="J48" s="88">
        <v>5.5E-2</v>
      </c>
      <c r="K48" s="85">
        <v>1.8899999999954883E-2</v>
      </c>
      <c r="L48" s="84">
        <v>55042.842577000003</v>
      </c>
      <c r="M48" s="86">
        <v>165.1</v>
      </c>
      <c r="N48" s="74"/>
      <c r="O48" s="84">
        <v>90.875732869000004</v>
      </c>
      <c r="P48" s="85">
        <v>3.0104992618532014E-6</v>
      </c>
      <c r="Q48" s="85">
        <v>9.5441583962031729E-2</v>
      </c>
      <c r="R48" s="85">
        <f>O48/'סכום נכסי הקרן'!$C$42</f>
        <v>1.4423844824613371E-2</v>
      </c>
    </row>
    <row r="49" spans="2:18">
      <c r="B49" s="76" t="s">
        <v>305</v>
      </c>
      <c r="C49" s="74" t="s">
        <v>306</v>
      </c>
      <c r="D49" s="87" t="s">
        <v>107</v>
      </c>
      <c r="E49" s="74" t="s">
        <v>248</v>
      </c>
      <c r="F49" s="74"/>
      <c r="G49" s="74"/>
      <c r="H49" s="84">
        <v>2.8799999999906944</v>
      </c>
      <c r="I49" s="87" t="s">
        <v>151</v>
      </c>
      <c r="J49" s="88">
        <v>4.2500000000000003E-2</v>
      </c>
      <c r="K49" s="85">
        <v>4.9000000001134083E-3</v>
      </c>
      <c r="L49" s="84">
        <v>30936.426583000004</v>
      </c>
      <c r="M49" s="86">
        <v>111.16</v>
      </c>
      <c r="N49" s="74"/>
      <c r="O49" s="84">
        <v>34.388931789000004</v>
      </c>
      <c r="P49" s="85">
        <v>1.8282656276954929E-6</v>
      </c>
      <c r="Q49" s="85">
        <v>3.6116727943594329E-2</v>
      </c>
      <c r="R49" s="85">
        <f>O49/'סכום נכסי הקרן'!$C$42</f>
        <v>5.458229608159287E-3</v>
      </c>
    </row>
    <row r="50" spans="2:18">
      <c r="B50" s="76" t="s">
        <v>307</v>
      </c>
      <c r="C50" s="74" t="s">
        <v>308</v>
      </c>
      <c r="D50" s="87" t="s">
        <v>107</v>
      </c>
      <c r="E50" s="74" t="s">
        <v>248</v>
      </c>
      <c r="F50" s="74"/>
      <c r="G50" s="74"/>
      <c r="H50" s="84">
        <v>6.6200000000724426</v>
      </c>
      <c r="I50" s="87" t="s">
        <v>151</v>
      </c>
      <c r="J50" s="88">
        <v>0.02</v>
      </c>
      <c r="K50" s="85">
        <v>8.8999999999304809E-3</v>
      </c>
      <c r="L50" s="84">
        <v>25424.894671000002</v>
      </c>
      <c r="M50" s="86">
        <v>107.5</v>
      </c>
      <c r="N50" s="74"/>
      <c r="O50" s="84">
        <v>27.331761771</v>
      </c>
      <c r="P50" s="85">
        <v>1.5611911776909574E-6</v>
      </c>
      <c r="Q50" s="85">
        <v>2.8704985957664832E-2</v>
      </c>
      <c r="R50" s="85">
        <f>O50/'סכום נכסי הקרן'!$C$42</f>
        <v>4.3381118162369768E-3</v>
      </c>
    </row>
    <row r="51" spans="2:18">
      <c r="B51" s="76" t="s">
        <v>309</v>
      </c>
      <c r="C51" s="74" t="s">
        <v>310</v>
      </c>
      <c r="D51" s="87" t="s">
        <v>107</v>
      </c>
      <c r="E51" s="74" t="s">
        <v>248</v>
      </c>
      <c r="F51" s="74"/>
      <c r="G51" s="74"/>
      <c r="H51" s="84">
        <v>9.5700000001146446</v>
      </c>
      <c r="I51" s="87" t="s">
        <v>151</v>
      </c>
      <c r="J51" s="88">
        <v>0.01</v>
      </c>
      <c r="K51" s="85">
        <v>1.0699999999843666E-2</v>
      </c>
      <c r="L51" s="84">
        <v>15460.018</v>
      </c>
      <c r="M51" s="86">
        <v>99.3</v>
      </c>
      <c r="N51" s="74"/>
      <c r="O51" s="84">
        <v>15.351797832000001</v>
      </c>
      <c r="P51" s="85">
        <v>2.8638307489112454E-6</v>
      </c>
      <c r="Q51" s="85">
        <v>1.6123115109983131E-2</v>
      </c>
      <c r="R51" s="85">
        <f>O51/'סכום נכסי הקרן'!$C$42</f>
        <v>2.4366455457014526E-3</v>
      </c>
    </row>
    <row r="52" spans="2:18">
      <c r="B52" s="76" t="s">
        <v>311</v>
      </c>
      <c r="C52" s="74" t="s">
        <v>312</v>
      </c>
      <c r="D52" s="87" t="s">
        <v>107</v>
      </c>
      <c r="E52" s="74" t="s">
        <v>248</v>
      </c>
      <c r="F52" s="74"/>
      <c r="G52" s="74"/>
      <c r="H52" s="84">
        <v>1.0699999998334575</v>
      </c>
      <c r="I52" s="87" t="s">
        <v>151</v>
      </c>
      <c r="J52" s="88">
        <v>0.01</v>
      </c>
      <c r="K52" s="85">
        <v>2.4999999916728802E-3</v>
      </c>
      <c r="L52" s="84">
        <v>590.23661000000004</v>
      </c>
      <c r="M52" s="86">
        <v>101.73</v>
      </c>
      <c r="N52" s="74"/>
      <c r="O52" s="84">
        <v>0.60044772999999996</v>
      </c>
      <c r="P52" s="85">
        <v>3.9957603022887481E-8</v>
      </c>
      <c r="Q52" s="85">
        <v>6.3061590403036452E-4</v>
      </c>
      <c r="R52" s="85">
        <f>O52/'סכום נכסי הקרן'!$C$42</f>
        <v>9.5303384186140087E-5</v>
      </c>
    </row>
    <row r="53" spans="2:18">
      <c r="B53" s="76" t="s">
        <v>313</v>
      </c>
      <c r="C53" s="74" t="s">
        <v>314</v>
      </c>
      <c r="D53" s="87" t="s">
        <v>107</v>
      </c>
      <c r="E53" s="74" t="s">
        <v>248</v>
      </c>
      <c r="F53" s="74"/>
      <c r="G53" s="74"/>
      <c r="H53" s="84">
        <v>2.3099999999410503</v>
      </c>
      <c r="I53" s="87" t="s">
        <v>151</v>
      </c>
      <c r="J53" s="88">
        <v>7.4999999999999997E-3</v>
      </c>
      <c r="K53" s="85">
        <v>4.0999999999999995E-3</v>
      </c>
      <c r="L53" s="84">
        <v>16746.018779000002</v>
      </c>
      <c r="M53" s="86">
        <v>101.3</v>
      </c>
      <c r="N53" s="74"/>
      <c r="O53" s="84">
        <v>16.963716999999999</v>
      </c>
      <c r="P53" s="85">
        <v>1.617298095248765E-6</v>
      </c>
      <c r="Q53" s="85">
        <v>1.781602160719346E-2</v>
      </c>
      <c r="R53" s="85">
        <f>O53/'סכום נכסי הקרן'!$C$42</f>
        <v>2.6924902163856222E-3</v>
      </c>
    </row>
    <row r="54" spans="2:18">
      <c r="B54" s="76" t="s">
        <v>315</v>
      </c>
      <c r="C54" s="74" t="s">
        <v>316</v>
      </c>
      <c r="D54" s="87" t="s">
        <v>107</v>
      </c>
      <c r="E54" s="74" t="s">
        <v>248</v>
      </c>
      <c r="F54" s="74"/>
      <c r="G54" s="74"/>
      <c r="H54" s="84">
        <v>5.1700000000191038</v>
      </c>
      <c r="I54" s="87" t="s">
        <v>151</v>
      </c>
      <c r="J54" s="88">
        <v>1.7500000000000002E-2</v>
      </c>
      <c r="K54" s="85">
        <v>7.4000000000347347E-3</v>
      </c>
      <c r="L54" s="84">
        <v>81182.941346000007</v>
      </c>
      <c r="M54" s="86">
        <v>106.39</v>
      </c>
      <c r="N54" s="74"/>
      <c r="O54" s="84">
        <v>86.370532854999993</v>
      </c>
      <c r="P54" s="85">
        <v>4.1618477353099223E-6</v>
      </c>
      <c r="Q54" s="85">
        <v>9.0710030093610533E-2</v>
      </c>
      <c r="R54" s="85">
        <f>O54/'סכום נכסי הקרן'!$C$42</f>
        <v>1.3708777073804076E-2</v>
      </c>
    </row>
    <row r="55" spans="2:18">
      <c r="B55" s="76" t="s">
        <v>317</v>
      </c>
      <c r="C55" s="74" t="s">
        <v>318</v>
      </c>
      <c r="D55" s="87" t="s">
        <v>107</v>
      </c>
      <c r="E55" s="74" t="s">
        <v>248</v>
      </c>
      <c r="F55" s="74"/>
      <c r="G55" s="74"/>
      <c r="H55" s="84">
        <v>7.7899999987332116</v>
      </c>
      <c r="I55" s="87" t="s">
        <v>151</v>
      </c>
      <c r="J55" s="88">
        <v>2.2499999999999999E-2</v>
      </c>
      <c r="K55" s="85">
        <v>1.0099999997428324E-2</v>
      </c>
      <c r="L55" s="84">
        <v>2832.71803</v>
      </c>
      <c r="M55" s="86">
        <v>111.19</v>
      </c>
      <c r="N55" s="74"/>
      <c r="O55" s="84">
        <v>3.1496990810000001</v>
      </c>
      <c r="P55" s="85">
        <v>1.8188402644380562E-7</v>
      </c>
      <c r="Q55" s="85">
        <v>3.3079487758050541E-3</v>
      </c>
      <c r="R55" s="85">
        <f>O55/'סכום נכסי הקרן'!$C$42</f>
        <v>4.9992191924395381E-4</v>
      </c>
    </row>
    <row r="56" spans="2:18">
      <c r="B56" s="77"/>
      <c r="C56" s="74"/>
      <c r="D56" s="74"/>
      <c r="E56" s="74"/>
      <c r="F56" s="74"/>
      <c r="G56" s="74"/>
      <c r="H56" s="74"/>
      <c r="I56" s="74"/>
      <c r="J56" s="74"/>
      <c r="K56" s="85"/>
      <c r="L56" s="84"/>
      <c r="M56" s="86"/>
      <c r="N56" s="74"/>
      <c r="O56" s="74"/>
      <c r="P56" s="74"/>
      <c r="Q56" s="85"/>
      <c r="R56" s="74"/>
    </row>
    <row r="57" spans="2:18">
      <c r="B57" s="71" t="s">
        <v>216</v>
      </c>
      <c r="C57" s="72"/>
      <c r="D57" s="72"/>
      <c r="E57" s="72"/>
      <c r="F57" s="72"/>
      <c r="G57" s="72"/>
      <c r="H57" s="81">
        <v>18.750000000296936</v>
      </c>
      <c r="I57" s="72"/>
      <c r="J57" s="72"/>
      <c r="K57" s="82">
        <v>3.4900000000237547E-2</v>
      </c>
      <c r="L57" s="81"/>
      <c r="M57" s="83"/>
      <c r="N57" s="72"/>
      <c r="O57" s="81">
        <v>6.7354677160000005</v>
      </c>
      <c r="P57" s="72"/>
      <c r="Q57" s="82">
        <v>7.0738764601419599E-3</v>
      </c>
      <c r="R57" s="82">
        <f>O57/'סכום נכסי הקרן'!$C$42</f>
        <v>1.0690570308447857E-3</v>
      </c>
    </row>
    <row r="58" spans="2:18" s="90" customFormat="1">
      <c r="B58" s="109" t="s">
        <v>53</v>
      </c>
      <c r="C58" s="105"/>
      <c r="D58" s="105"/>
      <c r="E58" s="105"/>
      <c r="F58" s="105"/>
      <c r="G58" s="105"/>
      <c r="H58" s="106">
        <v>18.750000000296936</v>
      </c>
      <c r="I58" s="105"/>
      <c r="J58" s="105"/>
      <c r="K58" s="107">
        <v>3.4900000000237547E-2</v>
      </c>
      <c r="L58" s="106"/>
      <c r="M58" s="110"/>
      <c r="N58" s="105"/>
      <c r="O58" s="106">
        <v>6.7354677160000005</v>
      </c>
      <c r="P58" s="105"/>
      <c r="Q58" s="107">
        <v>7.0738764601419599E-3</v>
      </c>
      <c r="R58" s="107">
        <f>O58/'סכום נכסי הקרן'!$C$42</f>
        <v>1.0690570308447857E-3</v>
      </c>
    </row>
    <row r="59" spans="2:18">
      <c r="B59" s="75" t="s">
        <v>53</v>
      </c>
      <c r="C59" s="72"/>
      <c r="D59" s="72"/>
      <c r="E59" s="72"/>
      <c r="F59" s="72"/>
      <c r="G59" s="72"/>
      <c r="H59" s="81">
        <v>18.750000000296936</v>
      </c>
      <c r="I59" s="72"/>
      <c r="J59" s="72"/>
      <c r="K59" s="82">
        <v>3.4900000000237547E-2</v>
      </c>
      <c r="L59" s="81"/>
      <c r="M59" s="83"/>
      <c r="N59" s="72"/>
      <c r="O59" s="81">
        <v>6.7354677160000005</v>
      </c>
      <c r="P59" s="72"/>
      <c r="Q59" s="82">
        <v>7.0738764601419599E-3</v>
      </c>
      <c r="R59" s="82">
        <f>O59/'סכום נכסי הקרן'!$C$42</f>
        <v>1.0690570308447857E-3</v>
      </c>
    </row>
    <row r="60" spans="2:18">
      <c r="B60" s="76" t="s">
        <v>319</v>
      </c>
      <c r="C60" s="74" t="s">
        <v>320</v>
      </c>
      <c r="D60" s="87" t="s">
        <v>27</v>
      </c>
      <c r="E60" s="74" t="s">
        <v>321</v>
      </c>
      <c r="F60" s="74" t="s">
        <v>322</v>
      </c>
      <c r="G60" s="74"/>
      <c r="H60" s="84">
        <v>18.750000000296936</v>
      </c>
      <c r="I60" s="87" t="s">
        <v>150</v>
      </c>
      <c r="J60" s="88">
        <v>3.3750000000000002E-2</v>
      </c>
      <c r="K60" s="85">
        <v>3.4900000000237547E-2</v>
      </c>
      <c r="L60" s="84">
        <v>1925.5186000000001</v>
      </c>
      <c r="M60" s="86">
        <v>98.120699999999999</v>
      </c>
      <c r="N60" s="74"/>
      <c r="O60" s="84">
        <v>6.7354677160000005</v>
      </c>
      <c r="P60" s="85">
        <v>9.6275930000000008E-7</v>
      </c>
      <c r="Q60" s="85">
        <v>7.0738764601419599E-3</v>
      </c>
      <c r="R60" s="85">
        <f>O60/'סכום נכסי הקרן'!$C$42</f>
        <v>1.0690570308447857E-3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99</v>
      </c>
      <c r="C64" s="90"/>
      <c r="D64" s="90"/>
    </row>
    <row r="65" spans="2:4">
      <c r="B65" s="89" t="s">
        <v>218</v>
      </c>
      <c r="C65" s="90"/>
      <c r="D65" s="90"/>
    </row>
    <row r="66" spans="2:4">
      <c r="B66" s="134" t="s">
        <v>226</v>
      </c>
      <c r="C66" s="134"/>
      <c r="D66" s="134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B67:B1048576 J1:M1048576 E1:I30 B64:B66 D1:D29 R1:AF1048576 AJ1:XFD1048576 AG1:AI27 AG31:AI1048576 C64:D65 A1:A1048576 B1:B63 E32:I1048576 C32:D63 C6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166</v>
      </c>
      <c r="C1" s="68" t="s" vm="1">
        <v>243</v>
      </c>
    </row>
    <row r="2" spans="2:18">
      <c r="B2" s="47" t="s">
        <v>165</v>
      </c>
      <c r="C2" s="68" t="s">
        <v>244</v>
      </c>
    </row>
    <row r="3" spans="2:18">
      <c r="B3" s="47" t="s">
        <v>167</v>
      </c>
      <c r="C3" s="68" t="s">
        <v>245</v>
      </c>
    </row>
    <row r="4" spans="2:18">
      <c r="B4" s="47" t="s">
        <v>168</v>
      </c>
      <c r="C4" s="68">
        <v>12148</v>
      </c>
    </row>
    <row r="6" spans="2:18" ht="26.25" customHeight="1">
      <c r="B6" s="125" t="s">
        <v>209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103</v>
      </c>
      <c r="C7" s="30" t="s">
        <v>39</v>
      </c>
      <c r="D7" s="30" t="s">
        <v>56</v>
      </c>
      <c r="E7" s="30" t="s">
        <v>14</v>
      </c>
      <c r="F7" s="30" t="s">
        <v>57</v>
      </c>
      <c r="G7" s="30" t="s">
        <v>91</v>
      </c>
      <c r="H7" s="30" t="s">
        <v>17</v>
      </c>
      <c r="I7" s="30" t="s">
        <v>90</v>
      </c>
      <c r="J7" s="30" t="s">
        <v>16</v>
      </c>
      <c r="K7" s="30" t="s">
        <v>204</v>
      </c>
      <c r="L7" s="30" t="s">
        <v>220</v>
      </c>
      <c r="M7" s="30" t="s">
        <v>205</v>
      </c>
      <c r="N7" s="30" t="s">
        <v>51</v>
      </c>
      <c r="O7" s="30" t="s">
        <v>169</v>
      </c>
      <c r="P7" s="31" t="s">
        <v>171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227</v>
      </c>
      <c r="M8" s="32" t="s">
        <v>223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99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226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166</v>
      </c>
      <c r="C1" s="68" t="s" vm="1">
        <v>243</v>
      </c>
    </row>
    <row r="2" spans="2:67">
      <c r="B2" s="47" t="s">
        <v>165</v>
      </c>
      <c r="C2" s="68" t="s">
        <v>244</v>
      </c>
    </row>
    <row r="3" spans="2:67">
      <c r="B3" s="47" t="s">
        <v>167</v>
      </c>
      <c r="C3" s="68" t="s">
        <v>245</v>
      </c>
    </row>
    <row r="4" spans="2:67">
      <c r="B4" s="47" t="s">
        <v>168</v>
      </c>
      <c r="C4" s="68">
        <v>12148</v>
      </c>
    </row>
    <row r="6" spans="2:67" ht="26.25" customHeight="1">
      <c r="B6" s="131" t="s">
        <v>196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77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2"/>
      <c r="BJ7" s="3"/>
      <c r="BO7" s="3"/>
    </row>
    <row r="8" spans="2:67" s="3" customFormat="1" ht="78.75">
      <c r="B8" s="37" t="s">
        <v>102</v>
      </c>
      <c r="C8" s="13" t="s">
        <v>39</v>
      </c>
      <c r="D8" s="13" t="s">
        <v>106</v>
      </c>
      <c r="E8" s="13" t="s">
        <v>212</v>
      </c>
      <c r="F8" s="13" t="s">
        <v>104</v>
      </c>
      <c r="G8" s="13" t="s">
        <v>56</v>
      </c>
      <c r="H8" s="13" t="s">
        <v>14</v>
      </c>
      <c r="I8" s="13" t="s">
        <v>57</v>
      </c>
      <c r="J8" s="13" t="s">
        <v>91</v>
      </c>
      <c r="K8" s="13" t="s">
        <v>17</v>
      </c>
      <c r="L8" s="13" t="s">
        <v>90</v>
      </c>
      <c r="M8" s="13" t="s">
        <v>16</v>
      </c>
      <c r="N8" s="13" t="s">
        <v>18</v>
      </c>
      <c r="O8" s="13" t="s">
        <v>220</v>
      </c>
      <c r="P8" s="13" t="s">
        <v>219</v>
      </c>
      <c r="Q8" s="13" t="s">
        <v>52</v>
      </c>
      <c r="R8" s="13" t="s">
        <v>51</v>
      </c>
      <c r="S8" s="13" t="s">
        <v>169</v>
      </c>
      <c r="T8" s="38" t="s">
        <v>171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227</v>
      </c>
      <c r="P9" s="16"/>
      <c r="Q9" s="16" t="s">
        <v>223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100</v>
      </c>
      <c r="R10" s="19" t="s">
        <v>101</v>
      </c>
      <c r="S10" s="44" t="s">
        <v>172</v>
      </c>
      <c r="T10" s="61" t="s">
        <v>213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5"/>
  <sheetViews>
    <sheetView rightToLeft="1" zoomScale="90" zoomScaleNormal="90" workbookViewId="0">
      <selection activeCell="R12" sqref="R12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5703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166</v>
      </c>
      <c r="C1" s="68" t="s" vm="1">
        <v>243</v>
      </c>
    </row>
    <row r="2" spans="2:66">
      <c r="B2" s="47" t="s">
        <v>165</v>
      </c>
      <c r="C2" s="68" t="s">
        <v>244</v>
      </c>
    </row>
    <row r="3" spans="2:66">
      <c r="B3" s="47" t="s">
        <v>167</v>
      </c>
      <c r="C3" s="68" t="s">
        <v>245</v>
      </c>
    </row>
    <row r="4" spans="2:66">
      <c r="B4" s="47" t="s">
        <v>168</v>
      </c>
      <c r="C4" s="68">
        <v>12148</v>
      </c>
    </row>
    <row r="6" spans="2:66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66" ht="26.25" customHeight="1">
      <c r="B7" s="125" t="s">
        <v>78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BN7" s="3"/>
    </row>
    <row r="8" spans="2:66" s="3" customFormat="1" ht="78.75">
      <c r="B8" s="22" t="s">
        <v>102</v>
      </c>
      <c r="C8" s="30" t="s">
        <v>39</v>
      </c>
      <c r="D8" s="30" t="s">
        <v>106</v>
      </c>
      <c r="E8" s="30" t="s">
        <v>212</v>
      </c>
      <c r="F8" s="30" t="s">
        <v>104</v>
      </c>
      <c r="G8" s="30" t="s">
        <v>56</v>
      </c>
      <c r="H8" s="30" t="s">
        <v>14</v>
      </c>
      <c r="I8" s="30" t="s">
        <v>57</v>
      </c>
      <c r="J8" s="30" t="s">
        <v>91</v>
      </c>
      <c r="K8" s="30" t="s">
        <v>17</v>
      </c>
      <c r="L8" s="30" t="s">
        <v>90</v>
      </c>
      <c r="M8" s="30" t="s">
        <v>16</v>
      </c>
      <c r="N8" s="30" t="s">
        <v>18</v>
      </c>
      <c r="O8" s="13" t="s">
        <v>220</v>
      </c>
      <c r="P8" s="30" t="s">
        <v>219</v>
      </c>
      <c r="Q8" s="30" t="s">
        <v>235</v>
      </c>
      <c r="R8" s="30" t="s">
        <v>52</v>
      </c>
      <c r="S8" s="13" t="s">
        <v>51</v>
      </c>
      <c r="T8" s="30" t="s">
        <v>169</v>
      </c>
      <c r="U8" s="14" t="s">
        <v>171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227</v>
      </c>
      <c r="P9" s="32"/>
      <c r="Q9" s="16" t="s">
        <v>223</v>
      </c>
      <c r="R9" s="32" t="s">
        <v>223</v>
      </c>
      <c r="S9" s="16" t="s">
        <v>19</v>
      </c>
      <c r="T9" s="32" t="s">
        <v>223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100</v>
      </c>
      <c r="R10" s="19" t="s">
        <v>101</v>
      </c>
      <c r="S10" s="19" t="s">
        <v>172</v>
      </c>
      <c r="T10" s="19" t="s">
        <v>213</v>
      </c>
      <c r="U10" s="20" t="s">
        <v>229</v>
      </c>
      <c r="V10" s="5"/>
      <c r="BI10" s="1"/>
      <c r="BJ10" s="3"/>
      <c r="BK10" s="1"/>
    </row>
    <row r="11" spans="2:66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0"/>
      <c r="J11" s="70"/>
      <c r="K11" s="78">
        <v>4.7919077757299497</v>
      </c>
      <c r="L11" s="70"/>
      <c r="M11" s="70"/>
      <c r="N11" s="93">
        <v>3.4266662566491461E-2</v>
      </c>
      <c r="O11" s="78"/>
      <c r="P11" s="80"/>
      <c r="Q11" s="78">
        <f>Q12</f>
        <v>2.17110182211055</v>
      </c>
      <c r="R11" s="78">
        <f>R12+R265</f>
        <v>1115.6908757459998</v>
      </c>
      <c r="S11" s="70"/>
      <c r="T11" s="79">
        <f>R11/$R$11</f>
        <v>1</v>
      </c>
      <c r="U11" s="79">
        <f>R11/'סכום נכסי הקרן'!$C$42</f>
        <v>0.17708305128273549</v>
      </c>
      <c r="V11" s="5"/>
      <c r="BI11" s="1"/>
      <c r="BJ11" s="3"/>
      <c r="BK11" s="1"/>
      <c r="BN11" s="1"/>
    </row>
    <row r="12" spans="2:66">
      <c r="B12" s="71" t="s">
        <v>217</v>
      </c>
      <c r="C12" s="72"/>
      <c r="D12" s="72"/>
      <c r="E12" s="72"/>
      <c r="F12" s="72"/>
      <c r="G12" s="72"/>
      <c r="H12" s="72"/>
      <c r="I12" s="72"/>
      <c r="J12" s="72"/>
      <c r="K12" s="81">
        <v>4.2745873096495224</v>
      </c>
      <c r="L12" s="72"/>
      <c r="M12" s="72"/>
      <c r="N12" s="94">
        <v>3.0792229952240183E-2</v>
      </c>
      <c r="O12" s="81"/>
      <c r="P12" s="83"/>
      <c r="Q12" s="81">
        <f>Q13+Q167</f>
        <v>2.17110182211055</v>
      </c>
      <c r="R12" s="81">
        <f>R13+R257+R167</f>
        <v>957.2886312679999</v>
      </c>
      <c r="S12" s="72"/>
      <c r="T12" s="82">
        <f t="shared" ref="T12:T74" si="0">R12/$R$11</f>
        <v>0.85802317835387398</v>
      </c>
      <c r="U12" s="82">
        <f>R12/'סכום נכסי הקרן'!$C$42</f>
        <v>0.15194136249421478</v>
      </c>
      <c r="BJ12" s="3"/>
    </row>
    <row r="13" spans="2:66" ht="20.25">
      <c r="B13" s="92" t="s">
        <v>29</v>
      </c>
      <c r="C13" s="72"/>
      <c r="D13" s="72"/>
      <c r="E13" s="72"/>
      <c r="F13" s="72"/>
      <c r="G13" s="72"/>
      <c r="H13" s="72"/>
      <c r="I13" s="72"/>
      <c r="J13" s="72"/>
      <c r="K13" s="81">
        <v>4.2287889604418405</v>
      </c>
      <c r="L13" s="72"/>
      <c r="M13" s="72"/>
      <c r="N13" s="94">
        <v>2.5984523457106872E-2</v>
      </c>
      <c r="O13" s="81"/>
      <c r="P13" s="83"/>
      <c r="Q13" s="81">
        <f>SUM(Q14:Q164)</f>
        <v>2.02609101</v>
      </c>
      <c r="R13" s="81">
        <f>SUM(R14:R165)</f>
        <v>746.34005987600005</v>
      </c>
      <c r="S13" s="72"/>
      <c r="T13" s="82">
        <f t="shared" si="0"/>
        <v>0.66894878868393037</v>
      </c>
      <c r="U13" s="82">
        <f>R13/'סכום נכסי הקרן'!$C$42</f>
        <v>0.11845949265204023</v>
      </c>
      <c r="BJ13" s="4"/>
    </row>
    <row r="14" spans="2:66">
      <c r="B14" s="77" t="s">
        <v>323</v>
      </c>
      <c r="C14" s="74" t="s">
        <v>324</v>
      </c>
      <c r="D14" s="87" t="s">
        <v>107</v>
      </c>
      <c r="E14" s="87" t="s">
        <v>325</v>
      </c>
      <c r="F14" s="74" t="s">
        <v>326</v>
      </c>
      <c r="G14" s="87" t="s">
        <v>327</v>
      </c>
      <c r="H14" s="74" t="s">
        <v>328</v>
      </c>
      <c r="I14" s="74" t="s">
        <v>329</v>
      </c>
      <c r="J14" s="74"/>
      <c r="K14" s="84">
        <v>2.5700000000211931</v>
      </c>
      <c r="L14" s="87" t="s">
        <v>151</v>
      </c>
      <c r="M14" s="88">
        <v>6.1999999999999998E-3</v>
      </c>
      <c r="N14" s="88">
        <v>1.6000000000108684E-2</v>
      </c>
      <c r="O14" s="84">
        <v>18632.995771999998</v>
      </c>
      <c r="P14" s="86">
        <v>98.76</v>
      </c>
      <c r="Q14" s="74"/>
      <c r="R14" s="84">
        <v>18.401947573000001</v>
      </c>
      <c r="S14" s="85">
        <v>3.7624120497366228E-6</v>
      </c>
      <c r="T14" s="85">
        <f t="shared" si="0"/>
        <v>1.6493768993759719E-2</v>
      </c>
      <c r="U14" s="85">
        <f>R14/'סכום נכסי הקרן'!$C$42</f>
        <v>2.9207669405675448E-3</v>
      </c>
    </row>
    <row r="15" spans="2:66">
      <c r="B15" s="77" t="s">
        <v>330</v>
      </c>
      <c r="C15" s="74" t="s">
        <v>331</v>
      </c>
      <c r="D15" s="87" t="s">
        <v>107</v>
      </c>
      <c r="E15" s="87" t="s">
        <v>325</v>
      </c>
      <c r="F15" s="74" t="s">
        <v>326</v>
      </c>
      <c r="G15" s="87" t="s">
        <v>327</v>
      </c>
      <c r="H15" s="74" t="s">
        <v>328</v>
      </c>
      <c r="I15" s="74" t="s">
        <v>329</v>
      </c>
      <c r="J15" s="74"/>
      <c r="K15" s="84">
        <v>5.7300000004718941</v>
      </c>
      <c r="L15" s="87" t="s">
        <v>151</v>
      </c>
      <c r="M15" s="88">
        <v>5.0000000000000001E-4</v>
      </c>
      <c r="N15" s="88">
        <v>1.3200000000882679E-2</v>
      </c>
      <c r="O15" s="84">
        <v>6368.8279730000013</v>
      </c>
      <c r="P15" s="86">
        <v>92.5</v>
      </c>
      <c r="Q15" s="74"/>
      <c r="R15" s="84">
        <v>5.8911657139999996</v>
      </c>
      <c r="S15" s="85">
        <v>7.9877740398483945E-6</v>
      </c>
      <c r="T15" s="85">
        <f t="shared" si="0"/>
        <v>5.2802849266477218E-3</v>
      </c>
      <c r="U15" s="85">
        <f>R15/'סכום נכסי הקרן'!$C$42</f>
        <v>9.3504896645301371E-4</v>
      </c>
    </row>
    <row r="16" spans="2:66">
      <c r="B16" s="77" t="s">
        <v>332</v>
      </c>
      <c r="C16" s="74" t="s">
        <v>333</v>
      </c>
      <c r="D16" s="87" t="s">
        <v>107</v>
      </c>
      <c r="E16" s="87" t="s">
        <v>325</v>
      </c>
      <c r="F16" s="74" t="s">
        <v>334</v>
      </c>
      <c r="G16" s="87" t="s">
        <v>335</v>
      </c>
      <c r="H16" s="74" t="s">
        <v>328</v>
      </c>
      <c r="I16" s="74" t="s">
        <v>329</v>
      </c>
      <c r="J16" s="74"/>
      <c r="K16" s="84">
        <v>1.76999999997891</v>
      </c>
      <c r="L16" s="87" t="s">
        <v>151</v>
      </c>
      <c r="M16" s="88">
        <v>3.5499999999999997E-2</v>
      </c>
      <c r="N16" s="88">
        <v>1.7399999997469207E-2</v>
      </c>
      <c r="O16" s="84">
        <v>1663.1371039999999</v>
      </c>
      <c r="P16" s="86">
        <v>114.04</v>
      </c>
      <c r="Q16" s="74"/>
      <c r="R16" s="84">
        <v>1.8966414520000001</v>
      </c>
      <c r="S16" s="85">
        <v>5.8336549377660312E-6</v>
      </c>
      <c r="T16" s="85">
        <f>R16/$R$11</f>
        <v>1.6999703889590586E-3</v>
      </c>
      <c r="U16" s="85">
        <f>R16/'סכום נכסי הקרן'!$C$42</f>
        <v>3.010359435671688E-4</v>
      </c>
    </row>
    <row r="17" spans="2:61" ht="20.25">
      <c r="B17" s="77" t="s">
        <v>336</v>
      </c>
      <c r="C17" s="74" t="s">
        <v>337</v>
      </c>
      <c r="D17" s="87" t="s">
        <v>107</v>
      </c>
      <c r="E17" s="87" t="s">
        <v>325</v>
      </c>
      <c r="F17" s="74" t="s">
        <v>334</v>
      </c>
      <c r="G17" s="87" t="s">
        <v>335</v>
      </c>
      <c r="H17" s="74" t="s">
        <v>328</v>
      </c>
      <c r="I17" s="74" t="s">
        <v>329</v>
      </c>
      <c r="J17" s="74"/>
      <c r="K17" s="84">
        <v>0.68999999925383715</v>
      </c>
      <c r="L17" s="87" t="s">
        <v>151</v>
      </c>
      <c r="M17" s="88">
        <v>4.6500000000000007E-2</v>
      </c>
      <c r="N17" s="88">
        <v>1.44E-2</v>
      </c>
      <c r="O17" s="84">
        <v>536.80613100000005</v>
      </c>
      <c r="P17" s="86">
        <v>124.83</v>
      </c>
      <c r="Q17" s="74"/>
      <c r="R17" s="84">
        <v>0.67009505000000003</v>
      </c>
      <c r="S17" s="85">
        <v>2.7026516138142448E-6</v>
      </c>
      <c r="T17" s="85">
        <f t="shared" si="0"/>
        <v>6.0060995797957489E-4</v>
      </c>
      <c r="U17" s="85">
        <f>R17/'סכום נכסי הקרן'!$C$42</f>
        <v>1.0635784398981866E-4</v>
      </c>
      <c r="BI17" s="4"/>
    </row>
    <row r="18" spans="2:61">
      <c r="B18" s="77" t="s">
        <v>338</v>
      </c>
      <c r="C18" s="74" t="s">
        <v>339</v>
      </c>
      <c r="D18" s="87" t="s">
        <v>107</v>
      </c>
      <c r="E18" s="87" t="s">
        <v>325</v>
      </c>
      <c r="F18" s="74" t="s">
        <v>334</v>
      </c>
      <c r="G18" s="87" t="s">
        <v>335</v>
      </c>
      <c r="H18" s="74" t="s">
        <v>328</v>
      </c>
      <c r="I18" s="74" t="s">
        <v>329</v>
      </c>
      <c r="J18" s="74"/>
      <c r="K18" s="84">
        <v>5.1499999999252504</v>
      </c>
      <c r="L18" s="87" t="s">
        <v>151</v>
      </c>
      <c r="M18" s="88">
        <v>1.4999999999999999E-2</v>
      </c>
      <c r="N18" s="88">
        <v>9.5000000009610747E-3</v>
      </c>
      <c r="O18" s="84">
        <v>4537.5115340000002</v>
      </c>
      <c r="P18" s="86">
        <v>103.19</v>
      </c>
      <c r="Q18" s="74"/>
      <c r="R18" s="84">
        <v>4.682257989</v>
      </c>
      <c r="S18" s="85">
        <v>9.7629406621163278E-6</v>
      </c>
      <c r="T18" s="85">
        <f t="shared" si="0"/>
        <v>4.1967341409592839E-3</v>
      </c>
      <c r="U18" s="85">
        <f>R18/'סכום נכסי הקרן'!$C$42</f>
        <v>7.4317048710349971E-4</v>
      </c>
    </row>
    <row r="19" spans="2:61">
      <c r="B19" s="77" t="s">
        <v>340</v>
      </c>
      <c r="C19" s="74" t="s">
        <v>341</v>
      </c>
      <c r="D19" s="87" t="s">
        <v>107</v>
      </c>
      <c r="E19" s="87" t="s">
        <v>325</v>
      </c>
      <c r="F19" s="74" t="s">
        <v>342</v>
      </c>
      <c r="G19" s="87" t="s">
        <v>335</v>
      </c>
      <c r="H19" s="74" t="s">
        <v>343</v>
      </c>
      <c r="I19" s="74" t="s">
        <v>147</v>
      </c>
      <c r="J19" s="74"/>
      <c r="K19" s="84">
        <v>5.429999999818846</v>
      </c>
      <c r="L19" s="87" t="s">
        <v>151</v>
      </c>
      <c r="M19" s="88">
        <v>1E-3</v>
      </c>
      <c r="N19" s="88">
        <v>7.4999999996594865E-3</v>
      </c>
      <c r="O19" s="84">
        <v>7639.7442890000002</v>
      </c>
      <c r="P19" s="86">
        <v>96.1</v>
      </c>
      <c r="Q19" s="74"/>
      <c r="R19" s="84">
        <v>7.3417947309999994</v>
      </c>
      <c r="S19" s="85">
        <v>5.0931628593333336E-6</v>
      </c>
      <c r="T19" s="85">
        <f t="shared" si="0"/>
        <v>6.5804918643714398E-3</v>
      </c>
      <c r="U19" s="85">
        <f>R19/'סכום נכסי הקרן'!$C$42</f>
        <v>1.1652935782841113E-3</v>
      </c>
      <c r="BI19" s="3"/>
    </row>
    <row r="20" spans="2:61">
      <c r="B20" s="77" t="s">
        <v>344</v>
      </c>
      <c r="C20" s="74" t="s">
        <v>345</v>
      </c>
      <c r="D20" s="87" t="s">
        <v>107</v>
      </c>
      <c r="E20" s="87" t="s">
        <v>325</v>
      </c>
      <c r="F20" s="74" t="s">
        <v>342</v>
      </c>
      <c r="G20" s="87" t="s">
        <v>335</v>
      </c>
      <c r="H20" s="74" t="s">
        <v>343</v>
      </c>
      <c r="I20" s="74" t="s">
        <v>147</v>
      </c>
      <c r="J20" s="74"/>
      <c r="K20" s="84">
        <v>0.9900000003734909</v>
      </c>
      <c r="L20" s="87" t="s">
        <v>151</v>
      </c>
      <c r="M20" s="88">
        <v>8.0000000000000002E-3</v>
      </c>
      <c r="N20" s="88">
        <v>1.6000000004979878E-2</v>
      </c>
      <c r="O20" s="84">
        <v>1989.775529</v>
      </c>
      <c r="P20" s="86">
        <v>100.92</v>
      </c>
      <c r="Q20" s="74"/>
      <c r="R20" s="84">
        <v>2.008081475</v>
      </c>
      <c r="S20" s="85">
        <v>9.2613564066977201E-6</v>
      </c>
      <c r="T20" s="85">
        <f t="shared" si="0"/>
        <v>1.7998547076557461E-3</v>
      </c>
      <c r="U20" s="85">
        <f>R20/'סכום נכסי הקרן'!$C$42</f>
        <v>3.1872376349727542E-4</v>
      </c>
    </row>
    <row r="21" spans="2:61">
      <c r="B21" s="77" t="s">
        <v>346</v>
      </c>
      <c r="C21" s="74" t="s">
        <v>347</v>
      </c>
      <c r="D21" s="87" t="s">
        <v>107</v>
      </c>
      <c r="E21" s="87" t="s">
        <v>325</v>
      </c>
      <c r="F21" s="74" t="s">
        <v>348</v>
      </c>
      <c r="G21" s="87" t="s">
        <v>335</v>
      </c>
      <c r="H21" s="74" t="s">
        <v>343</v>
      </c>
      <c r="I21" s="74" t="s">
        <v>147</v>
      </c>
      <c r="J21" s="74"/>
      <c r="K21" s="84">
        <v>0.25</v>
      </c>
      <c r="L21" s="87" t="s">
        <v>151</v>
      </c>
      <c r="M21" s="88">
        <v>5.8999999999999999E-3</v>
      </c>
      <c r="N21" s="88">
        <v>4.2799999999616457E-2</v>
      </c>
      <c r="O21" s="84">
        <v>8380.9447600000003</v>
      </c>
      <c r="P21" s="86">
        <v>99.55</v>
      </c>
      <c r="Q21" s="74"/>
      <c r="R21" s="84">
        <v>8.3432301439999996</v>
      </c>
      <c r="S21" s="85">
        <v>1.5700089338049823E-6</v>
      </c>
      <c r="T21" s="85">
        <f t="shared" si="0"/>
        <v>7.478084051212976E-3</v>
      </c>
      <c r="U21" s="85">
        <f>R21/'סכום נכסי הקרן'!$C$42</f>
        <v>1.3242419415375537E-3</v>
      </c>
    </row>
    <row r="22" spans="2:61">
      <c r="B22" s="77" t="s">
        <v>349</v>
      </c>
      <c r="C22" s="74" t="s">
        <v>350</v>
      </c>
      <c r="D22" s="87" t="s">
        <v>107</v>
      </c>
      <c r="E22" s="87" t="s">
        <v>325</v>
      </c>
      <c r="F22" s="74" t="s">
        <v>348</v>
      </c>
      <c r="G22" s="87" t="s">
        <v>335</v>
      </c>
      <c r="H22" s="74" t="s">
        <v>343</v>
      </c>
      <c r="I22" s="74" t="s">
        <v>147</v>
      </c>
      <c r="J22" s="74"/>
      <c r="K22" s="84">
        <v>5.1200000002555157</v>
      </c>
      <c r="L22" s="87" t="s">
        <v>151</v>
      </c>
      <c r="M22" s="88">
        <v>8.3000000000000001E-3</v>
      </c>
      <c r="N22" s="88">
        <v>8.3000000003726274E-3</v>
      </c>
      <c r="O22" s="84">
        <v>7460.4990930000004</v>
      </c>
      <c r="P22" s="86">
        <v>100.72</v>
      </c>
      <c r="Q22" s="74"/>
      <c r="R22" s="84">
        <v>7.5142149840000005</v>
      </c>
      <c r="S22" s="85">
        <v>5.8014565604174282E-6</v>
      </c>
      <c r="T22" s="85">
        <f t="shared" si="0"/>
        <v>6.7350331058104842E-3</v>
      </c>
      <c r="U22" s="85">
        <f>R22/'סכום נכסי הקרן'!$C$42</f>
        <v>1.1926602128671593E-3</v>
      </c>
    </row>
    <row r="23" spans="2:61">
      <c r="B23" s="77" t="s">
        <v>351</v>
      </c>
      <c r="C23" s="74" t="s">
        <v>352</v>
      </c>
      <c r="D23" s="87" t="s">
        <v>107</v>
      </c>
      <c r="E23" s="87" t="s">
        <v>325</v>
      </c>
      <c r="F23" s="74" t="s">
        <v>353</v>
      </c>
      <c r="G23" s="87" t="s">
        <v>335</v>
      </c>
      <c r="H23" s="74" t="s">
        <v>343</v>
      </c>
      <c r="I23" s="74" t="s">
        <v>147</v>
      </c>
      <c r="J23" s="74"/>
      <c r="K23" s="84">
        <v>0.94000000017624574</v>
      </c>
      <c r="L23" s="87" t="s">
        <v>151</v>
      </c>
      <c r="M23" s="88">
        <v>4.0999999999999995E-3</v>
      </c>
      <c r="N23" s="88">
        <v>1.3799999996181344E-2</v>
      </c>
      <c r="O23" s="84">
        <v>1373.8249530000001</v>
      </c>
      <c r="P23" s="86">
        <v>99.12</v>
      </c>
      <c r="Q23" s="74"/>
      <c r="R23" s="84">
        <v>1.3617353539999999</v>
      </c>
      <c r="S23" s="85">
        <v>1.6714433166258305E-6</v>
      </c>
      <c r="T23" s="85">
        <f t="shared" si="0"/>
        <v>1.220531048162856E-3</v>
      </c>
      <c r="U23" s="85">
        <f>R23/'סכום נכסי הקרן'!$C$42</f>
        <v>2.1613536219399393E-4</v>
      </c>
    </row>
    <row r="24" spans="2:61">
      <c r="B24" s="77" t="s">
        <v>354</v>
      </c>
      <c r="C24" s="74" t="s">
        <v>355</v>
      </c>
      <c r="D24" s="87" t="s">
        <v>107</v>
      </c>
      <c r="E24" s="87" t="s">
        <v>325</v>
      </c>
      <c r="F24" s="74" t="s">
        <v>353</v>
      </c>
      <c r="G24" s="87" t="s">
        <v>335</v>
      </c>
      <c r="H24" s="74" t="s">
        <v>343</v>
      </c>
      <c r="I24" s="74" t="s">
        <v>147</v>
      </c>
      <c r="J24" s="74"/>
      <c r="K24" s="84">
        <v>1.2999999999804828</v>
      </c>
      <c r="L24" s="87" t="s">
        <v>151</v>
      </c>
      <c r="M24" s="88">
        <v>0.04</v>
      </c>
      <c r="N24" s="88">
        <v>2.1499999998926551E-2</v>
      </c>
      <c r="O24" s="84">
        <v>9598.5027090000003</v>
      </c>
      <c r="P24" s="86">
        <v>106.76</v>
      </c>
      <c r="Q24" s="74"/>
      <c r="R24" s="84">
        <v>10.247361593999999</v>
      </c>
      <c r="S24" s="85">
        <v>4.6331617713216611E-6</v>
      </c>
      <c r="T24" s="85">
        <f t="shared" si="0"/>
        <v>9.184767767459032E-3</v>
      </c>
      <c r="U24" s="85">
        <f>R24/'סכום נכסי הקרן'!$C$42</f>
        <v>1.6264667015849638E-3</v>
      </c>
    </row>
    <row r="25" spans="2:61">
      <c r="B25" s="77" t="s">
        <v>356</v>
      </c>
      <c r="C25" s="74" t="s">
        <v>357</v>
      </c>
      <c r="D25" s="87" t="s">
        <v>107</v>
      </c>
      <c r="E25" s="87" t="s">
        <v>325</v>
      </c>
      <c r="F25" s="74" t="s">
        <v>353</v>
      </c>
      <c r="G25" s="87" t="s">
        <v>335</v>
      </c>
      <c r="H25" s="74" t="s">
        <v>343</v>
      </c>
      <c r="I25" s="74" t="s">
        <v>147</v>
      </c>
      <c r="J25" s="74"/>
      <c r="K25" s="84">
        <v>2.4599999998945576</v>
      </c>
      <c r="L25" s="87" t="s">
        <v>151</v>
      </c>
      <c r="M25" s="88">
        <v>9.8999999999999991E-3</v>
      </c>
      <c r="N25" s="88">
        <v>1.2899999999335254E-2</v>
      </c>
      <c r="O25" s="84">
        <v>12986.410970999999</v>
      </c>
      <c r="P25" s="86">
        <v>100.78</v>
      </c>
      <c r="Q25" s="74"/>
      <c r="R25" s="84">
        <v>13.087704703</v>
      </c>
      <c r="S25" s="85">
        <v>4.308876539297927E-6</v>
      </c>
      <c r="T25" s="85">
        <f t="shared" si="0"/>
        <v>1.1730583253402505E-2</v>
      </c>
      <c r="U25" s="85">
        <f>R25/'סכום נכסי הקרן'!$C$42</f>
        <v>2.0772874758386737E-3</v>
      </c>
    </row>
    <row r="26" spans="2:61">
      <c r="B26" s="77" t="s">
        <v>358</v>
      </c>
      <c r="C26" s="74" t="s">
        <v>359</v>
      </c>
      <c r="D26" s="87" t="s">
        <v>107</v>
      </c>
      <c r="E26" s="87" t="s">
        <v>325</v>
      </c>
      <c r="F26" s="74" t="s">
        <v>353</v>
      </c>
      <c r="G26" s="87" t="s">
        <v>335</v>
      </c>
      <c r="H26" s="74" t="s">
        <v>343</v>
      </c>
      <c r="I26" s="74" t="s">
        <v>147</v>
      </c>
      <c r="J26" s="74"/>
      <c r="K26" s="84">
        <v>4.4099999999377779</v>
      </c>
      <c r="L26" s="87" t="s">
        <v>151</v>
      </c>
      <c r="M26" s="88">
        <v>8.6E-3</v>
      </c>
      <c r="N26" s="88">
        <v>1.1599999999968495E-2</v>
      </c>
      <c r="O26" s="84">
        <v>12671.021556</v>
      </c>
      <c r="P26" s="86">
        <v>100.2</v>
      </c>
      <c r="Q26" s="74"/>
      <c r="R26" s="84">
        <v>12.696362818999999</v>
      </c>
      <c r="S26" s="85">
        <v>5.0656711337193383E-6</v>
      </c>
      <c r="T26" s="85">
        <f t="shared" si="0"/>
        <v>1.1379821324173377E-2</v>
      </c>
      <c r="U26" s="85">
        <f>R26/'סכום נכסי הקרן'!$C$42</f>
        <v>2.0151734831369609E-3</v>
      </c>
    </row>
    <row r="27" spans="2:61">
      <c r="B27" s="77" t="s">
        <v>360</v>
      </c>
      <c r="C27" s="74" t="s">
        <v>361</v>
      </c>
      <c r="D27" s="87" t="s">
        <v>107</v>
      </c>
      <c r="E27" s="87" t="s">
        <v>325</v>
      </c>
      <c r="F27" s="74" t="s">
        <v>353</v>
      </c>
      <c r="G27" s="87" t="s">
        <v>335</v>
      </c>
      <c r="H27" s="74" t="s">
        <v>343</v>
      </c>
      <c r="I27" s="74" t="s">
        <v>147</v>
      </c>
      <c r="J27" s="74"/>
      <c r="K27" s="84">
        <v>7.1699999962842584</v>
      </c>
      <c r="L27" s="87" t="s">
        <v>151</v>
      </c>
      <c r="M27" s="88">
        <v>1.2199999999999999E-2</v>
      </c>
      <c r="N27" s="88">
        <v>1.100000000399542E-2</v>
      </c>
      <c r="O27" s="84">
        <v>487.93554299999994</v>
      </c>
      <c r="P27" s="86">
        <v>102.59</v>
      </c>
      <c r="Q27" s="74"/>
      <c r="R27" s="84">
        <v>0.50057305799999996</v>
      </c>
      <c r="S27" s="85">
        <v>6.0869594989071953E-7</v>
      </c>
      <c r="T27" s="85">
        <f t="shared" si="0"/>
        <v>4.4866644415756724E-4</v>
      </c>
      <c r="U27" s="85">
        <f>R27/'סכום נכסי הקרן'!$C$42</f>
        <v>7.9451222939597063E-5</v>
      </c>
    </row>
    <row r="28" spans="2:61">
      <c r="B28" s="77" t="s">
        <v>362</v>
      </c>
      <c r="C28" s="74" t="s">
        <v>363</v>
      </c>
      <c r="D28" s="87" t="s">
        <v>107</v>
      </c>
      <c r="E28" s="87" t="s">
        <v>325</v>
      </c>
      <c r="F28" s="74" t="s">
        <v>353</v>
      </c>
      <c r="G28" s="87" t="s">
        <v>335</v>
      </c>
      <c r="H28" s="74" t="s">
        <v>343</v>
      </c>
      <c r="I28" s="74" t="s">
        <v>147</v>
      </c>
      <c r="J28" s="74"/>
      <c r="K28" s="84">
        <v>6.1499999999906541</v>
      </c>
      <c r="L28" s="87" t="s">
        <v>151</v>
      </c>
      <c r="M28" s="88">
        <v>3.8E-3</v>
      </c>
      <c r="N28" s="88">
        <v>1.0299999999856703E-2</v>
      </c>
      <c r="O28" s="84">
        <v>16884.973182999998</v>
      </c>
      <c r="P28" s="86">
        <v>95.06</v>
      </c>
      <c r="Q28" s="74"/>
      <c r="R28" s="84">
        <v>16.050856141000001</v>
      </c>
      <c r="S28" s="85">
        <v>5.628324394333333E-6</v>
      </c>
      <c r="T28" s="85">
        <f t="shared" si="0"/>
        <v>1.4386472534578804E-2</v>
      </c>
      <c r="U28" s="85">
        <f>R28/'סכום נכסי הקרן'!$C$42</f>
        <v>2.547600453618484E-3</v>
      </c>
    </row>
    <row r="29" spans="2:61">
      <c r="B29" s="77" t="s">
        <v>364</v>
      </c>
      <c r="C29" s="74" t="s">
        <v>365</v>
      </c>
      <c r="D29" s="87" t="s">
        <v>107</v>
      </c>
      <c r="E29" s="87" t="s">
        <v>325</v>
      </c>
      <c r="F29" s="74" t="s">
        <v>353</v>
      </c>
      <c r="G29" s="87" t="s">
        <v>335</v>
      </c>
      <c r="H29" s="74" t="s">
        <v>343</v>
      </c>
      <c r="I29" s="74" t="s">
        <v>147</v>
      </c>
      <c r="J29" s="74"/>
      <c r="K29" s="84">
        <v>3.5700000001300141</v>
      </c>
      <c r="L29" s="87" t="s">
        <v>151</v>
      </c>
      <c r="M29" s="88">
        <v>1E-3</v>
      </c>
      <c r="N29" s="88">
        <v>1.2300000001176323E-2</v>
      </c>
      <c r="O29" s="84">
        <v>5065.974604</v>
      </c>
      <c r="P29" s="86">
        <v>95.65</v>
      </c>
      <c r="Q29" s="74"/>
      <c r="R29" s="84">
        <v>4.8456048410000001</v>
      </c>
      <c r="S29" s="85">
        <v>1.9913171705387355E-6</v>
      </c>
      <c r="T29" s="85">
        <f t="shared" si="0"/>
        <v>4.343142842106705E-3</v>
      </c>
      <c r="U29" s="85">
        <f>R29/'סכום נכסי הקרן'!$C$42</f>
        <v>7.6909698663702711E-4</v>
      </c>
    </row>
    <row r="30" spans="2:61">
      <c r="B30" s="77" t="s">
        <v>366</v>
      </c>
      <c r="C30" s="74" t="s">
        <v>367</v>
      </c>
      <c r="D30" s="87" t="s">
        <v>107</v>
      </c>
      <c r="E30" s="87" t="s">
        <v>325</v>
      </c>
      <c r="F30" s="74" t="s">
        <v>353</v>
      </c>
      <c r="G30" s="87" t="s">
        <v>335</v>
      </c>
      <c r="H30" s="74" t="s">
        <v>343</v>
      </c>
      <c r="I30" s="74" t="s">
        <v>147</v>
      </c>
      <c r="J30" s="74"/>
      <c r="K30" s="84">
        <v>9.6600000019735486</v>
      </c>
      <c r="L30" s="87" t="s">
        <v>151</v>
      </c>
      <c r="M30" s="88">
        <v>1.09E-2</v>
      </c>
      <c r="N30" s="88">
        <v>1.6400000004933871E-2</v>
      </c>
      <c r="O30" s="84">
        <v>2535.3578130000001</v>
      </c>
      <c r="P30" s="86">
        <v>95.93</v>
      </c>
      <c r="Q30" s="74"/>
      <c r="R30" s="84">
        <v>2.4321688199999998</v>
      </c>
      <c r="S30" s="85">
        <v>3.6119964227049252E-6</v>
      </c>
      <c r="T30" s="85">
        <f t="shared" si="0"/>
        <v>2.179966577546621E-3</v>
      </c>
      <c r="U30" s="85">
        <f>R30/'סכום נכסי הקרן'!$C$42</f>
        <v>3.860351332463377E-4</v>
      </c>
    </row>
    <row r="31" spans="2:61">
      <c r="B31" s="77" t="s">
        <v>371</v>
      </c>
      <c r="C31" s="74" t="s">
        <v>372</v>
      </c>
      <c r="D31" s="87" t="s">
        <v>107</v>
      </c>
      <c r="E31" s="87" t="s">
        <v>325</v>
      </c>
      <c r="F31" s="74" t="s">
        <v>373</v>
      </c>
      <c r="G31" s="87" t="s">
        <v>143</v>
      </c>
      <c r="H31" s="74" t="s">
        <v>328</v>
      </c>
      <c r="I31" s="74" t="s">
        <v>329</v>
      </c>
      <c r="J31" s="74"/>
      <c r="K31" s="84">
        <v>5.7200000023068869</v>
      </c>
      <c r="L31" s="87" t="s">
        <v>151</v>
      </c>
      <c r="M31" s="88">
        <v>1E-3</v>
      </c>
      <c r="N31" s="88">
        <v>6.8999999980775932E-3</v>
      </c>
      <c r="O31" s="84">
        <v>327.22674899999998</v>
      </c>
      <c r="P31" s="86">
        <v>95.38</v>
      </c>
      <c r="Q31" s="74"/>
      <c r="R31" s="84">
        <v>0.31210887400000004</v>
      </c>
      <c r="S31" s="85">
        <v>6.2346717919405545E-7</v>
      </c>
      <c r="T31" s="85">
        <f t="shared" si="0"/>
        <v>2.7974493722672988E-4</v>
      </c>
      <c r="U31" s="85">
        <f>R31/'סכום נכסי הקרן'!$C$42</f>
        <v>4.9538087065006631E-5</v>
      </c>
    </row>
    <row r="32" spans="2:61">
      <c r="B32" s="77" t="s">
        <v>374</v>
      </c>
      <c r="C32" s="74" t="s">
        <v>375</v>
      </c>
      <c r="D32" s="87" t="s">
        <v>107</v>
      </c>
      <c r="E32" s="87" t="s">
        <v>325</v>
      </c>
      <c r="F32" s="74" t="s">
        <v>373</v>
      </c>
      <c r="G32" s="87" t="s">
        <v>143</v>
      </c>
      <c r="H32" s="74" t="s">
        <v>328</v>
      </c>
      <c r="I32" s="74" t="s">
        <v>329</v>
      </c>
      <c r="J32" s="74"/>
      <c r="K32" s="84">
        <v>15.010000000247176</v>
      </c>
      <c r="L32" s="87" t="s">
        <v>151</v>
      </c>
      <c r="M32" s="88">
        <v>2.07E-2</v>
      </c>
      <c r="N32" s="88">
        <v>1.3100000000117705E-2</v>
      </c>
      <c r="O32" s="84">
        <v>10734.821395000001</v>
      </c>
      <c r="P32" s="86">
        <v>110.8</v>
      </c>
      <c r="Q32" s="74"/>
      <c r="R32" s="84">
        <v>11.894182106000001</v>
      </c>
      <c r="S32" s="85">
        <v>7.2605673245361888E-6</v>
      </c>
      <c r="T32" s="85">
        <f t="shared" si="0"/>
        <v>1.0660822244375735E-2</v>
      </c>
      <c r="U32" s="85">
        <f>R32/'סכום נכסי הקרן'!$C$42</f>
        <v>1.8878509322169158E-3</v>
      </c>
    </row>
    <row r="33" spans="2:21">
      <c r="B33" s="77" t="s">
        <v>376</v>
      </c>
      <c r="C33" s="74" t="s">
        <v>377</v>
      </c>
      <c r="D33" s="87" t="s">
        <v>107</v>
      </c>
      <c r="E33" s="87" t="s">
        <v>325</v>
      </c>
      <c r="F33" s="74" t="s">
        <v>378</v>
      </c>
      <c r="G33" s="87" t="s">
        <v>335</v>
      </c>
      <c r="H33" s="74" t="s">
        <v>343</v>
      </c>
      <c r="I33" s="74" t="s">
        <v>147</v>
      </c>
      <c r="J33" s="74"/>
      <c r="K33" s="84">
        <v>2.25</v>
      </c>
      <c r="L33" s="87" t="s">
        <v>151</v>
      </c>
      <c r="M33" s="88">
        <v>0.05</v>
      </c>
      <c r="N33" s="88">
        <v>1.5200000000309855E-2</v>
      </c>
      <c r="O33" s="84">
        <v>14930.677852999999</v>
      </c>
      <c r="P33" s="86">
        <v>112.4</v>
      </c>
      <c r="Q33" s="74"/>
      <c r="R33" s="84">
        <v>16.782081824000002</v>
      </c>
      <c r="S33" s="85">
        <v>4.7374808638894376E-6</v>
      </c>
      <c r="T33" s="85">
        <f t="shared" si="0"/>
        <v>1.5041874222354616E-2</v>
      </c>
      <c r="U33" s="85">
        <f>R33/'סכום נכסי הקרן'!$C$42</f>
        <v>2.6636609843056795E-3</v>
      </c>
    </row>
    <row r="34" spans="2:21">
      <c r="B34" s="77" t="s">
        <v>379</v>
      </c>
      <c r="C34" s="74" t="s">
        <v>380</v>
      </c>
      <c r="D34" s="87" t="s">
        <v>107</v>
      </c>
      <c r="E34" s="87" t="s">
        <v>325</v>
      </c>
      <c r="F34" s="74" t="s">
        <v>378</v>
      </c>
      <c r="G34" s="87" t="s">
        <v>335</v>
      </c>
      <c r="H34" s="74" t="s">
        <v>343</v>
      </c>
      <c r="I34" s="74" t="s">
        <v>147</v>
      </c>
      <c r="J34" s="74"/>
      <c r="K34" s="84">
        <v>0.45999777738970299</v>
      </c>
      <c r="L34" s="87" t="s">
        <v>151</v>
      </c>
      <c r="M34" s="88">
        <v>1.6E-2</v>
      </c>
      <c r="N34" s="88">
        <v>1.8399974598739464E-2</v>
      </c>
      <c r="O34" s="84">
        <v>0.31322100000000003</v>
      </c>
      <c r="P34" s="86">
        <v>100.55</v>
      </c>
      <c r="Q34" s="74"/>
      <c r="R34" s="84">
        <v>3.1494499999999996E-4</v>
      </c>
      <c r="S34" s="85">
        <v>2.9841754100137171E-10</v>
      </c>
      <c r="T34" s="85">
        <f t="shared" si="0"/>
        <v>2.8228697289418446E-7</v>
      </c>
      <c r="U34" s="85">
        <f>R34/'סכום נכסי הקרן'!$C$42</f>
        <v>4.9988238497469028E-8</v>
      </c>
    </row>
    <row r="35" spans="2:21">
      <c r="B35" s="77" t="s">
        <v>381</v>
      </c>
      <c r="C35" s="74" t="s">
        <v>382</v>
      </c>
      <c r="D35" s="87" t="s">
        <v>107</v>
      </c>
      <c r="E35" s="87" t="s">
        <v>325</v>
      </c>
      <c r="F35" s="74" t="s">
        <v>378</v>
      </c>
      <c r="G35" s="87" t="s">
        <v>335</v>
      </c>
      <c r="H35" s="74" t="s">
        <v>343</v>
      </c>
      <c r="I35" s="74" t="s">
        <v>147</v>
      </c>
      <c r="J35" s="74"/>
      <c r="K35" s="84">
        <v>1.9700000001006799</v>
      </c>
      <c r="L35" s="87" t="s">
        <v>151</v>
      </c>
      <c r="M35" s="88">
        <v>6.9999999999999993E-3</v>
      </c>
      <c r="N35" s="88">
        <v>1.6799999999552534E-2</v>
      </c>
      <c r="O35" s="84">
        <v>5374.2843659999999</v>
      </c>
      <c r="P35" s="86">
        <v>99.8</v>
      </c>
      <c r="Q35" s="74"/>
      <c r="R35" s="84">
        <v>5.3635357180000005</v>
      </c>
      <c r="S35" s="85">
        <v>2.5205764470374455E-6</v>
      </c>
      <c r="T35" s="85">
        <f t="shared" si="0"/>
        <v>4.8073671969520275E-3</v>
      </c>
      <c r="U35" s="85">
        <f>R35/'סכום נכסי הקרן'!$C$42</f>
        <v>8.5130325187279625E-4</v>
      </c>
    </row>
    <row r="36" spans="2:21">
      <c r="B36" s="77" t="s">
        <v>383</v>
      </c>
      <c r="C36" s="74" t="s">
        <v>384</v>
      </c>
      <c r="D36" s="87" t="s">
        <v>107</v>
      </c>
      <c r="E36" s="87" t="s">
        <v>325</v>
      </c>
      <c r="F36" s="74" t="s">
        <v>378</v>
      </c>
      <c r="G36" s="87" t="s">
        <v>335</v>
      </c>
      <c r="H36" s="74" t="s">
        <v>343</v>
      </c>
      <c r="I36" s="74" t="s">
        <v>147</v>
      </c>
      <c r="J36" s="74"/>
      <c r="K36" s="84">
        <v>3.9900000000287634</v>
      </c>
      <c r="L36" s="87" t="s">
        <v>151</v>
      </c>
      <c r="M36" s="88">
        <v>6.0000000000000001E-3</v>
      </c>
      <c r="N36" s="88">
        <v>8.3999999998082466E-3</v>
      </c>
      <c r="O36" s="84">
        <v>8294.2911270000004</v>
      </c>
      <c r="P36" s="86">
        <v>100.6</v>
      </c>
      <c r="Q36" s="74"/>
      <c r="R36" s="84">
        <v>8.3440563239999985</v>
      </c>
      <c r="S36" s="85">
        <v>4.1435603479089721E-6</v>
      </c>
      <c r="T36" s="85">
        <f t="shared" si="0"/>
        <v>7.4788245609885414E-3</v>
      </c>
      <c r="U36" s="85">
        <f>R36/'סכום נכסי הקרן'!$C$42</f>
        <v>1.3243730732681155E-3</v>
      </c>
    </row>
    <row r="37" spans="2:21">
      <c r="B37" s="77" t="s">
        <v>385</v>
      </c>
      <c r="C37" s="74" t="s">
        <v>386</v>
      </c>
      <c r="D37" s="87" t="s">
        <v>107</v>
      </c>
      <c r="E37" s="87" t="s">
        <v>325</v>
      </c>
      <c r="F37" s="74" t="s">
        <v>378</v>
      </c>
      <c r="G37" s="87" t="s">
        <v>335</v>
      </c>
      <c r="H37" s="74" t="s">
        <v>343</v>
      </c>
      <c r="I37" s="74" t="s">
        <v>147</v>
      </c>
      <c r="J37" s="74"/>
      <c r="K37" s="84">
        <v>5.4100000001134596</v>
      </c>
      <c r="L37" s="87" t="s">
        <v>151</v>
      </c>
      <c r="M37" s="88">
        <v>1.7500000000000002E-2</v>
      </c>
      <c r="N37" s="88">
        <v>1.0500000000339411E-2</v>
      </c>
      <c r="O37" s="84">
        <v>19855.584490000001</v>
      </c>
      <c r="P37" s="86">
        <v>103.87</v>
      </c>
      <c r="Q37" s="74"/>
      <c r="R37" s="84">
        <v>20.623995625999999</v>
      </c>
      <c r="S37" s="85">
        <v>5.0072277033984565E-6</v>
      </c>
      <c r="T37" s="85">
        <f t="shared" si="0"/>
        <v>1.848540314736364E-2</v>
      </c>
      <c r="U37" s="85">
        <f>R37/'סכום נכסי הקרן'!$C$42</f>
        <v>3.2734515935266351E-3</v>
      </c>
    </row>
    <row r="38" spans="2:21">
      <c r="B38" s="77" t="s">
        <v>387</v>
      </c>
      <c r="C38" s="74" t="s">
        <v>388</v>
      </c>
      <c r="D38" s="87" t="s">
        <v>107</v>
      </c>
      <c r="E38" s="87" t="s">
        <v>325</v>
      </c>
      <c r="F38" s="74" t="s">
        <v>342</v>
      </c>
      <c r="G38" s="87" t="s">
        <v>335</v>
      </c>
      <c r="H38" s="74" t="s">
        <v>389</v>
      </c>
      <c r="I38" s="74" t="s">
        <v>147</v>
      </c>
      <c r="J38" s="74"/>
      <c r="K38" s="84">
        <v>0.83000000040242661</v>
      </c>
      <c r="L38" s="87" t="s">
        <v>151</v>
      </c>
      <c r="M38" s="88">
        <v>3.1E-2</v>
      </c>
      <c r="N38" s="88">
        <v>2.560000000252503E-2</v>
      </c>
      <c r="O38" s="84">
        <v>1184.0719140000001</v>
      </c>
      <c r="P38" s="86">
        <v>107.03</v>
      </c>
      <c r="Q38" s="74"/>
      <c r="R38" s="84">
        <v>1.2673121030000001</v>
      </c>
      <c r="S38" s="85">
        <v>6.8834426866119365E-6</v>
      </c>
      <c r="T38" s="85">
        <f t="shared" si="0"/>
        <v>1.135898957811786E-3</v>
      </c>
      <c r="U38" s="85">
        <f>R38/'סכום נכסי הקרן'!$C$42</f>
        <v>2.0114845339819031E-4</v>
      </c>
    </row>
    <row r="39" spans="2:21">
      <c r="B39" s="77" t="s">
        <v>390</v>
      </c>
      <c r="C39" s="74" t="s">
        <v>391</v>
      </c>
      <c r="D39" s="87" t="s">
        <v>107</v>
      </c>
      <c r="E39" s="87" t="s">
        <v>325</v>
      </c>
      <c r="F39" s="74" t="s">
        <v>342</v>
      </c>
      <c r="G39" s="87" t="s">
        <v>335</v>
      </c>
      <c r="H39" s="74" t="s">
        <v>389</v>
      </c>
      <c r="I39" s="74" t="s">
        <v>147</v>
      </c>
      <c r="J39" s="74"/>
      <c r="K39" s="84">
        <v>0.9600000027622273</v>
      </c>
      <c r="L39" s="87" t="s">
        <v>151</v>
      </c>
      <c r="M39" s="88">
        <v>4.2000000000000003E-2</v>
      </c>
      <c r="N39" s="88">
        <v>-9.9999993094431833E-5</v>
      </c>
      <c r="O39" s="84">
        <v>68.641499999999994</v>
      </c>
      <c r="P39" s="86">
        <v>126.58</v>
      </c>
      <c r="Q39" s="74"/>
      <c r="R39" s="84">
        <v>8.6886405999999999E-2</v>
      </c>
      <c r="S39" s="85">
        <v>2.6316566345895791E-6</v>
      </c>
      <c r="T39" s="85">
        <f t="shared" si="0"/>
        <v>7.7876773834781014E-5</v>
      </c>
      <c r="U39" s="85">
        <f>R39/'סכום נכסי הקרן'!$C$42</f>
        <v>1.3790656734718519E-5</v>
      </c>
    </row>
    <row r="40" spans="2:21">
      <c r="B40" s="77" t="s">
        <v>392</v>
      </c>
      <c r="C40" s="74" t="s">
        <v>393</v>
      </c>
      <c r="D40" s="87" t="s">
        <v>107</v>
      </c>
      <c r="E40" s="87" t="s">
        <v>325</v>
      </c>
      <c r="F40" s="74" t="s">
        <v>394</v>
      </c>
      <c r="G40" s="87" t="s">
        <v>335</v>
      </c>
      <c r="H40" s="74" t="s">
        <v>389</v>
      </c>
      <c r="I40" s="74" t="s">
        <v>147</v>
      </c>
      <c r="J40" s="74"/>
      <c r="K40" s="84">
        <v>1.1700000001626818</v>
      </c>
      <c r="L40" s="87" t="s">
        <v>151</v>
      </c>
      <c r="M40" s="88">
        <v>3.85E-2</v>
      </c>
      <c r="N40" s="88">
        <v>1.6700000001626816E-2</v>
      </c>
      <c r="O40" s="84">
        <v>1316.502837</v>
      </c>
      <c r="P40" s="86">
        <v>112.06</v>
      </c>
      <c r="Q40" s="74"/>
      <c r="R40" s="84">
        <v>1.475273128</v>
      </c>
      <c r="S40" s="85">
        <v>4.1211578252917709E-6</v>
      </c>
      <c r="T40" s="85">
        <f t="shared" si="0"/>
        <v>1.3222955928662299E-3</v>
      </c>
      <c r="U40" s="85">
        <f>R40/'סכום נכסי הקרן'!$C$42</f>
        <v>2.341561382824657E-4</v>
      </c>
    </row>
    <row r="41" spans="2:21">
      <c r="B41" s="77" t="s">
        <v>395</v>
      </c>
      <c r="C41" s="74" t="s">
        <v>396</v>
      </c>
      <c r="D41" s="87" t="s">
        <v>107</v>
      </c>
      <c r="E41" s="87" t="s">
        <v>325</v>
      </c>
      <c r="F41" s="74" t="s">
        <v>394</v>
      </c>
      <c r="G41" s="87" t="s">
        <v>335</v>
      </c>
      <c r="H41" s="74" t="s">
        <v>389</v>
      </c>
      <c r="I41" s="74" t="s">
        <v>147</v>
      </c>
      <c r="J41" s="74"/>
      <c r="K41" s="84">
        <v>1.540000000869322</v>
      </c>
      <c r="L41" s="87" t="s">
        <v>151</v>
      </c>
      <c r="M41" s="88">
        <v>4.7500000000000001E-2</v>
      </c>
      <c r="N41" s="88">
        <v>1.1500000000905543E-2</v>
      </c>
      <c r="O41" s="84">
        <v>868.16725799999995</v>
      </c>
      <c r="P41" s="86">
        <v>127.2</v>
      </c>
      <c r="Q41" s="74"/>
      <c r="R41" s="84">
        <v>1.104308726</v>
      </c>
      <c r="S41" s="85">
        <v>3.9882894499288171E-6</v>
      </c>
      <c r="T41" s="85">
        <f t="shared" si="0"/>
        <v>9.8979811523654412E-4</v>
      </c>
      <c r="U41" s="85">
        <f>R41/'סכום נכסי הקרן'!$C$42</f>
        <v>1.7527647039998788E-4</v>
      </c>
    </row>
    <row r="42" spans="2:21">
      <c r="B42" s="77" t="s">
        <v>397</v>
      </c>
      <c r="C42" s="74" t="s">
        <v>398</v>
      </c>
      <c r="D42" s="87" t="s">
        <v>107</v>
      </c>
      <c r="E42" s="87" t="s">
        <v>325</v>
      </c>
      <c r="F42" s="74" t="s">
        <v>399</v>
      </c>
      <c r="G42" s="87" t="s">
        <v>1334</v>
      </c>
      <c r="H42" s="74" t="s">
        <v>400</v>
      </c>
      <c r="I42" s="74" t="s">
        <v>329</v>
      </c>
      <c r="J42" s="74"/>
      <c r="K42" s="84">
        <v>1.400000003744498</v>
      </c>
      <c r="L42" s="87" t="s">
        <v>151</v>
      </c>
      <c r="M42" s="88">
        <v>3.6400000000000002E-2</v>
      </c>
      <c r="N42" s="88">
        <v>1.860000004774235E-2</v>
      </c>
      <c r="O42" s="84">
        <v>190.48395300000001</v>
      </c>
      <c r="P42" s="86">
        <v>112.16</v>
      </c>
      <c r="Q42" s="74"/>
      <c r="R42" s="84">
        <v>0.213646793</v>
      </c>
      <c r="S42" s="85">
        <v>3.4554912108843539E-6</v>
      </c>
      <c r="T42" s="85">
        <f t="shared" si="0"/>
        <v>1.914928208560874E-4</v>
      </c>
      <c r="U42" s="85">
        <f>R42/'סכום נכסי הקרן'!$C$42</f>
        <v>3.3910133015934204E-5</v>
      </c>
    </row>
    <row r="43" spans="2:21">
      <c r="B43" s="77" t="s">
        <v>401</v>
      </c>
      <c r="C43" s="74" t="s">
        <v>402</v>
      </c>
      <c r="D43" s="87" t="s">
        <v>107</v>
      </c>
      <c r="E43" s="87" t="s">
        <v>325</v>
      </c>
      <c r="F43" s="74" t="s">
        <v>348</v>
      </c>
      <c r="G43" s="87" t="s">
        <v>335</v>
      </c>
      <c r="H43" s="74" t="s">
        <v>389</v>
      </c>
      <c r="I43" s="74" t="s">
        <v>147</v>
      </c>
      <c r="J43" s="74"/>
      <c r="K43" s="84">
        <v>0.6099999999319643</v>
      </c>
      <c r="L43" s="87" t="s">
        <v>151</v>
      </c>
      <c r="M43" s="88">
        <v>3.4000000000000002E-2</v>
      </c>
      <c r="N43" s="88">
        <v>3.2500000000895202E-2</v>
      </c>
      <c r="O43" s="84">
        <v>2664.2354690000002</v>
      </c>
      <c r="P43" s="86">
        <v>104.82</v>
      </c>
      <c r="Q43" s="74"/>
      <c r="R43" s="84">
        <v>2.792651379</v>
      </c>
      <c r="S43" s="85">
        <v>2.9806496067154456E-6</v>
      </c>
      <c r="T43" s="85">
        <f t="shared" si="0"/>
        <v>2.5030691204073088E-3</v>
      </c>
      <c r="U43" s="85">
        <f>R43/'סכום נכסי הקרן'!$C$42</f>
        <v>4.4325111741331911E-4</v>
      </c>
    </row>
    <row r="44" spans="2:21">
      <c r="B44" s="77" t="s">
        <v>403</v>
      </c>
      <c r="C44" s="74" t="s">
        <v>404</v>
      </c>
      <c r="D44" s="87" t="s">
        <v>107</v>
      </c>
      <c r="E44" s="87" t="s">
        <v>325</v>
      </c>
      <c r="F44" s="74" t="s">
        <v>405</v>
      </c>
      <c r="G44" s="87" t="s">
        <v>1334</v>
      </c>
      <c r="H44" s="74" t="s">
        <v>389</v>
      </c>
      <c r="I44" s="74" t="s">
        <v>147</v>
      </c>
      <c r="J44" s="74"/>
      <c r="K44" s="84">
        <v>5.249999999754583</v>
      </c>
      <c r="L44" s="87" t="s">
        <v>151</v>
      </c>
      <c r="M44" s="88">
        <v>8.3000000000000001E-3</v>
      </c>
      <c r="N44" s="88">
        <v>1.0199999999553788E-2</v>
      </c>
      <c r="O44" s="84">
        <v>11183.036893</v>
      </c>
      <c r="P44" s="86">
        <v>100.2</v>
      </c>
      <c r="Q44" s="74"/>
      <c r="R44" s="84">
        <v>11.205403574999998</v>
      </c>
      <c r="S44" s="85">
        <v>7.3023875150023966E-6</v>
      </c>
      <c r="T44" s="85">
        <f t="shared" si="0"/>
        <v>1.0043466177410094E-2</v>
      </c>
      <c r="U44" s="85">
        <f>R44/'סכום נכסי הקרן'!$C$42</f>
        <v>1.7785276361507313E-3</v>
      </c>
    </row>
    <row r="45" spans="2:21">
      <c r="B45" s="77" t="s">
        <v>406</v>
      </c>
      <c r="C45" s="74" t="s">
        <v>407</v>
      </c>
      <c r="D45" s="87" t="s">
        <v>107</v>
      </c>
      <c r="E45" s="87" t="s">
        <v>325</v>
      </c>
      <c r="F45" s="74" t="s">
        <v>405</v>
      </c>
      <c r="G45" s="87" t="s">
        <v>1334</v>
      </c>
      <c r="H45" s="74" t="s">
        <v>389</v>
      </c>
      <c r="I45" s="74" t="s">
        <v>147</v>
      </c>
      <c r="J45" s="74"/>
      <c r="K45" s="84">
        <v>9.0199999995099596</v>
      </c>
      <c r="L45" s="87" t="s">
        <v>151</v>
      </c>
      <c r="M45" s="88">
        <v>1.6500000000000001E-2</v>
      </c>
      <c r="N45" s="88">
        <v>1.4099999999461304E-2</v>
      </c>
      <c r="O45" s="84">
        <v>5549.8449520000004</v>
      </c>
      <c r="P45" s="86">
        <v>103.69</v>
      </c>
      <c r="Q45" s="74"/>
      <c r="R45" s="84">
        <v>5.754634491</v>
      </c>
      <c r="S45" s="85">
        <v>3.8011855592008387E-6</v>
      </c>
      <c r="T45" s="85">
        <f t="shared" si="0"/>
        <v>5.1579112244260301E-3</v>
      </c>
      <c r="U45" s="85">
        <f>R45/'סכום נכסי הקרן'!$C$42</f>
        <v>9.1337865786683171E-4</v>
      </c>
    </row>
    <row r="46" spans="2:21">
      <c r="B46" s="77" t="s">
        <v>408</v>
      </c>
      <c r="C46" s="74" t="s">
        <v>409</v>
      </c>
      <c r="D46" s="87" t="s">
        <v>107</v>
      </c>
      <c r="E46" s="87" t="s">
        <v>325</v>
      </c>
      <c r="F46" s="74" t="s">
        <v>410</v>
      </c>
      <c r="G46" s="87" t="s">
        <v>143</v>
      </c>
      <c r="H46" s="74" t="s">
        <v>389</v>
      </c>
      <c r="I46" s="74" t="s">
        <v>147</v>
      </c>
      <c r="J46" s="74"/>
      <c r="K46" s="84">
        <v>8.8600000026325194</v>
      </c>
      <c r="L46" s="87" t="s">
        <v>151</v>
      </c>
      <c r="M46" s="88">
        <v>2.6499999999999999E-2</v>
      </c>
      <c r="N46" s="88">
        <v>1.2800000002771072E-2</v>
      </c>
      <c r="O46" s="84">
        <v>1263.8855840000001</v>
      </c>
      <c r="P46" s="86">
        <v>114.21</v>
      </c>
      <c r="Q46" s="74"/>
      <c r="R46" s="84">
        <v>1.4434837199999999</v>
      </c>
      <c r="S46" s="85">
        <v>1.0869453578536006E-6</v>
      </c>
      <c r="T46" s="85">
        <f t="shared" si="0"/>
        <v>1.293802567879587E-3</v>
      </c>
      <c r="U46" s="85">
        <f>R46/'סכום נכסי הקרן'!$C$42</f>
        <v>2.2911050647755578E-4</v>
      </c>
    </row>
    <row r="47" spans="2:21">
      <c r="B47" s="77" t="s">
        <v>411</v>
      </c>
      <c r="C47" s="74" t="s">
        <v>412</v>
      </c>
      <c r="D47" s="87" t="s">
        <v>107</v>
      </c>
      <c r="E47" s="87" t="s">
        <v>325</v>
      </c>
      <c r="F47" s="74" t="s">
        <v>413</v>
      </c>
      <c r="G47" s="87" t="s">
        <v>1334</v>
      </c>
      <c r="H47" s="74" t="s">
        <v>400</v>
      </c>
      <c r="I47" s="74" t="s">
        <v>329</v>
      </c>
      <c r="J47" s="74"/>
      <c r="K47" s="84">
        <v>2.9600000000218887</v>
      </c>
      <c r="L47" s="87" t="s">
        <v>151</v>
      </c>
      <c r="M47" s="88">
        <v>6.5000000000000006E-3</v>
      </c>
      <c r="N47" s="88">
        <v>1.3700000000027362E-2</v>
      </c>
      <c r="O47" s="84">
        <v>3086.651691</v>
      </c>
      <c r="P47" s="86">
        <v>98</v>
      </c>
      <c r="Q47" s="84">
        <v>0.62993787000000012</v>
      </c>
      <c r="R47" s="84">
        <v>3.6548565269999997</v>
      </c>
      <c r="S47" s="85">
        <v>4.9071177651043807E-6</v>
      </c>
      <c r="T47" s="85">
        <f t="shared" si="0"/>
        <v>3.27586843851905E-3</v>
      </c>
      <c r="U47" s="85">
        <f>R47/'סכום נכסי הקרן'!$C$42</f>
        <v>5.801007786937635E-4</v>
      </c>
    </row>
    <row r="48" spans="2:21">
      <c r="B48" s="77" t="s">
        <v>414</v>
      </c>
      <c r="C48" s="74" t="s">
        <v>415</v>
      </c>
      <c r="D48" s="87" t="s">
        <v>107</v>
      </c>
      <c r="E48" s="87" t="s">
        <v>325</v>
      </c>
      <c r="F48" s="74" t="s">
        <v>413</v>
      </c>
      <c r="G48" s="87" t="s">
        <v>1334</v>
      </c>
      <c r="H48" s="74" t="s">
        <v>389</v>
      </c>
      <c r="I48" s="74" t="s">
        <v>147</v>
      </c>
      <c r="J48" s="74"/>
      <c r="K48" s="84">
        <v>5.0200000000193139</v>
      </c>
      <c r="L48" s="87" t="s">
        <v>151</v>
      </c>
      <c r="M48" s="88">
        <v>1.34E-2</v>
      </c>
      <c r="N48" s="88">
        <v>1.489999999990343E-2</v>
      </c>
      <c r="O48" s="84">
        <v>24606.178023</v>
      </c>
      <c r="P48" s="86">
        <v>101</v>
      </c>
      <c r="Q48" s="74"/>
      <c r="R48" s="84">
        <v>24.852239875999999</v>
      </c>
      <c r="S48" s="85">
        <v>6.445499763013686E-6</v>
      </c>
      <c r="T48" s="85">
        <f t="shared" si="0"/>
        <v>2.2275202223360213E-2</v>
      </c>
      <c r="U48" s="85">
        <f>R48/'סכום נכסי הקרן'!$C$42</f>
        <v>3.9445607776526E-3</v>
      </c>
    </row>
    <row r="49" spans="2:21">
      <c r="B49" s="77" t="s">
        <v>416</v>
      </c>
      <c r="C49" s="74" t="s">
        <v>417</v>
      </c>
      <c r="D49" s="87" t="s">
        <v>107</v>
      </c>
      <c r="E49" s="87" t="s">
        <v>325</v>
      </c>
      <c r="F49" s="74" t="s">
        <v>413</v>
      </c>
      <c r="G49" s="87" t="s">
        <v>1334</v>
      </c>
      <c r="H49" s="74" t="s">
        <v>389</v>
      </c>
      <c r="I49" s="74" t="s">
        <v>147</v>
      </c>
      <c r="J49" s="74"/>
      <c r="K49" s="84">
        <v>5.9700000001539033</v>
      </c>
      <c r="L49" s="87" t="s">
        <v>151</v>
      </c>
      <c r="M49" s="88">
        <v>1.77E-2</v>
      </c>
      <c r="N49" s="88">
        <v>1.5300000000634743E-2</v>
      </c>
      <c r="O49" s="84">
        <v>11275.235309</v>
      </c>
      <c r="P49" s="86">
        <v>102</v>
      </c>
      <c r="Q49" s="74"/>
      <c r="R49" s="84">
        <v>11.500740059</v>
      </c>
      <c r="S49" s="85">
        <v>4.6349199332749889E-6</v>
      </c>
      <c r="T49" s="85">
        <f t="shared" si="0"/>
        <v>1.0308177927250773E-2</v>
      </c>
      <c r="U49" s="85">
        <f>R49/'סכום נכסי הקרן'!$C$42</f>
        <v>1.8254036005229107E-3</v>
      </c>
    </row>
    <row r="50" spans="2:21">
      <c r="B50" s="77" t="s">
        <v>418</v>
      </c>
      <c r="C50" s="74" t="s">
        <v>419</v>
      </c>
      <c r="D50" s="87" t="s">
        <v>107</v>
      </c>
      <c r="E50" s="87" t="s">
        <v>325</v>
      </c>
      <c r="F50" s="74" t="s">
        <v>413</v>
      </c>
      <c r="G50" s="87" t="s">
        <v>1334</v>
      </c>
      <c r="H50" s="74" t="s">
        <v>389</v>
      </c>
      <c r="I50" s="74" t="s">
        <v>147</v>
      </c>
      <c r="J50" s="74"/>
      <c r="K50" s="84">
        <v>9.270000000180266</v>
      </c>
      <c r="L50" s="87" t="s">
        <v>151</v>
      </c>
      <c r="M50" s="88">
        <v>2.4799999999999999E-2</v>
      </c>
      <c r="N50" s="88">
        <v>1.5900000001147153E-2</v>
      </c>
      <c r="O50" s="84">
        <v>5582.8380550000002</v>
      </c>
      <c r="P50" s="86">
        <v>109.3</v>
      </c>
      <c r="Q50" s="74"/>
      <c r="R50" s="84">
        <v>6.1020420700000004</v>
      </c>
      <c r="S50" s="85">
        <v>4.6676828249706123E-6</v>
      </c>
      <c r="T50" s="85">
        <f t="shared" si="0"/>
        <v>5.4692945892561035E-3</v>
      </c>
      <c r="U50" s="85">
        <f>R50/'סכום נכסי הקרן'!$C$42</f>
        <v>9.6851937422962628E-4</v>
      </c>
    </row>
    <row r="51" spans="2:21">
      <c r="B51" s="77" t="s">
        <v>420</v>
      </c>
      <c r="C51" s="74" t="s">
        <v>421</v>
      </c>
      <c r="D51" s="87" t="s">
        <v>107</v>
      </c>
      <c r="E51" s="87" t="s">
        <v>325</v>
      </c>
      <c r="F51" s="74" t="s">
        <v>378</v>
      </c>
      <c r="G51" s="87" t="s">
        <v>335</v>
      </c>
      <c r="H51" s="74" t="s">
        <v>389</v>
      </c>
      <c r="I51" s="74" t="s">
        <v>147</v>
      </c>
      <c r="J51" s="74"/>
      <c r="K51" s="84">
        <v>0.99000000009530109</v>
      </c>
      <c r="L51" s="87" t="s">
        <v>151</v>
      </c>
      <c r="M51" s="88">
        <v>4.0999999999999995E-2</v>
      </c>
      <c r="N51" s="88">
        <v>1.9499999999877823E-2</v>
      </c>
      <c r="O51" s="84">
        <v>3298.9144489999999</v>
      </c>
      <c r="P51" s="86">
        <v>124.05</v>
      </c>
      <c r="Q51" s="74"/>
      <c r="R51" s="84">
        <v>4.0923032389999996</v>
      </c>
      <c r="S51" s="85">
        <v>4.234201231043468E-6</v>
      </c>
      <c r="T51" s="85">
        <f t="shared" si="0"/>
        <v>3.6679543841063558E-3</v>
      </c>
      <c r="U51" s="85">
        <f>R51/'סכום נכסי הקרן'!$C$42</f>
        <v>6.4953255430344025E-4</v>
      </c>
    </row>
    <row r="52" spans="2:21">
      <c r="B52" s="77" t="s">
        <v>422</v>
      </c>
      <c r="C52" s="74" t="s">
        <v>423</v>
      </c>
      <c r="D52" s="87" t="s">
        <v>107</v>
      </c>
      <c r="E52" s="87" t="s">
        <v>325</v>
      </c>
      <c r="F52" s="74" t="s">
        <v>378</v>
      </c>
      <c r="G52" s="87" t="s">
        <v>335</v>
      </c>
      <c r="H52" s="74" t="s">
        <v>389</v>
      </c>
      <c r="I52" s="74" t="s">
        <v>147</v>
      </c>
      <c r="J52" s="74"/>
      <c r="K52" s="84">
        <v>2.0500000003288306</v>
      </c>
      <c r="L52" s="87" t="s">
        <v>151</v>
      </c>
      <c r="M52" s="88">
        <v>4.2000000000000003E-2</v>
      </c>
      <c r="N52" s="88">
        <v>1.8500000003288306E-2</v>
      </c>
      <c r="O52" s="84">
        <v>2060.3529910000002</v>
      </c>
      <c r="P52" s="86">
        <v>110.7</v>
      </c>
      <c r="Q52" s="74"/>
      <c r="R52" s="84">
        <v>2.2808107249999998</v>
      </c>
      <c r="S52" s="85">
        <v>2.0650323543148777E-6</v>
      </c>
      <c r="T52" s="85">
        <f t="shared" si="0"/>
        <v>2.0443034666524002E-3</v>
      </c>
      <c r="U52" s="85">
        <f>R52/'סכום נכסי הקרן'!$C$42</f>
        <v>3.6201149562268094E-4</v>
      </c>
    </row>
    <row r="53" spans="2:21">
      <c r="B53" s="77" t="s">
        <v>424</v>
      </c>
      <c r="C53" s="74" t="s">
        <v>425</v>
      </c>
      <c r="D53" s="87" t="s">
        <v>107</v>
      </c>
      <c r="E53" s="87" t="s">
        <v>325</v>
      </c>
      <c r="F53" s="74" t="s">
        <v>378</v>
      </c>
      <c r="G53" s="87" t="s">
        <v>335</v>
      </c>
      <c r="H53" s="74" t="s">
        <v>389</v>
      </c>
      <c r="I53" s="74" t="s">
        <v>147</v>
      </c>
      <c r="J53" s="74"/>
      <c r="K53" s="84">
        <v>1.6200000000094035</v>
      </c>
      <c r="L53" s="87" t="s">
        <v>151</v>
      </c>
      <c r="M53" s="88">
        <v>0.04</v>
      </c>
      <c r="N53" s="88">
        <v>2.1399999999717902E-2</v>
      </c>
      <c r="O53" s="84">
        <v>7685.3111689999987</v>
      </c>
      <c r="P53" s="86">
        <v>110.7</v>
      </c>
      <c r="Q53" s="74"/>
      <c r="R53" s="84">
        <v>8.5076389159999994</v>
      </c>
      <c r="S53" s="85">
        <v>3.5278015050502089E-6</v>
      </c>
      <c r="T53" s="85">
        <f t="shared" si="0"/>
        <v>7.6254445572223745E-3</v>
      </c>
      <c r="U53" s="85">
        <f>R53/'סכום נכסי הקרן'!$C$42</f>
        <v>1.350336989580266E-3</v>
      </c>
    </row>
    <row r="54" spans="2:21">
      <c r="B54" s="77" t="s">
        <v>426</v>
      </c>
      <c r="C54" s="74" t="s">
        <v>427</v>
      </c>
      <c r="D54" s="87" t="s">
        <v>107</v>
      </c>
      <c r="E54" s="87" t="s">
        <v>325</v>
      </c>
      <c r="F54" s="74" t="s">
        <v>428</v>
      </c>
      <c r="G54" s="87" t="s">
        <v>1334</v>
      </c>
      <c r="H54" s="74" t="s">
        <v>429</v>
      </c>
      <c r="I54" s="74" t="s">
        <v>329</v>
      </c>
      <c r="J54" s="74"/>
      <c r="K54" s="84">
        <v>4.4300000000691995</v>
      </c>
      <c r="L54" s="87" t="s">
        <v>151</v>
      </c>
      <c r="M54" s="88">
        <v>2.3399999999999997E-2</v>
      </c>
      <c r="N54" s="88">
        <v>1.6300000000179404E-2</v>
      </c>
      <c r="O54" s="84">
        <v>15123.286570999999</v>
      </c>
      <c r="P54" s="86">
        <v>103.2</v>
      </c>
      <c r="Q54" s="74"/>
      <c r="R54" s="84">
        <v>15.607231843999999</v>
      </c>
      <c r="S54" s="85">
        <v>4.7342256315238397E-6</v>
      </c>
      <c r="T54" s="85">
        <f t="shared" si="0"/>
        <v>1.3988849584849673E-2</v>
      </c>
      <c r="U54" s="85">
        <f>R54/'סכום נכסי הקרן'!$C$42</f>
        <v>2.4771881684204078E-3</v>
      </c>
    </row>
    <row r="55" spans="2:21">
      <c r="B55" s="77" t="s">
        <v>430</v>
      </c>
      <c r="C55" s="74" t="s">
        <v>431</v>
      </c>
      <c r="D55" s="87" t="s">
        <v>107</v>
      </c>
      <c r="E55" s="87" t="s">
        <v>325</v>
      </c>
      <c r="F55" s="74" t="s">
        <v>428</v>
      </c>
      <c r="G55" s="87" t="s">
        <v>1334</v>
      </c>
      <c r="H55" s="74" t="s">
        <v>429</v>
      </c>
      <c r="I55" s="74" t="s">
        <v>329</v>
      </c>
      <c r="J55" s="74"/>
      <c r="K55" s="84">
        <v>1.5700000001572245</v>
      </c>
      <c r="L55" s="87" t="s">
        <v>151</v>
      </c>
      <c r="M55" s="88">
        <v>0.03</v>
      </c>
      <c r="N55" s="88">
        <v>2.2100000000092487E-2</v>
      </c>
      <c r="O55" s="84">
        <v>3149.289166</v>
      </c>
      <c r="P55" s="86">
        <v>103</v>
      </c>
      <c r="Q55" s="74"/>
      <c r="R55" s="84">
        <v>3.2437677570000001</v>
      </c>
      <c r="S55" s="85">
        <v>8.7261673813948712E-6</v>
      </c>
      <c r="T55" s="85">
        <f t="shared" si="0"/>
        <v>2.9074072644280384E-3</v>
      </c>
      <c r="U55" s="85">
        <f>R55/'סכום נכסי הקרן'!$C$42</f>
        <v>5.1485254970650807E-4</v>
      </c>
    </row>
    <row r="56" spans="2:21">
      <c r="B56" s="77" t="s">
        <v>432</v>
      </c>
      <c r="C56" s="74" t="s">
        <v>433</v>
      </c>
      <c r="D56" s="87" t="s">
        <v>107</v>
      </c>
      <c r="E56" s="87" t="s">
        <v>325</v>
      </c>
      <c r="F56" s="74" t="s">
        <v>428</v>
      </c>
      <c r="G56" s="87" t="s">
        <v>1334</v>
      </c>
      <c r="H56" s="74" t="s">
        <v>429</v>
      </c>
      <c r="I56" s="74" t="s">
        <v>329</v>
      </c>
      <c r="J56" s="74"/>
      <c r="K56" s="84">
        <v>8.0000000004890151</v>
      </c>
      <c r="L56" s="87" t="s">
        <v>151</v>
      </c>
      <c r="M56" s="88">
        <v>6.5000000000000006E-3</v>
      </c>
      <c r="N56" s="88">
        <v>1.989999999872856E-2</v>
      </c>
      <c r="O56" s="84">
        <v>2287.3887</v>
      </c>
      <c r="P56" s="86">
        <v>89.4</v>
      </c>
      <c r="Q56" s="74"/>
      <c r="R56" s="84">
        <v>2.0449255740000001</v>
      </c>
      <c r="S56" s="85">
        <v>7.624629E-6</v>
      </c>
      <c r="T56" s="85">
        <f t="shared" si="0"/>
        <v>1.8328782805834753E-3</v>
      </c>
      <c r="U56" s="85">
        <f>R56/'סכום נכסי הקרן'!$C$42</f>
        <v>3.2457167855557561E-4</v>
      </c>
    </row>
    <row r="57" spans="2:21">
      <c r="B57" s="77" t="s">
        <v>434</v>
      </c>
      <c r="C57" s="74" t="s">
        <v>435</v>
      </c>
      <c r="D57" s="87" t="s">
        <v>107</v>
      </c>
      <c r="E57" s="87" t="s">
        <v>325</v>
      </c>
      <c r="F57" s="74" t="s">
        <v>436</v>
      </c>
      <c r="G57" s="87" t="s">
        <v>1334</v>
      </c>
      <c r="H57" s="74" t="s">
        <v>437</v>
      </c>
      <c r="I57" s="74" t="s">
        <v>147</v>
      </c>
      <c r="J57" s="74"/>
      <c r="K57" s="84">
        <v>1.2</v>
      </c>
      <c r="L57" s="87" t="s">
        <v>151</v>
      </c>
      <c r="M57" s="88">
        <v>4.8000000000000001E-2</v>
      </c>
      <c r="N57" s="88">
        <v>3.1200000000665834E-2</v>
      </c>
      <c r="O57" s="84">
        <v>11145.608467999999</v>
      </c>
      <c r="P57" s="86">
        <v>107.8</v>
      </c>
      <c r="Q57" s="74"/>
      <c r="R57" s="84">
        <v>12.014965585000001</v>
      </c>
      <c r="S57" s="85">
        <v>9.10893004641909E-6</v>
      </c>
      <c r="T57" s="85">
        <f t="shared" si="0"/>
        <v>1.0769081155177744E-2</v>
      </c>
      <c r="U57" s="85">
        <f>R57/'סכום נכסי הקרן'!$C$42</f>
        <v>1.9070217504702806E-3</v>
      </c>
    </row>
    <row r="58" spans="2:21">
      <c r="B58" s="77" t="s">
        <v>438</v>
      </c>
      <c r="C58" s="74" t="s">
        <v>439</v>
      </c>
      <c r="D58" s="87" t="s">
        <v>107</v>
      </c>
      <c r="E58" s="87" t="s">
        <v>325</v>
      </c>
      <c r="F58" s="74" t="s">
        <v>436</v>
      </c>
      <c r="G58" s="87" t="s">
        <v>1334</v>
      </c>
      <c r="H58" s="74" t="s">
        <v>437</v>
      </c>
      <c r="I58" s="74" t="s">
        <v>147</v>
      </c>
      <c r="J58" s="74"/>
      <c r="K58" s="84">
        <v>0.74999999968857767</v>
      </c>
      <c r="L58" s="87" t="s">
        <v>151</v>
      </c>
      <c r="M58" s="88">
        <v>4.9000000000000002E-2</v>
      </c>
      <c r="N58" s="88">
        <v>2.0799999987044827E-2</v>
      </c>
      <c r="O58" s="84">
        <v>716.75728300000003</v>
      </c>
      <c r="P58" s="86">
        <v>112</v>
      </c>
      <c r="Q58" s="74"/>
      <c r="R58" s="84">
        <v>0.80276816299999998</v>
      </c>
      <c r="S58" s="85">
        <v>7.2361815273626452E-6</v>
      </c>
      <c r="T58" s="85">
        <f t="shared" si="0"/>
        <v>7.1952561453299865E-4</v>
      </c>
      <c r="U58" s="85">
        <f>R58/'סכום נכסי הקרן'!$C$42</f>
        <v>1.2741579129758876E-4</v>
      </c>
    </row>
    <row r="59" spans="2:21">
      <c r="B59" s="77" t="s">
        <v>440</v>
      </c>
      <c r="C59" s="74" t="s">
        <v>441</v>
      </c>
      <c r="D59" s="87" t="s">
        <v>107</v>
      </c>
      <c r="E59" s="87" t="s">
        <v>325</v>
      </c>
      <c r="F59" s="74" t="s">
        <v>436</v>
      </c>
      <c r="G59" s="87" t="s">
        <v>1334</v>
      </c>
      <c r="H59" s="74" t="s">
        <v>437</v>
      </c>
      <c r="I59" s="74" t="s">
        <v>147</v>
      </c>
      <c r="J59" s="74"/>
      <c r="K59" s="84">
        <v>5.080000000126895</v>
      </c>
      <c r="L59" s="87" t="s">
        <v>151</v>
      </c>
      <c r="M59" s="88">
        <v>3.2000000000000001E-2</v>
      </c>
      <c r="N59" s="88">
        <v>1.6600000000649585E-2</v>
      </c>
      <c r="O59" s="84">
        <v>11997.514609</v>
      </c>
      <c r="P59" s="86">
        <v>110.35</v>
      </c>
      <c r="Q59" s="74"/>
      <c r="R59" s="84">
        <v>13.239257928999999</v>
      </c>
      <c r="S59" s="85">
        <v>7.2729135804938846E-6</v>
      </c>
      <c r="T59" s="85">
        <f t="shared" si="0"/>
        <v>1.1866421261308291E-2</v>
      </c>
      <c r="U59" s="85">
        <f>R59/'סכום נכסי הקרן'!$C$42</f>
        <v>2.1013420847587989E-3</v>
      </c>
    </row>
    <row r="60" spans="2:21">
      <c r="B60" s="77" t="s">
        <v>442</v>
      </c>
      <c r="C60" s="74" t="s">
        <v>443</v>
      </c>
      <c r="D60" s="87" t="s">
        <v>107</v>
      </c>
      <c r="E60" s="87" t="s">
        <v>325</v>
      </c>
      <c r="F60" s="74" t="s">
        <v>436</v>
      </c>
      <c r="G60" s="87" t="s">
        <v>1334</v>
      </c>
      <c r="H60" s="74" t="s">
        <v>437</v>
      </c>
      <c r="I60" s="74" t="s">
        <v>147</v>
      </c>
      <c r="J60" s="74"/>
      <c r="K60" s="84">
        <v>7.5400000002895551</v>
      </c>
      <c r="L60" s="87" t="s">
        <v>151</v>
      </c>
      <c r="M60" s="88">
        <v>1.1399999999999999E-2</v>
      </c>
      <c r="N60" s="88">
        <v>1.870000000090655E-2</v>
      </c>
      <c r="O60" s="84">
        <v>7870.7643870000002</v>
      </c>
      <c r="P60" s="86">
        <v>93.9</v>
      </c>
      <c r="Q60" s="74"/>
      <c r="R60" s="84">
        <v>7.3906477590000001</v>
      </c>
      <c r="S60" s="85">
        <v>4.8615485073036595E-6</v>
      </c>
      <c r="T60" s="85">
        <f t="shared" si="0"/>
        <v>6.6242791078292979E-3</v>
      </c>
      <c r="U60" s="85">
        <f>R60/'סכום נכסי הקרן'!$C$42</f>
        <v>1.173047556962889E-3</v>
      </c>
    </row>
    <row r="61" spans="2:21">
      <c r="B61" s="77" t="s">
        <v>444</v>
      </c>
      <c r="C61" s="74" t="s">
        <v>445</v>
      </c>
      <c r="D61" s="87" t="s">
        <v>107</v>
      </c>
      <c r="E61" s="87" t="s">
        <v>325</v>
      </c>
      <c r="F61" s="74" t="s">
        <v>446</v>
      </c>
      <c r="G61" s="87" t="s">
        <v>1334</v>
      </c>
      <c r="H61" s="74" t="s">
        <v>429</v>
      </c>
      <c r="I61" s="74" t="s">
        <v>329</v>
      </c>
      <c r="J61" s="74"/>
      <c r="K61" s="84">
        <v>5.9100000002984832</v>
      </c>
      <c r="L61" s="87" t="s">
        <v>151</v>
      </c>
      <c r="M61" s="88">
        <v>1.8200000000000001E-2</v>
      </c>
      <c r="N61" s="88">
        <v>2.1100000000833605E-2</v>
      </c>
      <c r="O61" s="84">
        <v>3749.9315299999998</v>
      </c>
      <c r="P61" s="86">
        <v>99.17</v>
      </c>
      <c r="Q61" s="74"/>
      <c r="R61" s="84">
        <v>3.7188071789999997</v>
      </c>
      <c r="S61" s="85">
        <v>8.3452354066985651E-6</v>
      </c>
      <c r="T61" s="85">
        <f t="shared" si="0"/>
        <v>3.333187767188149E-3</v>
      </c>
      <c r="U61" s="85">
        <f>R61/'סכום נכסי הקרן'!$C$42</f>
        <v>5.9025106031196557E-4</v>
      </c>
    </row>
    <row r="62" spans="2:21">
      <c r="B62" s="77" t="s">
        <v>447</v>
      </c>
      <c r="C62" s="74" t="s">
        <v>448</v>
      </c>
      <c r="D62" s="87" t="s">
        <v>107</v>
      </c>
      <c r="E62" s="87" t="s">
        <v>325</v>
      </c>
      <c r="F62" s="74" t="s">
        <v>446</v>
      </c>
      <c r="G62" s="87" t="s">
        <v>1334</v>
      </c>
      <c r="H62" s="74" t="s">
        <v>429</v>
      </c>
      <c r="I62" s="74" t="s">
        <v>329</v>
      </c>
      <c r="J62" s="74"/>
      <c r="K62" s="84">
        <v>7.0600000061579617</v>
      </c>
      <c r="L62" s="87" t="s">
        <v>151</v>
      </c>
      <c r="M62" s="88">
        <v>7.8000000000000005E-3</v>
      </c>
      <c r="N62" s="88">
        <v>2.1900000019446194E-2</v>
      </c>
      <c r="O62" s="84">
        <v>274.50500299999999</v>
      </c>
      <c r="P62" s="86">
        <v>89.92</v>
      </c>
      <c r="Q62" s="74"/>
      <c r="R62" s="84">
        <v>0.24683490799999999</v>
      </c>
      <c r="S62" s="85">
        <v>5.9883290357766145E-7</v>
      </c>
      <c r="T62" s="85">
        <f t="shared" si="0"/>
        <v>2.2123951478491329E-4</v>
      </c>
      <c r="U62" s="85">
        <f>R62/'סכום נכסי הקרן'!$C$42</f>
        <v>3.917776834242432E-5</v>
      </c>
    </row>
    <row r="63" spans="2:21">
      <c r="B63" s="77" t="s">
        <v>449</v>
      </c>
      <c r="C63" s="74" t="s">
        <v>450</v>
      </c>
      <c r="D63" s="87" t="s">
        <v>107</v>
      </c>
      <c r="E63" s="87" t="s">
        <v>325</v>
      </c>
      <c r="F63" s="74" t="s">
        <v>446</v>
      </c>
      <c r="G63" s="87" t="s">
        <v>1334</v>
      </c>
      <c r="H63" s="74" t="s">
        <v>429</v>
      </c>
      <c r="I63" s="74" t="s">
        <v>329</v>
      </c>
      <c r="J63" s="74"/>
      <c r="K63" s="84">
        <v>5.0100000007741601</v>
      </c>
      <c r="L63" s="87" t="s">
        <v>151</v>
      </c>
      <c r="M63" s="88">
        <v>2E-3</v>
      </c>
      <c r="N63" s="88">
        <v>1.6800000003252179E-2</v>
      </c>
      <c r="O63" s="84">
        <v>3069.8590500000005</v>
      </c>
      <c r="P63" s="86">
        <v>92.15</v>
      </c>
      <c r="Q63" s="74"/>
      <c r="R63" s="84">
        <v>2.8288749809999993</v>
      </c>
      <c r="S63" s="85">
        <v>8.1862908000000021E-6</v>
      </c>
      <c r="T63" s="85">
        <f t="shared" si="0"/>
        <v>2.5355365383879199E-3</v>
      </c>
      <c r="U63" s="85">
        <f>R63/'סכום נכסי הקרן'!$C$42</f>
        <v>4.4900054685659762E-4</v>
      </c>
    </row>
    <row r="64" spans="2:21">
      <c r="B64" s="77" t="s">
        <v>451</v>
      </c>
      <c r="C64" s="74" t="s">
        <v>452</v>
      </c>
      <c r="D64" s="87" t="s">
        <v>107</v>
      </c>
      <c r="E64" s="87" t="s">
        <v>325</v>
      </c>
      <c r="F64" s="74" t="s">
        <v>348</v>
      </c>
      <c r="G64" s="87" t="s">
        <v>335</v>
      </c>
      <c r="H64" s="74" t="s">
        <v>437</v>
      </c>
      <c r="I64" s="74" t="s">
        <v>147</v>
      </c>
      <c r="J64" s="74"/>
      <c r="K64" s="84">
        <v>0.82999999995107088</v>
      </c>
      <c r="L64" s="87" t="s">
        <v>151</v>
      </c>
      <c r="M64" s="88">
        <v>0.04</v>
      </c>
      <c r="N64" s="88">
        <v>1.4399999999347612E-2</v>
      </c>
      <c r="O64" s="84">
        <v>11555.035437</v>
      </c>
      <c r="P64" s="86">
        <v>111.43</v>
      </c>
      <c r="Q64" s="74"/>
      <c r="R64" s="84">
        <v>12.875776160999999</v>
      </c>
      <c r="S64" s="85">
        <v>8.5592981893306516E-6</v>
      </c>
      <c r="T64" s="85">
        <f t="shared" si="0"/>
        <v>1.1540630510571031E-2</v>
      </c>
      <c r="U64" s="85">
        <f>R64/'סכום נכסי הקרן'!$C$42</f>
        <v>2.0436500645385517E-3</v>
      </c>
    </row>
    <row r="65" spans="2:21">
      <c r="B65" s="77" t="s">
        <v>453</v>
      </c>
      <c r="C65" s="74" t="s">
        <v>454</v>
      </c>
      <c r="D65" s="87" t="s">
        <v>107</v>
      </c>
      <c r="E65" s="87" t="s">
        <v>325</v>
      </c>
      <c r="F65" s="74" t="s">
        <v>455</v>
      </c>
      <c r="G65" s="87" t="s">
        <v>1334</v>
      </c>
      <c r="H65" s="74" t="s">
        <v>437</v>
      </c>
      <c r="I65" s="74" t="s">
        <v>147</v>
      </c>
      <c r="J65" s="74"/>
      <c r="K65" s="84">
        <v>3.2999999999436698</v>
      </c>
      <c r="L65" s="87" t="s">
        <v>151</v>
      </c>
      <c r="M65" s="88">
        <v>4.7500000000000001E-2</v>
      </c>
      <c r="N65" s="88">
        <v>1.5699999999436692E-2</v>
      </c>
      <c r="O65" s="84">
        <v>13197.753643</v>
      </c>
      <c r="P65" s="86">
        <v>134.51</v>
      </c>
      <c r="Q65" s="74"/>
      <c r="R65" s="84">
        <v>17.752298400000001</v>
      </c>
      <c r="S65" s="85">
        <v>6.9929283330684044E-6</v>
      </c>
      <c r="T65" s="85">
        <f t="shared" si="0"/>
        <v>1.5911484790202338E-2</v>
      </c>
      <c r="U65" s="85">
        <f>R65/'סכום נכסי הקרן'!$C$42</f>
        <v>2.8176542770878658E-3</v>
      </c>
    </row>
    <row r="66" spans="2:21">
      <c r="B66" s="77" t="s">
        <v>456</v>
      </c>
      <c r="C66" s="74" t="s">
        <v>457</v>
      </c>
      <c r="D66" s="87" t="s">
        <v>107</v>
      </c>
      <c r="E66" s="87" t="s">
        <v>325</v>
      </c>
      <c r="F66" s="74" t="s">
        <v>455</v>
      </c>
      <c r="G66" s="87" t="s">
        <v>1334</v>
      </c>
      <c r="H66" s="74" t="s">
        <v>437</v>
      </c>
      <c r="I66" s="74" t="s">
        <v>147</v>
      </c>
      <c r="J66" s="74"/>
      <c r="K66" s="84">
        <v>5.5000000002960929</v>
      </c>
      <c r="L66" s="87" t="s">
        <v>151</v>
      </c>
      <c r="M66" s="88">
        <v>5.0000000000000001E-3</v>
      </c>
      <c r="N66" s="88">
        <v>1.4700000000236874E-2</v>
      </c>
      <c r="O66" s="84">
        <v>3564.8254959999995</v>
      </c>
      <c r="P66" s="86">
        <v>94.74</v>
      </c>
      <c r="Q66" s="74"/>
      <c r="R66" s="84">
        <v>3.3773158360000002</v>
      </c>
      <c r="S66" s="85">
        <v>4.7255726255983469E-6</v>
      </c>
      <c r="T66" s="85">
        <f t="shared" si="0"/>
        <v>3.0271071579229137E-3</v>
      </c>
      <c r="U66" s="85">
        <f>R66/'סכום נכסי הקרן'!$C$42</f>
        <v>5.3604937208479898E-4</v>
      </c>
    </row>
    <row r="67" spans="2:21">
      <c r="B67" s="77" t="s">
        <v>458</v>
      </c>
      <c r="C67" s="74" t="s">
        <v>459</v>
      </c>
      <c r="D67" s="87" t="s">
        <v>107</v>
      </c>
      <c r="E67" s="87" t="s">
        <v>325</v>
      </c>
      <c r="F67" s="74" t="s">
        <v>460</v>
      </c>
      <c r="G67" s="87" t="s">
        <v>461</v>
      </c>
      <c r="H67" s="74" t="s">
        <v>429</v>
      </c>
      <c r="I67" s="74" t="s">
        <v>329</v>
      </c>
      <c r="J67" s="74"/>
      <c r="K67" s="84">
        <v>1.240000008979353</v>
      </c>
      <c r="L67" s="87" t="s">
        <v>151</v>
      </c>
      <c r="M67" s="88">
        <v>4.6500000000000007E-2</v>
      </c>
      <c r="N67" s="88">
        <v>1.55E-2</v>
      </c>
      <c r="O67" s="84">
        <v>17.582350000000002</v>
      </c>
      <c r="P67" s="86">
        <v>126.68</v>
      </c>
      <c r="Q67" s="74"/>
      <c r="R67" s="84">
        <v>2.2273319999999999E-2</v>
      </c>
      <c r="S67" s="85">
        <v>3.4702767985073888E-7</v>
      </c>
      <c r="T67" s="85">
        <f t="shared" si="0"/>
        <v>1.9963701849857903E-5</v>
      </c>
      <c r="U67" s="85">
        <f>R67/'סכום נכסי הקרן'!$C$42</f>
        <v>3.5352332384716281E-6</v>
      </c>
    </row>
    <row r="68" spans="2:21">
      <c r="B68" s="77" t="s">
        <v>462</v>
      </c>
      <c r="C68" s="74" t="s">
        <v>463</v>
      </c>
      <c r="D68" s="87" t="s">
        <v>107</v>
      </c>
      <c r="E68" s="87" t="s">
        <v>325</v>
      </c>
      <c r="F68" s="74" t="s">
        <v>464</v>
      </c>
      <c r="G68" s="87" t="s">
        <v>465</v>
      </c>
      <c r="H68" s="74" t="s">
        <v>437</v>
      </c>
      <c r="I68" s="74" t="s">
        <v>147</v>
      </c>
      <c r="J68" s="74"/>
      <c r="K68" s="84">
        <v>7.0099999999591081</v>
      </c>
      <c r="L68" s="87" t="s">
        <v>151</v>
      </c>
      <c r="M68" s="88">
        <v>3.85E-2</v>
      </c>
      <c r="N68" s="88">
        <v>1.2900000000037173E-2</v>
      </c>
      <c r="O68" s="84">
        <v>10934.212975</v>
      </c>
      <c r="P68" s="86">
        <v>120</v>
      </c>
      <c r="Q68" s="84">
        <v>0.32916518500000003</v>
      </c>
      <c r="R68" s="84">
        <v>13.450220755</v>
      </c>
      <c r="S68" s="85">
        <v>4.1441676853143903E-6</v>
      </c>
      <c r="T68" s="85">
        <f t="shared" si="0"/>
        <v>1.205550842746347E-2</v>
      </c>
      <c r="U68" s="85">
        <f>R68/'סכום נכסי הקרן'!$C$42</f>
        <v>2.1348262170999633E-3</v>
      </c>
    </row>
    <row r="69" spans="2:21">
      <c r="B69" s="77" t="s">
        <v>466</v>
      </c>
      <c r="C69" s="74" t="s">
        <v>467</v>
      </c>
      <c r="D69" s="87" t="s">
        <v>107</v>
      </c>
      <c r="E69" s="87" t="s">
        <v>325</v>
      </c>
      <c r="F69" s="74" t="s">
        <v>464</v>
      </c>
      <c r="G69" s="87" t="s">
        <v>465</v>
      </c>
      <c r="H69" s="74" t="s">
        <v>437</v>
      </c>
      <c r="I69" s="74" t="s">
        <v>147</v>
      </c>
      <c r="J69" s="74"/>
      <c r="K69" s="84">
        <v>4.8999999999506993</v>
      </c>
      <c r="L69" s="87" t="s">
        <v>151</v>
      </c>
      <c r="M69" s="88">
        <v>4.4999999999999998E-2</v>
      </c>
      <c r="N69" s="88">
        <v>1.3899999999799004E-2</v>
      </c>
      <c r="O69" s="84">
        <v>22289.684095999997</v>
      </c>
      <c r="P69" s="86">
        <v>118.3</v>
      </c>
      <c r="Q69" s="74"/>
      <c r="R69" s="84">
        <v>26.368696727</v>
      </c>
      <c r="S69" s="85">
        <v>7.5414982263347574E-6</v>
      </c>
      <c r="T69" s="85">
        <f t="shared" si="0"/>
        <v>2.3634411018525838E-2</v>
      </c>
      <c r="U69" s="85">
        <f>R69/'סכום נכסי הקרן'!$C$42</f>
        <v>4.1852536184308594E-3</v>
      </c>
    </row>
    <row r="70" spans="2:21">
      <c r="B70" s="77" t="s">
        <v>468</v>
      </c>
      <c r="C70" s="74" t="s">
        <v>469</v>
      </c>
      <c r="D70" s="87" t="s">
        <v>107</v>
      </c>
      <c r="E70" s="87" t="s">
        <v>325</v>
      </c>
      <c r="F70" s="74" t="s">
        <v>464</v>
      </c>
      <c r="G70" s="87" t="s">
        <v>465</v>
      </c>
      <c r="H70" s="74" t="s">
        <v>437</v>
      </c>
      <c r="I70" s="74" t="s">
        <v>147</v>
      </c>
      <c r="J70" s="74"/>
      <c r="K70" s="84">
        <v>9.5800000001372361</v>
      </c>
      <c r="L70" s="87" t="s">
        <v>151</v>
      </c>
      <c r="M70" s="88">
        <v>2.3900000000000001E-2</v>
      </c>
      <c r="N70" s="88">
        <v>1.5700000000343089E-2</v>
      </c>
      <c r="O70" s="84">
        <v>8096.4</v>
      </c>
      <c r="P70" s="86">
        <v>108</v>
      </c>
      <c r="Q70" s="74"/>
      <c r="R70" s="84">
        <v>8.7441119099999991</v>
      </c>
      <c r="S70" s="85">
        <v>6.5336280422114782E-6</v>
      </c>
      <c r="T70" s="85">
        <f t="shared" si="0"/>
        <v>7.8373966302747629E-3</v>
      </c>
      <c r="U70" s="85">
        <f>R70/'סכום נכסי הקרן'!$C$42</f>
        <v>1.3878701094020842E-3</v>
      </c>
    </row>
    <row r="71" spans="2:21">
      <c r="B71" s="77" t="s">
        <v>470</v>
      </c>
      <c r="C71" s="74" t="s">
        <v>471</v>
      </c>
      <c r="D71" s="87" t="s">
        <v>107</v>
      </c>
      <c r="E71" s="87" t="s">
        <v>325</v>
      </c>
      <c r="F71" s="74" t="s">
        <v>472</v>
      </c>
      <c r="G71" s="87" t="s">
        <v>1334</v>
      </c>
      <c r="H71" s="74" t="s">
        <v>437</v>
      </c>
      <c r="I71" s="74" t="s">
        <v>147</v>
      </c>
      <c r="J71" s="74"/>
      <c r="K71" s="84">
        <v>5.1900000008072897</v>
      </c>
      <c r="L71" s="87" t="s">
        <v>151</v>
      </c>
      <c r="M71" s="88">
        <v>1.5800000000000002E-2</v>
      </c>
      <c r="N71" s="88">
        <v>1.7500000003603973E-2</v>
      </c>
      <c r="O71" s="84">
        <v>2750.7845900000002</v>
      </c>
      <c r="P71" s="86">
        <v>100.87</v>
      </c>
      <c r="Q71" s="74"/>
      <c r="R71" s="84">
        <v>2.774716304</v>
      </c>
      <c r="S71" s="85">
        <v>6.0774792180607099E-6</v>
      </c>
      <c r="T71" s="85">
        <f t="shared" si="0"/>
        <v>2.4869938119236683E-3</v>
      </c>
      <c r="U71" s="85">
        <f>R71/'סכום נכסי הקרן'!$C$42</f>
        <v>4.4040445273672477E-4</v>
      </c>
    </row>
    <row r="72" spans="2:21">
      <c r="B72" s="77" t="s">
        <v>473</v>
      </c>
      <c r="C72" s="74" t="s">
        <v>474</v>
      </c>
      <c r="D72" s="87" t="s">
        <v>107</v>
      </c>
      <c r="E72" s="87" t="s">
        <v>325</v>
      </c>
      <c r="F72" s="74" t="s">
        <v>472</v>
      </c>
      <c r="G72" s="87" t="s">
        <v>1334</v>
      </c>
      <c r="H72" s="74" t="s">
        <v>437</v>
      </c>
      <c r="I72" s="74" t="s">
        <v>147</v>
      </c>
      <c r="J72" s="74"/>
      <c r="K72" s="84">
        <v>8.0599999999807341</v>
      </c>
      <c r="L72" s="87" t="s">
        <v>151</v>
      </c>
      <c r="M72" s="88">
        <v>8.3999999999999995E-3</v>
      </c>
      <c r="N72" s="88">
        <v>2.1599999997880676E-2</v>
      </c>
      <c r="O72" s="84">
        <v>2313.2348999999999</v>
      </c>
      <c r="P72" s="86">
        <v>89.75</v>
      </c>
      <c r="Q72" s="74"/>
      <c r="R72" s="84">
        <v>2.0761282339999996</v>
      </c>
      <c r="S72" s="85">
        <v>9.2529396000000005E-6</v>
      </c>
      <c r="T72" s="85">
        <f t="shared" si="0"/>
        <v>1.8608454000413055E-3</v>
      </c>
      <c r="U72" s="85">
        <f>R72/'סכום נכסי הקרן'!$C$42</f>
        <v>3.2952418140475692E-4</v>
      </c>
    </row>
    <row r="73" spans="2:21">
      <c r="B73" s="77" t="s">
        <v>475</v>
      </c>
      <c r="C73" s="74" t="s">
        <v>476</v>
      </c>
      <c r="D73" s="87" t="s">
        <v>107</v>
      </c>
      <c r="E73" s="87" t="s">
        <v>325</v>
      </c>
      <c r="F73" s="74" t="s">
        <v>477</v>
      </c>
      <c r="G73" s="87" t="s">
        <v>461</v>
      </c>
      <c r="H73" s="74" t="s">
        <v>437</v>
      </c>
      <c r="I73" s="74" t="s">
        <v>147</v>
      </c>
      <c r="J73" s="74"/>
      <c r="K73" s="84">
        <v>0.64999999885220905</v>
      </c>
      <c r="L73" s="87" t="s">
        <v>151</v>
      </c>
      <c r="M73" s="88">
        <v>4.8899999999999999E-2</v>
      </c>
      <c r="N73" s="88">
        <v>3.3499999781919712E-2</v>
      </c>
      <c r="O73" s="84">
        <v>34.821691999999999</v>
      </c>
      <c r="P73" s="86">
        <v>125.1</v>
      </c>
      <c r="Q73" s="74"/>
      <c r="R73" s="84">
        <v>4.3561937000000002E-2</v>
      </c>
      <c r="S73" s="85">
        <v>9.3566392434441884E-7</v>
      </c>
      <c r="T73" s="85">
        <f t="shared" si="0"/>
        <v>3.9044808868650629E-5</v>
      </c>
      <c r="U73" s="85">
        <f>R73/'סכום נכסי הקרן'!$C$42</f>
        <v>6.914173891211865E-6</v>
      </c>
    </row>
    <row r="74" spans="2:21">
      <c r="B74" s="77" t="s">
        <v>478</v>
      </c>
      <c r="C74" s="74" t="s">
        <v>479</v>
      </c>
      <c r="D74" s="87" t="s">
        <v>107</v>
      </c>
      <c r="E74" s="87" t="s">
        <v>325</v>
      </c>
      <c r="F74" s="74" t="s">
        <v>348</v>
      </c>
      <c r="G74" s="87" t="s">
        <v>335</v>
      </c>
      <c r="H74" s="74" t="s">
        <v>429</v>
      </c>
      <c r="I74" s="74" t="s">
        <v>329</v>
      </c>
      <c r="J74" s="74"/>
      <c r="K74" s="84">
        <v>3.2400000001088518</v>
      </c>
      <c r="L74" s="87" t="s">
        <v>151</v>
      </c>
      <c r="M74" s="88">
        <v>1.6399999999999998E-2</v>
      </c>
      <c r="N74" s="88">
        <v>3.4700000000349882E-2</v>
      </c>
      <c r="O74" s="84">
        <f>5429.12/50000</f>
        <v>0.1085824</v>
      </c>
      <c r="P74" s="86">
        <v>4738000</v>
      </c>
      <c r="Q74" s="74"/>
      <c r="R74" s="84">
        <v>5.1446342060000001</v>
      </c>
      <c r="S74" s="85">
        <f>44.2254806125774%/50000</f>
        <v>8.8450961225154809E-6</v>
      </c>
      <c r="T74" s="85">
        <f t="shared" si="0"/>
        <v>4.6111645419346751E-3</v>
      </c>
      <c r="U74" s="85">
        <f>R74/'סכום נכסי הקרן'!$C$42</f>
        <v>8.1655908705254964E-4</v>
      </c>
    </row>
    <row r="75" spans="2:21">
      <c r="B75" s="77" t="s">
        <v>480</v>
      </c>
      <c r="C75" s="74" t="s">
        <v>481</v>
      </c>
      <c r="D75" s="87" t="s">
        <v>107</v>
      </c>
      <c r="E75" s="87" t="s">
        <v>325</v>
      </c>
      <c r="F75" s="74" t="s">
        <v>348</v>
      </c>
      <c r="G75" s="87" t="s">
        <v>335</v>
      </c>
      <c r="H75" s="74" t="s">
        <v>429</v>
      </c>
      <c r="I75" s="74" t="s">
        <v>329</v>
      </c>
      <c r="J75" s="74"/>
      <c r="K75" s="84">
        <v>7.4200000010154668</v>
      </c>
      <c r="L75" s="87" t="s">
        <v>151</v>
      </c>
      <c r="M75" s="88">
        <v>2.7799999999999998E-2</v>
      </c>
      <c r="N75" s="88">
        <v>3.290000000749032E-2</v>
      </c>
      <c r="O75" s="84">
        <f>2048.6445/50000</f>
        <v>4.0972889999999998E-2</v>
      </c>
      <c r="P75" s="86">
        <v>4855001</v>
      </c>
      <c r="Q75" s="74"/>
      <c r="R75" s="84">
        <v>1.9892343189999999</v>
      </c>
      <c r="S75" s="85">
        <f>48.9871951219512%/50000</f>
        <v>9.7974390243902413E-6</v>
      </c>
      <c r="T75" s="85">
        <f t="shared" ref="T75:T138" si="1">R75/$R$11</f>
        <v>1.7829618958476385E-3</v>
      </c>
      <c r="U75" s="85">
        <f>R75/'סכום נכסי הקרן'!$C$42</f>
        <v>3.1573233283755064E-4</v>
      </c>
    </row>
    <row r="76" spans="2:21">
      <c r="B76" s="77" t="s">
        <v>482</v>
      </c>
      <c r="C76" s="74" t="s">
        <v>483</v>
      </c>
      <c r="D76" s="87" t="s">
        <v>107</v>
      </c>
      <c r="E76" s="87" t="s">
        <v>325</v>
      </c>
      <c r="F76" s="74" t="s">
        <v>348</v>
      </c>
      <c r="G76" s="87" t="s">
        <v>335</v>
      </c>
      <c r="H76" s="74" t="s">
        <v>429</v>
      </c>
      <c r="I76" s="74" t="s">
        <v>329</v>
      </c>
      <c r="J76" s="74"/>
      <c r="K76" s="84">
        <v>4.6800000001381612</v>
      </c>
      <c r="L76" s="87" t="s">
        <v>151</v>
      </c>
      <c r="M76" s="88">
        <v>2.4199999999999999E-2</v>
      </c>
      <c r="N76" s="88">
        <v>2.6099999999884868E-2</v>
      </c>
      <c r="O76" s="84">
        <f>4366.62425/50000</f>
        <v>8.7332485000000001E-2</v>
      </c>
      <c r="P76" s="86">
        <v>4972667</v>
      </c>
      <c r="Q76" s="74"/>
      <c r="R76" s="84">
        <v>4.3427533050000005</v>
      </c>
      <c r="S76" s="85">
        <f>15.1497909655483%/50000</f>
        <v>3.0299581931096603E-6</v>
      </c>
      <c r="T76" s="85">
        <f t="shared" si="1"/>
        <v>3.8924341853170084E-3</v>
      </c>
      <c r="U76" s="85">
        <f>R76/'סכום נכסי הקרן'!$C$42</f>
        <v>6.8928412245316455E-4</v>
      </c>
    </row>
    <row r="77" spans="2:21">
      <c r="B77" s="77" t="s">
        <v>484</v>
      </c>
      <c r="C77" s="74" t="s">
        <v>485</v>
      </c>
      <c r="D77" s="87" t="s">
        <v>107</v>
      </c>
      <c r="E77" s="87" t="s">
        <v>325</v>
      </c>
      <c r="F77" s="74" t="s">
        <v>348</v>
      </c>
      <c r="G77" s="87" t="s">
        <v>335</v>
      </c>
      <c r="H77" s="74" t="s">
        <v>429</v>
      </c>
      <c r="I77" s="74" t="s">
        <v>329</v>
      </c>
      <c r="J77" s="74"/>
      <c r="K77" s="84">
        <v>4.2900000001541159</v>
      </c>
      <c r="L77" s="87" t="s">
        <v>151</v>
      </c>
      <c r="M77" s="88">
        <v>1.95E-2</v>
      </c>
      <c r="N77" s="88">
        <v>2.5600000001541157E-2</v>
      </c>
      <c r="O77" s="84">
        <f>6657.03425/50000</f>
        <v>0.13314068499999998</v>
      </c>
      <c r="P77" s="86">
        <v>4873513</v>
      </c>
      <c r="Q77" s="74"/>
      <c r="R77" s="84">
        <v>6.4886290999999998</v>
      </c>
      <c r="S77" s="85">
        <f>26.8223306740803%/50000</f>
        <v>5.3644661348160597E-6</v>
      </c>
      <c r="T77" s="85">
        <f t="shared" si="1"/>
        <v>5.8157947161317581E-3</v>
      </c>
      <c r="U77" s="85">
        <f>R77/'סכום נכסי הקרן'!$C$42</f>
        <v>1.0298786739666222E-3</v>
      </c>
    </row>
    <row r="78" spans="2:21">
      <c r="B78" s="77" t="s">
        <v>486</v>
      </c>
      <c r="C78" s="74" t="s">
        <v>487</v>
      </c>
      <c r="D78" s="87" t="s">
        <v>107</v>
      </c>
      <c r="E78" s="87" t="s">
        <v>325</v>
      </c>
      <c r="F78" s="74" t="s">
        <v>348</v>
      </c>
      <c r="G78" s="87" t="s">
        <v>335</v>
      </c>
      <c r="H78" s="74" t="s">
        <v>437</v>
      </c>
      <c r="I78" s="74" t="s">
        <v>147</v>
      </c>
      <c r="J78" s="74"/>
      <c r="K78" s="84">
        <v>0.36000000005989535</v>
      </c>
      <c r="L78" s="87" t="s">
        <v>151</v>
      </c>
      <c r="M78" s="88">
        <v>0.05</v>
      </c>
      <c r="N78" s="88">
        <v>8.1600000003593715E-2</v>
      </c>
      <c r="O78" s="84">
        <v>7288.0766249999997</v>
      </c>
      <c r="P78" s="86">
        <v>109.96</v>
      </c>
      <c r="Q78" s="74"/>
      <c r="R78" s="84">
        <v>8.0139695570000011</v>
      </c>
      <c r="S78" s="85">
        <v>7.2880839130839131E-6</v>
      </c>
      <c r="T78" s="85">
        <f t="shared" si="1"/>
        <v>7.1829659372642171E-3</v>
      </c>
      <c r="U78" s="85">
        <f>R78/'סכום נכסי הקרן'!$C$42</f>
        <v>1.2719815254307015E-3</v>
      </c>
    </row>
    <row r="79" spans="2:21">
      <c r="B79" s="77" t="s">
        <v>488</v>
      </c>
      <c r="C79" s="74" t="s">
        <v>489</v>
      </c>
      <c r="D79" s="87" t="s">
        <v>107</v>
      </c>
      <c r="E79" s="87" t="s">
        <v>325</v>
      </c>
      <c r="F79" s="74" t="s">
        <v>490</v>
      </c>
      <c r="G79" s="87" t="s">
        <v>1334</v>
      </c>
      <c r="H79" s="74" t="s">
        <v>429</v>
      </c>
      <c r="I79" s="74" t="s">
        <v>329</v>
      </c>
      <c r="J79" s="74"/>
      <c r="K79" s="84">
        <v>3.5500000002639824</v>
      </c>
      <c r="L79" s="87" t="s">
        <v>151</v>
      </c>
      <c r="M79" s="88">
        <v>2.8500000000000001E-2</v>
      </c>
      <c r="N79" s="88">
        <v>1.6900000001335437E-2</v>
      </c>
      <c r="O79" s="84">
        <v>5981.6390819999997</v>
      </c>
      <c r="P79" s="86">
        <v>107.66</v>
      </c>
      <c r="Q79" s="74"/>
      <c r="R79" s="84">
        <v>6.4398328060000001</v>
      </c>
      <c r="S79" s="85">
        <v>8.7578903103953139E-6</v>
      </c>
      <c r="T79" s="85">
        <f t="shared" si="1"/>
        <v>5.7720583236768389E-3</v>
      </c>
      <c r="U79" s="85">
        <f>R79/'סכום נכסי הקרן'!$C$42</f>
        <v>1.0221337001386059E-3</v>
      </c>
    </row>
    <row r="80" spans="2:21">
      <c r="B80" s="77" t="s">
        <v>491</v>
      </c>
      <c r="C80" s="74" t="s">
        <v>492</v>
      </c>
      <c r="D80" s="87" t="s">
        <v>107</v>
      </c>
      <c r="E80" s="87" t="s">
        <v>325</v>
      </c>
      <c r="F80" s="74" t="s">
        <v>493</v>
      </c>
      <c r="G80" s="87" t="s">
        <v>1334</v>
      </c>
      <c r="H80" s="74" t="s">
        <v>429</v>
      </c>
      <c r="I80" s="74" t="s">
        <v>329</v>
      </c>
      <c r="J80" s="74"/>
      <c r="K80" s="84">
        <v>0.26999999987038137</v>
      </c>
      <c r="L80" s="87" t="s">
        <v>151</v>
      </c>
      <c r="M80" s="88">
        <v>5.0999999999999997E-2</v>
      </c>
      <c r="N80" s="88">
        <v>4.8699999994383195E-2</v>
      </c>
      <c r="O80" s="84">
        <v>2054.7597660000001</v>
      </c>
      <c r="P80" s="86">
        <v>112.64</v>
      </c>
      <c r="Q80" s="74"/>
      <c r="R80" s="84">
        <v>2.3144813900000001</v>
      </c>
      <c r="S80" s="85">
        <v>4.6252517638231331E-6</v>
      </c>
      <c r="T80" s="85">
        <f t="shared" si="1"/>
        <v>2.0744826728572433E-3</v>
      </c>
      <c r="U80" s="85">
        <f>R80/'סכום נכסי הקרן'!$C$42</f>
        <v>3.6735572154272534E-4</v>
      </c>
    </row>
    <row r="81" spans="2:21">
      <c r="B81" s="77" t="s">
        <v>494</v>
      </c>
      <c r="C81" s="74" t="s">
        <v>495</v>
      </c>
      <c r="D81" s="87" t="s">
        <v>107</v>
      </c>
      <c r="E81" s="87" t="s">
        <v>325</v>
      </c>
      <c r="F81" s="74" t="s">
        <v>493</v>
      </c>
      <c r="G81" s="87" t="s">
        <v>1334</v>
      </c>
      <c r="H81" s="74" t="s">
        <v>429</v>
      </c>
      <c r="I81" s="74" t="s">
        <v>329</v>
      </c>
      <c r="J81" s="74"/>
      <c r="K81" s="84">
        <v>1.6799999999953164</v>
      </c>
      <c r="L81" s="87" t="s">
        <v>151</v>
      </c>
      <c r="M81" s="88">
        <v>2.5499999999999998E-2</v>
      </c>
      <c r="N81" s="88">
        <v>3.11000000007845E-2</v>
      </c>
      <c r="O81" s="84">
        <v>8455.9227159999991</v>
      </c>
      <c r="P81" s="86">
        <v>101</v>
      </c>
      <c r="Q81" s="74"/>
      <c r="R81" s="84">
        <v>8.5404816029999999</v>
      </c>
      <c r="S81" s="85">
        <v>7.6738951953377467E-6</v>
      </c>
      <c r="T81" s="85">
        <f t="shared" si="1"/>
        <v>7.6548816420941501E-3</v>
      </c>
      <c r="U81" s="85">
        <f>R81/'סכום נכסי הקרן'!$C$42</f>
        <v>1.3555497983902289E-3</v>
      </c>
    </row>
    <row r="82" spans="2:21">
      <c r="B82" s="77" t="s">
        <v>496</v>
      </c>
      <c r="C82" s="74" t="s">
        <v>497</v>
      </c>
      <c r="D82" s="87" t="s">
        <v>107</v>
      </c>
      <c r="E82" s="87" t="s">
        <v>325</v>
      </c>
      <c r="F82" s="74" t="s">
        <v>493</v>
      </c>
      <c r="G82" s="87" t="s">
        <v>1334</v>
      </c>
      <c r="H82" s="74" t="s">
        <v>429</v>
      </c>
      <c r="I82" s="74" t="s">
        <v>329</v>
      </c>
      <c r="J82" s="74"/>
      <c r="K82" s="84">
        <v>6.0499999998999838</v>
      </c>
      <c r="L82" s="87" t="s">
        <v>151</v>
      </c>
      <c r="M82" s="88">
        <v>2.35E-2</v>
      </c>
      <c r="N82" s="88">
        <v>2.4600000000466755E-2</v>
      </c>
      <c r="O82" s="84">
        <v>5824.6333050000003</v>
      </c>
      <c r="P82" s="86">
        <v>100.7</v>
      </c>
      <c r="Q82" s="84">
        <v>0.13352319399999998</v>
      </c>
      <c r="R82" s="84">
        <v>5.9989289319999992</v>
      </c>
      <c r="S82" s="85">
        <v>7.5010422369452695E-6</v>
      </c>
      <c r="T82" s="85">
        <f t="shared" si="1"/>
        <v>5.3768737043662319E-3</v>
      </c>
      <c r="U82" s="85">
        <f>R82/'סכום נכסי הקרן'!$C$42</f>
        <v>9.5215320193107729E-4</v>
      </c>
    </row>
    <row r="83" spans="2:21">
      <c r="B83" s="77" t="s">
        <v>498</v>
      </c>
      <c r="C83" s="74" t="s">
        <v>499</v>
      </c>
      <c r="D83" s="87" t="s">
        <v>107</v>
      </c>
      <c r="E83" s="87" t="s">
        <v>325</v>
      </c>
      <c r="F83" s="74" t="s">
        <v>493</v>
      </c>
      <c r="G83" s="87" t="s">
        <v>1334</v>
      </c>
      <c r="H83" s="74" t="s">
        <v>429</v>
      </c>
      <c r="I83" s="74" t="s">
        <v>329</v>
      </c>
      <c r="J83" s="74"/>
      <c r="K83" s="84">
        <v>4.7499999999169065</v>
      </c>
      <c r="L83" s="87" t="s">
        <v>151</v>
      </c>
      <c r="M83" s="88">
        <v>1.7600000000000001E-2</v>
      </c>
      <c r="N83" s="88">
        <v>2.2199999999268763E-2</v>
      </c>
      <c r="O83" s="84">
        <v>9025.8183229999995</v>
      </c>
      <c r="P83" s="86">
        <v>100</v>
      </c>
      <c r="Q83" s="74"/>
      <c r="R83" s="84">
        <v>9.0258182529999988</v>
      </c>
      <c r="S83" s="85">
        <v>7.0630609970243548E-6</v>
      </c>
      <c r="T83" s="85">
        <f t="shared" si="1"/>
        <v>8.0898916081615715E-3</v>
      </c>
      <c r="U83" s="85">
        <f>R83/'סכום נכסי הקרן'!$C$42</f>
        <v>1.432582690519847E-3</v>
      </c>
    </row>
    <row r="84" spans="2:21">
      <c r="B84" s="77" t="s">
        <v>500</v>
      </c>
      <c r="C84" s="74" t="s">
        <v>501</v>
      </c>
      <c r="D84" s="87" t="s">
        <v>107</v>
      </c>
      <c r="E84" s="87" t="s">
        <v>325</v>
      </c>
      <c r="F84" s="74" t="s">
        <v>493</v>
      </c>
      <c r="G84" s="87" t="s">
        <v>1334</v>
      </c>
      <c r="H84" s="74" t="s">
        <v>429</v>
      </c>
      <c r="I84" s="74" t="s">
        <v>329</v>
      </c>
      <c r="J84" s="74"/>
      <c r="K84" s="84">
        <v>5.2799999997620981</v>
      </c>
      <c r="L84" s="87" t="s">
        <v>151</v>
      </c>
      <c r="M84" s="88">
        <v>2.1499999999999998E-2</v>
      </c>
      <c r="N84" s="88">
        <v>2.4199999998718982E-2</v>
      </c>
      <c r="O84" s="84">
        <v>8613.8320430000003</v>
      </c>
      <c r="P84" s="86">
        <v>101.5</v>
      </c>
      <c r="Q84" s="74"/>
      <c r="R84" s="84">
        <v>8.7430397859999989</v>
      </c>
      <c r="S84" s="85">
        <v>6.8325733297069275E-6</v>
      </c>
      <c r="T84" s="85">
        <f t="shared" si="1"/>
        <v>7.8364356795102581E-3</v>
      </c>
      <c r="U84" s="85">
        <f>R84/'סכום נכסי הקרן'!$C$42</f>
        <v>1.387699941308573E-3</v>
      </c>
    </row>
    <row r="85" spans="2:21">
      <c r="B85" s="77" t="s">
        <v>502</v>
      </c>
      <c r="C85" s="74" t="s">
        <v>503</v>
      </c>
      <c r="D85" s="87" t="s">
        <v>107</v>
      </c>
      <c r="E85" s="87" t="s">
        <v>325</v>
      </c>
      <c r="F85" s="74" t="s">
        <v>493</v>
      </c>
      <c r="G85" s="87" t="s">
        <v>1334</v>
      </c>
      <c r="H85" s="74" t="s">
        <v>429</v>
      </c>
      <c r="I85" s="74" t="s">
        <v>329</v>
      </c>
      <c r="J85" s="74"/>
      <c r="K85" s="84">
        <v>7.3399999995954568</v>
      </c>
      <c r="L85" s="87" t="s">
        <v>151</v>
      </c>
      <c r="M85" s="88">
        <v>6.5000000000000006E-3</v>
      </c>
      <c r="N85" s="88">
        <v>1.829999999774937E-2</v>
      </c>
      <c r="O85" s="84">
        <v>3827.4173999999998</v>
      </c>
      <c r="P85" s="86">
        <v>91.71</v>
      </c>
      <c r="Q85" s="74"/>
      <c r="R85" s="84">
        <v>3.5101246129999994</v>
      </c>
      <c r="S85" s="85">
        <v>9.5685434999999989E-6</v>
      </c>
      <c r="T85" s="85">
        <f t="shared" si="1"/>
        <v>3.1461444108817115E-3</v>
      </c>
      <c r="U85" s="85">
        <f>R85/'סכום נכסי הקרן'!$C$42</f>
        <v>5.5712885205505774E-4</v>
      </c>
    </row>
    <row r="86" spans="2:21">
      <c r="B86" s="77" t="s">
        <v>504</v>
      </c>
      <c r="C86" s="74" t="s">
        <v>505</v>
      </c>
      <c r="D86" s="87" t="s">
        <v>107</v>
      </c>
      <c r="E86" s="87" t="s">
        <v>325</v>
      </c>
      <c r="F86" s="74" t="s">
        <v>378</v>
      </c>
      <c r="G86" s="87" t="s">
        <v>335</v>
      </c>
      <c r="H86" s="74" t="s">
        <v>429</v>
      </c>
      <c r="I86" s="74" t="s">
        <v>329</v>
      </c>
      <c r="J86" s="74"/>
      <c r="K86" s="84">
        <v>0.24999999998450442</v>
      </c>
      <c r="L86" s="87" t="s">
        <v>151</v>
      </c>
      <c r="M86" s="88">
        <v>6.5000000000000002E-2</v>
      </c>
      <c r="N86" s="88">
        <v>9.089999999830789E-2</v>
      </c>
      <c r="O86" s="84">
        <v>14345.04133</v>
      </c>
      <c r="P86" s="86">
        <v>110.66</v>
      </c>
      <c r="Q86" s="84">
        <v>0.25940665800000001</v>
      </c>
      <c r="R86" s="84">
        <v>16.133630496999999</v>
      </c>
      <c r="S86" s="85">
        <v>9.1079627492063484E-6</v>
      </c>
      <c r="T86" s="85">
        <f t="shared" si="1"/>
        <v>1.4460663654896655E-2</v>
      </c>
      <c r="U86" s="85">
        <f>R86/'סכום נכסי הקרן'!$C$42</f>
        <v>2.5607384435824532E-3</v>
      </c>
    </row>
    <row r="87" spans="2:21">
      <c r="B87" s="77" t="s">
        <v>506</v>
      </c>
      <c r="C87" s="74" t="s">
        <v>507</v>
      </c>
      <c r="D87" s="87" t="s">
        <v>107</v>
      </c>
      <c r="E87" s="87" t="s">
        <v>325</v>
      </c>
      <c r="F87" s="74" t="s">
        <v>508</v>
      </c>
      <c r="G87" s="87" t="s">
        <v>1334</v>
      </c>
      <c r="H87" s="74" t="s">
        <v>429</v>
      </c>
      <c r="I87" s="74" t="s">
        <v>329</v>
      </c>
      <c r="J87" s="74"/>
      <c r="K87" s="84">
        <v>7.0299999990263879</v>
      </c>
      <c r="L87" s="87" t="s">
        <v>151</v>
      </c>
      <c r="M87" s="88">
        <v>3.5000000000000003E-2</v>
      </c>
      <c r="N87" s="88">
        <v>1.6599999998119501E-2</v>
      </c>
      <c r="O87" s="84">
        <v>2853.5585030000007</v>
      </c>
      <c r="P87" s="86">
        <v>115.54</v>
      </c>
      <c r="Q87" s="74"/>
      <c r="R87" s="84">
        <v>3.2970017070000002</v>
      </c>
      <c r="S87" s="85">
        <v>6.4558350593411107E-6</v>
      </c>
      <c r="T87" s="85">
        <f t="shared" si="1"/>
        <v>2.9551211528869772E-3</v>
      </c>
      <c r="U87" s="85">
        <f>R87/'סכום נכסי הקרן'!$C$42</f>
        <v>5.2330187066338101E-4</v>
      </c>
    </row>
    <row r="88" spans="2:21">
      <c r="B88" s="77" t="s">
        <v>509</v>
      </c>
      <c r="C88" s="74" t="s">
        <v>510</v>
      </c>
      <c r="D88" s="87" t="s">
        <v>107</v>
      </c>
      <c r="E88" s="87" t="s">
        <v>325</v>
      </c>
      <c r="F88" s="74" t="s">
        <v>508</v>
      </c>
      <c r="G88" s="87" t="s">
        <v>1334</v>
      </c>
      <c r="H88" s="74" t="s">
        <v>429</v>
      </c>
      <c r="I88" s="74" t="s">
        <v>329</v>
      </c>
      <c r="J88" s="74"/>
      <c r="K88" s="84">
        <v>2.8500000003403976</v>
      </c>
      <c r="L88" s="87" t="s">
        <v>151</v>
      </c>
      <c r="M88" s="88">
        <v>0.04</v>
      </c>
      <c r="N88" s="88">
        <v>1.9200000001167075E-2</v>
      </c>
      <c r="O88" s="84">
        <v>1939.83269</v>
      </c>
      <c r="P88" s="86">
        <v>106.01</v>
      </c>
      <c r="Q88" s="74"/>
      <c r="R88" s="84">
        <v>2.0564166780000002</v>
      </c>
      <c r="S88" s="85">
        <v>2.9281935828971836E-6</v>
      </c>
      <c r="T88" s="85">
        <f t="shared" si="1"/>
        <v>1.8431778216569082E-3</v>
      </c>
      <c r="U88" s="85">
        <f>R88/'סכום נכסי הקרן'!$C$42</f>
        <v>3.2639555271567097E-4</v>
      </c>
    </row>
    <row r="89" spans="2:21">
      <c r="B89" s="77" t="s">
        <v>511</v>
      </c>
      <c r="C89" s="74" t="s">
        <v>512</v>
      </c>
      <c r="D89" s="87" t="s">
        <v>107</v>
      </c>
      <c r="E89" s="87" t="s">
        <v>325</v>
      </c>
      <c r="F89" s="74" t="s">
        <v>508</v>
      </c>
      <c r="G89" s="87" t="s">
        <v>1334</v>
      </c>
      <c r="H89" s="74" t="s">
        <v>429</v>
      </c>
      <c r="I89" s="74" t="s">
        <v>329</v>
      </c>
      <c r="J89" s="74"/>
      <c r="K89" s="84">
        <v>5.619999999775187</v>
      </c>
      <c r="L89" s="87" t="s">
        <v>151</v>
      </c>
      <c r="M89" s="88">
        <v>0.04</v>
      </c>
      <c r="N89" s="88">
        <v>1.2699999999000828E-2</v>
      </c>
      <c r="O89" s="84">
        <v>6837.4242209999993</v>
      </c>
      <c r="P89" s="86">
        <v>117.1</v>
      </c>
      <c r="Q89" s="74"/>
      <c r="R89" s="84">
        <v>8.0066237399999984</v>
      </c>
      <c r="S89" s="85">
        <v>6.7952800436653475E-6</v>
      </c>
      <c r="T89" s="85">
        <f t="shared" si="1"/>
        <v>7.1763818402175413E-3</v>
      </c>
      <c r="U89" s="85">
        <f>R89/'סכום נכסי הקרן'!$C$42</f>
        <v>1.2708155934357346E-3</v>
      </c>
    </row>
    <row r="90" spans="2:21">
      <c r="B90" s="77" t="s">
        <v>513</v>
      </c>
      <c r="C90" s="74" t="s">
        <v>514</v>
      </c>
      <c r="D90" s="87" t="s">
        <v>107</v>
      </c>
      <c r="E90" s="87" t="s">
        <v>325</v>
      </c>
      <c r="F90" s="74" t="s">
        <v>515</v>
      </c>
      <c r="G90" s="87" t="s">
        <v>138</v>
      </c>
      <c r="H90" s="74" t="s">
        <v>429</v>
      </c>
      <c r="I90" s="74" t="s">
        <v>329</v>
      </c>
      <c r="J90" s="74"/>
      <c r="K90" s="84">
        <v>4.7000000037965641</v>
      </c>
      <c r="L90" s="87" t="s">
        <v>151</v>
      </c>
      <c r="M90" s="88">
        <v>2.9900000000000003E-2</v>
      </c>
      <c r="N90" s="88">
        <v>1.3300000025732266E-2</v>
      </c>
      <c r="O90" s="84">
        <v>216.98534900000001</v>
      </c>
      <c r="P90" s="86">
        <v>109.25</v>
      </c>
      <c r="Q90" s="74"/>
      <c r="R90" s="84">
        <v>0.23705648299999996</v>
      </c>
      <c r="S90" s="85">
        <v>7.3493318769157821E-7</v>
      </c>
      <c r="T90" s="85">
        <f t="shared" si="1"/>
        <v>2.1247505752119161E-4</v>
      </c>
      <c r="U90" s="85">
        <f>R90/'סכום נכסי הקרן'!$C$42</f>
        <v>3.7625731507327347E-5</v>
      </c>
    </row>
    <row r="91" spans="2:21">
      <c r="B91" s="77" t="s">
        <v>516</v>
      </c>
      <c r="C91" s="74" t="s">
        <v>517</v>
      </c>
      <c r="D91" s="87" t="s">
        <v>107</v>
      </c>
      <c r="E91" s="87" t="s">
        <v>325</v>
      </c>
      <c r="F91" s="74" t="s">
        <v>515</v>
      </c>
      <c r="G91" s="87" t="s">
        <v>138</v>
      </c>
      <c r="H91" s="74" t="s">
        <v>429</v>
      </c>
      <c r="I91" s="74" t="s">
        <v>329</v>
      </c>
      <c r="J91" s="74"/>
      <c r="K91" s="84">
        <v>4.1799999999840329</v>
      </c>
      <c r="L91" s="87" t="s">
        <v>151</v>
      </c>
      <c r="M91" s="88">
        <v>4.2999999999999997E-2</v>
      </c>
      <c r="N91" s="88">
        <v>1.6899999998722604E-2</v>
      </c>
      <c r="O91" s="84">
        <v>2211.226099</v>
      </c>
      <c r="P91" s="86">
        <v>113.29</v>
      </c>
      <c r="Q91" s="74"/>
      <c r="R91" s="84">
        <v>2.5050981280000002</v>
      </c>
      <c r="S91" s="85">
        <v>2.4091775872330716E-6</v>
      </c>
      <c r="T91" s="85">
        <f t="shared" si="1"/>
        <v>2.245333526031556E-3</v>
      </c>
      <c r="U91" s="85">
        <f>R91/'סכום נכסי הקרן'!$C$42</f>
        <v>3.9761051193709131E-4</v>
      </c>
    </row>
    <row r="92" spans="2:21">
      <c r="B92" s="77" t="s">
        <v>518</v>
      </c>
      <c r="C92" s="74" t="s">
        <v>519</v>
      </c>
      <c r="D92" s="87" t="s">
        <v>107</v>
      </c>
      <c r="E92" s="87" t="s">
        <v>325</v>
      </c>
      <c r="F92" s="74" t="s">
        <v>520</v>
      </c>
      <c r="G92" s="87" t="s">
        <v>521</v>
      </c>
      <c r="H92" s="74" t="s">
        <v>522</v>
      </c>
      <c r="I92" s="74" t="s">
        <v>329</v>
      </c>
      <c r="J92" s="74"/>
      <c r="K92" s="84">
        <v>7.1400000000500254</v>
      </c>
      <c r="L92" s="87" t="s">
        <v>151</v>
      </c>
      <c r="M92" s="88">
        <v>5.1500000000000004E-2</v>
      </c>
      <c r="N92" s="88">
        <v>2.640000000010943E-2</v>
      </c>
      <c r="O92" s="84">
        <v>17585.806861000001</v>
      </c>
      <c r="P92" s="86">
        <v>145.5</v>
      </c>
      <c r="Q92" s="74"/>
      <c r="R92" s="84">
        <v>25.587349147999998</v>
      </c>
      <c r="S92" s="85">
        <v>4.9523227006197094E-6</v>
      </c>
      <c r="T92" s="85">
        <f t="shared" si="1"/>
        <v>2.2934084793775133E-2</v>
      </c>
      <c r="U92" s="85">
        <f>R92/'סכום נכסי הקרן'!$C$42</f>
        <v>4.0612377136586865E-3</v>
      </c>
    </row>
    <row r="93" spans="2:21">
      <c r="B93" s="77" t="s">
        <v>523</v>
      </c>
      <c r="C93" s="74" t="s">
        <v>524</v>
      </c>
      <c r="D93" s="87" t="s">
        <v>107</v>
      </c>
      <c r="E93" s="87" t="s">
        <v>325</v>
      </c>
      <c r="F93" s="74" t="s">
        <v>525</v>
      </c>
      <c r="G93" s="87" t="s">
        <v>178</v>
      </c>
      <c r="H93" s="74" t="s">
        <v>522</v>
      </c>
      <c r="I93" s="74" t="s">
        <v>329</v>
      </c>
      <c r="J93" s="74"/>
      <c r="K93" s="84">
        <v>1.6099999998940835</v>
      </c>
      <c r="L93" s="87" t="s">
        <v>151</v>
      </c>
      <c r="M93" s="88">
        <v>3.7000000000000005E-2</v>
      </c>
      <c r="N93" s="88">
        <v>2.4599999999019882E-2</v>
      </c>
      <c r="O93" s="84">
        <v>5903.6305700000003</v>
      </c>
      <c r="P93" s="86">
        <v>107.15</v>
      </c>
      <c r="Q93" s="74"/>
      <c r="R93" s="84">
        <v>6.3257406469999999</v>
      </c>
      <c r="S93" s="85">
        <v>3.9357826675744912E-6</v>
      </c>
      <c r="T93" s="85">
        <f t="shared" si="1"/>
        <v>5.6697968805833714E-3</v>
      </c>
      <c r="U93" s="85">
        <f>R93/'סכום נכסי הקרן'!$C$42</f>
        <v>1.0040249317670388E-3</v>
      </c>
    </row>
    <row r="94" spans="2:21">
      <c r="B94" s="77" t="s">
        <v>526</v>
      </c>
      <c r="C94" s="74" t="s">
        <v>527</v>
      </c>
      <c r="D94" s="87" t="s">
        <v>107</v>
      </c>
      <c r="E94" s="87" t="s">
        <v>325</v>
      </c>
      <c r="F94" s="74" t="s">
        <v>525</v>
      </c>
      <c r="G94" s="87" t="s">
        <v>178</v>
      </c>
      <c r="H94" s="74" t="s">
        <v>522</v>
      </c>
      <c r="I94" s="74" t="s">
        <v>329</v>
      </c>
      <c r="J94" s="74"/>
      <c r="K94" s="84">
        <v>4.2400000002274618</v>
      </c>
      <c r="L94" s="87" t="s">
        <v>151</v>
      </c>
      <c r="M94" s="88">
        <v>2.2000000000000002E-2</v>
      </c>
      <c r="N94" s="88">
        <v>2.4000000001941742E-2</v>
      </c>
      <c r="O94" s="84">
        <v>7194.1638480000001</v>
      </c>
      <c r="P94" s="86">
        <v>100.22</v>
      </c>
      <c r="Q94" s="74"/>
      <c r="R94" s="84">
        <v>7.2099911640000007</v>
      </c>
      <c r="S94" s="85">
        <v>8.1595735145903913E-6</v>
      </c>
      <c r="T94" s="85">
        <f t="shared" si="1"/>
        <v>6.4623555867830184E-3</v>
      </c>
      <c r="U94" s="85">
        <f>R94/'סכום נכסי הקרן'!$C$42</f>
        <v>1.1443736457815695E-3</v>
      </c>
    </row>
    <row r="95" spans="2:21">
      <c r="B95" s="77" t="s">
        <v>528</v>
      </c>
      <c r="C95" s="74" t="s">
        <v>529</v>
      </c>
      <c r="D95" s="87" t="s">
        <v>107</v>
      </c>
      <c r="E95" s="87" t="s">
        <v>325</v>
      </c>
      <c r="F95" s="74" t="s">
        <v>446</v>
      </c>
      <c r="G95" s="87" t="s">
        <v>1334</v>
      </c>
      <c r="H95" s="74" t="s">
        <v>530</v>
      </c>
      <c r="I95" s="74" t="s">
        <v>147</v>
      </c>
      <c r="J95" s="74"/>
      <c r="K95" s="84">
        <v>1.7100000001810804</v>
      </c>
      <c r="L95" s="87" t="s">
        <v>151</v>
      </c>
      <c r="M95" s="88">
        <v>2.8500000000000001E-2</v>
      </c>
      <c r="N95" s="88">
        <v>2.5700000000603601E-2</v>
      </c>
      <c r="O95" s="84">
        <v>1784.9086520000001</v>
      </c>
      <c r="P95" s="86">
        <v>102.1</v>
      </c>
      <c r="Q95" s="74"/>
      <c r="R95" s="84">
        <v>1.8223916770000004</v>
      </c>
      <c r="S95" s="85">
        <v>4.1693524498653103E-6</v>
      </c>
      <c r="T95" s="85">
        <f t="shared" si="1"/>
        <v>1.6334198984835019E-3</v>
      </c>
      <c r="U95" s="85">
        <f>R95/'סכום נכסי הקרן'!$C$42</f>
        <v>2.8925097964939455E-4</v>
      </c>
    </row>
    <row r="96" spans="2:21">
      <c r="B96" s="77" t="s">
        <v>531</v>
      </c>
      <c r="C96" s="74" t="s">
        <v>532</v>
      </c>
      <c r="D96" s="87" t="s">
        <v>107</v>
      </c>
      <c r="E96" s="87" t="s">
        <v>325</v>
      </c>
      <c r="F96" s="74" t="s">
        <v>446</v>
      </c>
      <c r="G96" s="87" t="s">
        <v>1334</v>
      </c>
      <c r="H96" s="74" t="s">
        <v>530</v>
      </c>
      <c r="I96" s="74" t="s">
        <v>147</v>
      </c>
      <c r="J96" s="74"/>
      <c r="K96" s="84">
        <v>3.5900000002285477</v>
      </c>
      <c r="L96" s="87" t="s">
        <v>151</v>
      </c>
      <c r="M96" s="88">
        <v>2.5000000000000001E-2</v>
      </c>
      <c r="N96" s="88">
        <v>2.9599999997345892E-2</v>
      </c>
      <c r="O96" s="84">
        <v>1360.469662</v>
      </c>
      <c r="P96" s="86">
        <v>99.7</v>
      </c>
      <c r="Q96" s="74"/>
      <c r="R96" s="84">
        <v>1.356388191</v>
      </c>
      <c r="S96" s="85">
        <v>3.0057822487444446E-6</v>
      </c>
      <c r="T96" s="85">
        <f t="shared" si="1"/>
        <v>1.215738355925031E-3</v>
      </c>
      <c r="U96" s="85">
        <f>R96/'סכום נכסי הקרן'!$C$42</f>
        <v>2.1528665762866081E-4</v>
      </c>
    </row>
    <row r="97" spans="2:21">
      <c r="B97" s="77" t="s">
        <v>533</v>
      </c>
      <c r="C97" s="74" t="s">
        <v>534</v>
      </c>
      <c r="D97" s="87" t="s">
        <v>107</v>
      </c>
      <c r="E97" s="87" t="s">
        <v>325</v>
      </c>
      <c r="F97" s="74" t="s">
        <v>446</v>
      </c>
      <c r="G97" s="87" t="s">
        <v>1334</v>
      </c>
      <c r="H97" s="74" t="s">
        <v>530</v>
      </c>
      <c r="I97" s="74" t="s">
        <v>147</v>
      </c>
      <c r="J97" s="74"/>
      <c r="K97" s="84">
        <v>4.5800000012787958</v>
      </c>
      <c r="L97" s="87" t="s">
        <v>151</v>
      </c>
      <c r="M97" s="88">
        <v>1.34E-2</v>
      </c>
      <c r="N97" s="88">
        <v>2.1600000006200219E-2</v>
      </c>
      <c r="O97" s="84">
        <v>1579.1252730000001</v>
      </c>
      <c r="P97" s="86">
        <v>98.05</v>
      </c>
      <c r="Q97" s="74"/>
      <c r="R97" s="84">
        <v>1.5483322690000001</v>
      </c>
      <c r="S97" s="85">
        <v>4.0113149251768256E-6</v>
      </c>
      <c r="T97" s="85">
        <f t="shared" si="1"/>
        <v>1.3877789113984796E-3</v>
      </c>
      <c r="U97" s="85">
        <f>R97/'סכום נכסי הקרן'!$C$42</f>
        <v>2.4575212413627582E-4</v>
      </c>
    </row>
    <row r="98" spans="2:21">
      <c r="B98" s="77" t="s">
        <v>535</v>
      </c>
      <c r="C98" s="74" t="s">
        <v>536</v>
      </c>
      <c r="D98" s="87" t="s">
        <v>107</v>
      </c>
      <c r="E98" s="87" t="s">
        <v>325</v>
      </c>
      <c r="F98" s="74" t="s">
        <v>446</v>
      </c>
      <c r="G98" s="87" t="s">
        <v>1334</v>
      </c>
      <c r="H98" s="74" t="s">
        <v>530</v>
      </c>
      <c r="I98" s="74" t="s">
        <v>147</v>
      </c>
      <c r="J98" s="74"/>
      <c r="K98" s="84">
        <v>4.729999999388232</v>
      </c>
      <c r="L98" s="87" t="s">
        <v>151</v>
      </c>
      <c r="M98" s="88">
        <v>1.95E-2</v>
      </c>
      <c r="N98" s="88">
        <v>2.6299999998304742E-2</v>
      </c>
      <c r="O98" s="84">
        <v>2756.1692509999998</v>
      </c>
      <c r="P98" s="86">
        <v>98.45</v>
      </c>
      <c r="Q98" s="74"/>
      <c r="R98" s="84">
        <v>2.7134487420000002</v>
      </c>
      <c r="S98" s="85">
        <v>4.2114975425373332E-6</v>
      </c>
      <c r="T98" s="85">
        <f t="shared" si="1"/>
        <v>2.4320793518954518E-3</v>
      </c>
      <c r="U98" s="85">
        <f>R98/'סכום נכסי הקרן'!$C$42</f>
        <v>4.3068003259538436E-4</v>
      </c>
    </row>
    <row r="99" spans="2:21">
      <c r="B99" s="77" t="s">
        <v>537</v>
      </c>
      <c r="C99" s="74" t="s">
        <v>538</v>
      </c>
      <c r="D99" s="87" t="s">
        <v>107</v>
      </c>
      <c r="E99" s="87" t="s">
        <v>325</v>
      </c>
      <c r="F99" s="74" t="s">
        <v>446</v>
      </c>
      <c r="G99" s="87" t="s">
        <v>1334</v>
      </c>
      <c r="H99" s="74" t="s">
        <v>530</v>
      </c>
      <c r="I99" s="74" t="s">
        <v>147</v>
      </c>
      <c r="J99" s="74"/>
      <c r="K99" s="84">
        <v>7.4799999871552059</v>
      </c>
      <c r="L99" s="87" t="s">
        <v>151</v>
      </c>
      <c r="M99" s="88">
        <v>1.1699999999999999E-2</v>
      </c>
      <c r="N99" s="88">
        <v>3.0499999949825024E-2</v>
      </c>
      <c r="O99" s="84">
        <v>286.88180399999999</v>
      </c>
      <c r="P99" s="86">
        <v>86.84</v>
      </c>
      <c r="Q99" s="74"/>
      <c r="R99" s="84">
        <v>0.24912816499999998</v>
      </c>
      <c r="S99" s="85">
        <v>4.7813634000000003E-7</v>
      </c>
      <c r="T99" s="85">
        <f t="shared" si="1"/>
        <v>2.2329497391777268E-4</v>
      </c>
      <c r="U99" s="85">
        <f>R99/'סכום נכסי הקרן'!$C$42</f>
        <v>3.954175531745802E-5</v>
      </c>
    </row>
    <row r="100" spans="2:21">
      <c r="B100" s="77" t="s">
        <v>539</v>
      </c>
      <c r="C100" s="74" t="s">
        <v>540</v>
      </c>
      <c r="D100" s="87" t="s">
        <v>107</v>
      </c>
      <c r="E100" s="87" t="s">
        <v>325</v>
      </c>
      <c r="F100" s="74" t="s">
        <v>446</v>
      </c>
      <c r="G100" s="87" t="s">
        <v>1334</v>
      </c>
      <c r="H100" s="74" t="s">
        <v>530</v>
      </c>
      <c r="I100" s="74" t="s">
        <v>147</v>
      </c>
      <c r="J100" s="74"/>
      <c r="K100" s="84">
        <v>5.8699999993262599</v>
      </c>
      <c r="L100" s="87" t="s">
        <v>151</v>
      </c>
      <c r="M100" s="88">
        <v>3.3500000000000002E-2</v>
      </c>
      <c r="N100" s="88">
        <v>3.1299999995121189E-2</v>
      </c>
      <c r="O100" s="84">
        <v>3391.5704569999998</v>
      </c>
      <c r="P100" s="86">
        <v>101.53</v>
      </c>
      <c r="Q100" s="74"/>
      <c r="R100" s="84">
        <v>3.4434616359999994</v>
      </c>
      <c r="S100" s="85">
        <v>7.1346785104707934E-6</v>
      </c>
      <c r="T100" s="85">
        <f t="shared" si="1"/>
        <v>3.0863940100769849E-3</v>
      </c>
      <c r="U100" s="85">
        <f>R100/'סכום נכסי הקרן'!$C$42</f>
        <v>5.4654806876519037E-4</v>
      </c>
    </row>
    <row r="101" spans="2:21">
      <c r="B101" s="77" t="s">
        <v>541</v>
      </c>
      <c r="C101" s="74" t="s">
        <v>542</v>
      </c>
      <c r="D101" s="87" t="s">
        <v>107</v>
      </c>
      <c r="E101" s="87" t="s">
        <v>325</v>
      </c>
      <c r="F101" s="74" t="s">
        <v>342</v>
      </c>
      <c r="G101" s="87" t="s">
        <v>335</v>
      </c>
      <c r="H101" s="74" t="s">
        <v>530</v>
      </c>
      <c r="I101" s="74" t="s">
        <v>147</v>
      </c>
      <c r="J101" s="74"/>
      <c r="K101" s="84">
        <v>1.2100000000491966</v>
      </c>
      <c r="L101" s="87" t="s">
        <v>151</v>
      </c>
      <c r="M101" s="88">
        <v>2.7999999999999997E-2</v>
      </c>
      <c r="N101" s="88">
        <v>4.1800000001827299E-2</v>
      </c>
      <c r="O101" s="84">
        <f>6981.509/50000</f>
        <v>0.13963017999999999</v>
      </c>
      <c r="P101" s="86">
        <v>5095100</v>
      </c>
      <c r="Q101" s="74"/>
      <c r="R101" s="84">
        <v>7.1142973650000005</v>
      </c>
      <c r="S101" s="85">
        <f>39.4725448069203%/50000</f>
        <v>7.8945089613840593E-6</v>
      </c>
      <c r="T101" s="85">
        <f t="shared" si="1"/>
        <v>6.3765846971214762E-3</v>
      </c>
      <c r="U101" s="85">
        <f>R101/'סכום נכסי הקרן'!$C$42</f>
        <v>1.1291850749290686E-3</v>
      </c>
    </row>
    <row r="102" spans="2:21">
      <c r="B102" s="77" t="s">
        <v>543</v>
      </c>
      <c r="C102" s="74" t="s">
        <v>544</v>
      </c>
      <c r="D102" s="87" t="s">
        <v>107</v>
      </c>
      <c r="E102" s="87" t="s">
        <v>325</v>
      </c>
      <c r="F102" s="74" t="s">
        <v>342</v>
      </c>
      <c r="G102" s="87" t="s">
        <v>335</v>
      </c>
      <c r="H102" s="74" t="s">
        <v>530</v>
      </c>
      <c r="I102" s="74" t="s">
        <v>147</v>
      </c>
      <c r="J102" s="74"/>
      <c r="K102" s="84">
        <v>2.4600000021257156</v>
      </c>
      <c r="L102" s="87" t="s">
        <v>151</v>
      </c>
      <c r="M102" s="88">
        <v>1.49E-2</v>
      </c>
      <c r="N102" s="88">
        <v>3.6700000049327511E-2</v>
      </c>
      <c r="O102" s="84">
        <f>379.61425/50000</f>
        <v>7.5922850000000007E-3</v>
      </c>
      <c r="P102" s="86">
        <v>4833000</v>
      </c>
      <c r="Q102" s="74"/>
      <c r="R102" s="84">
        <v>0.36693515700000007</v>
      </c>
      <c r="S102" s="85">
        <f>6.27669064153439%/50000</f>
        <v>1.2553381283068782E-6</v>
      </c>
      <c r="T102" s="85">
        <f t="shared" si="1"/>
        <v>3.2888604269946291E-4</v>
      </c>
      <c r="U102" s="85">
        <f>R102/'סכום נכסי הקרן'!$C$42</f>
        <v>5.8240143965524924E-5</v>
      </c>
    </row>
    <row r="103" spans="2:21">
      <c r="B103" s="77" t="s">
        <v>545</v>
      </c>
      <c r="C103" s="74" t="s">
        <v>546</v>
      </c>
      <c r="D103" s="87" t="s">
        <v>107</v>
      </c>
      <c r="E103" s="87" t="s">
        <v>325</v>
      </c>
      <c r="F103" s="74" t="s">
        <v>342</v>
      </c>
      <c r="G103" s="87" t="s">
        <v>335</v>
      </c>
      <c r="H103" s="74" t="s">
        <v>530</v>
      </c>
      <c r="I103" s="74" t="s">
        <v>147</v>
      </c>
      <c r="J103" s="74"/>
      <c r="K103" s="84">
        <v>4.0699999997139358</v>
      </c>
      <c r="L103" s="87" t="s">
        <v>151</v>
      </c>
      <c r="M103" s="88">
        <v>2.2000000000000002E-2</v>
      </c>
      <c r="N103" s="88">
        <v>1.8000000001217296E-2</v>
      </c>
      <c r="O103" s="84">
        <f>1590.5625/50000</f>
        <v>3.1811249999999999E-2</v>
      </c>
      <c r="P103" s="86">
        <v>5164800</v>
      </c>
      <c r="Q103" s="74"/>
      <c r="R103" s="84">
        <v>1.6429874209999999</v>
      </c>
      <c r="S103" s="85">
        <f>31.5963945172825%/50000</f>
        <v>6.3192789034565E-6</v>
      </c>
      <c r="T103" s="85">
        <f t="shared" si="1"/>
        <v>1.472618855918694E-3</v>
      </c>
      <c r="U103" s="85">
        <f>R103/'סכום נכסי הקרן'!$C$42</f>
        <v>2.6077584038257335E-4</v>
      </c>
    </row>
    <row r="104" spans="2:21">
      <c r="B104" s="77" t="s">
        <v>547</v>
      </c>
      <c r="C104" s="74" t="s">
        <v>548</v>
      </c>
      <c r="D104" s="87" t="s">
        <v>107</v>
      </c>
      <c r="E104" s="87" t="s">
        <v>325</v>
      </c>
      <c r="F104" s="74" t="s">
        <v>549</v>
      </c>
      <c r="G104" s="87" t="s">
        <v>1335</v>
      </c>
      <c r="H104" s="74" t="s">
        <v>530</v>
      </c>
      <c r="I104" s="74" t="s">
        <v>147</v>
      </c>
      <c r="J104" s="74"/>
      <c r="K104" s="84">
        <v>5.1599999995829062</v>
      </c>
      <c r="L104" s="87" t="s">
        <v>151</v>
      </c>
      <c r="M104" s="88">
        <v>0.04</v>
      </c>
      <c r="N104" s="88">
        <v>3.9199999995285027E-2</v>
      </c>
      <c r="O104" s="84">
        <v>2173.142229</v>
      </c>
      <c r="P104" s="86">
        <v>101.5</v>
      </c>
      <c r="Q104" s="74"/>
      <c r="R104" s="84">
        <v>2.2057393869999999</v>
      </c>
      <c r="S104" s="85">
        <v>7.3471549607292713E-7</v>
      </c>
      <c r="T104" s="85">
        <f t="shared" si="1"/>
        <v>1.9770166046443158E-3</v>
      </c>
      <c r="U104" s="85">
        <f>R104/'סכום נכסי הקרן'!$C$42</f>
        <v>3.5009613278704898E-4</v>
      </c>
    </row>
    <row r="105" spans="2:21">
      <c r="B105" s="77" t="s">
        <v>550</v>
      </c>
      <c r="C105" s="74" t="s">
        <v>551</v>
      </c>
      <c r="D105" s="87" t="s">
        <v>107</v>
      </c>
      <c r="E105" s="87" t="s">
        <v>325</v>
      </c>
      <c r="F105" s="74" t="s">
        <v>549</v>
      </c>
      <c r="G105" s="87" t="s">
        <v>1335</v>
      </c>
      <c r="H105" s="74" t="s">
        <v>530</v>
      </c>
      <c r="I105" s="74" t="s">
        <v>147</v>
      </c>
      <c r="J105" s="74"/>
      <c r="K105" s="84">
        <v>5.3799999998390824</v>
      </c>
      <c r="L105" s="87" t="s">
        <v>151</v>
      </c>
      <c r="M105" s="88">
        <v>2.7799999999999998E-2</v>
      </c>
      <c r="N105" s="88">
        <v>3.6799999998979545E-2</v>
      </c>
      <c r="O105" s="84">
        <v>5226.4238219999997</v>
      </c>
      <c r="P105" s="86">
        <v>97.5</v>
      </c>
      <c r="Q105" s="74"/>
      <c r="R105" s="84">
        <v>5.0957632390000001</v>
      </c>
      <c r="S105" s="85">
        <v>2.9017793593950397E-6</v>
      </c>
      <c r="T105" s="85">
        <f t="shared" si="1"/>
        <v>4.5673612196503351E-3</v>
      </c>
      <c r="U105" s="85">
        <f>R105/'סכום נכסי הקרן'!$C$42</f>
        <v>8.0880226108611753E-4</v>
      </c>
    </row>
    <row r="106" spans="2:21">
      <c r="B106" s="77" t="s">
        <v>552</v>
      </c>
      <c r="C106" s="74" t="s">
        <v>553</v>
      </c>
      <c r="D106" s="87" t="s">
        <v>107</v>
      </c>
      <c r="E106" s="87" t="s">
        <v>325</v>
      </c>
      <c r="F106" s="74" t="s">
        <v>394</v>
      </c>
      <c r="G106" s="87" t="s">
        <v>335</v>
      </c>
      <c r="H106" s="74" t="s">
        <v>522</v>
      </c>
      <c r="I106" s="74" t="s">
        <v>329</v>
      </c>
      <c r="J106" s="74"/>
      <c r="K106" s="84">
        <v>5.0000000034904034E-2</v>
      </c>
      <c r="L106" s="87" t="s">
        <v>151</v>
      </c>
      <c r="M106" s="88">
        <v>6.4000000000000001E-2</v>
      </c>
      <c r="N106" s="88">
        <v>0.1860000000034904</v>
      </c>
      <c r="O106" s="84">
        <v>12545.972846999999</v>
      </c>
      <c r="P106" s="86">
        <v>114.18</v>
      </c>
      <c r="Q106" s="74"/>
      <c r="R106" s="84">
        <v>14.324991969999999</v>
      </c>
      <c r="S106" s="85">
        <v>1.0020901161799245E-5</v>
      </c>
      <c r="T106" s="85">
        <f t="shared" si="1"/>
        <v>1.2839570782024799E-2</v>
      </c>
      <c r="U106" s="85">
        <f>R106/'סכום נכסי הקרן'!$C$42</f>
        <v>2.2736703712416097E-3</v>
      </c>
    </row>
    <row r="107" spans="2:21">
      <c r="B107" s="77" t="s">
        <v>554</v>
      </c>
      <c r="C107" s="74" t="s">
        <v>555</v>
      </c>
      <c r="D107" s="87" t="s">
        <v>107</v>
      </c>
      <c r="E107" s="87" t="s">
        <v>325</v>
      </c>
      <c r="F107" s="74" t="s">
        <v>394</v>
      </c>
      <c r="G107" s="87" t="s">
        <v>335</v>
      </c>
      <c r="H107" s="74" t="s">
        <v>530</v>
      </c>
      <c r="I107" s="74" t="s">
        <v>147</v>
      </c>
      <c r="J107" s="74"/>
      <c r="K107" s="84">
        <v>5.3600000002233408</v>
      </c>
      <c r="L107" s="87" t="s">
        <v>151</v>
      </c>
      <c r="M107" s="88">
        <v>1.46E-2</v>
      </c>
      <c r="N107" s="88">
        <v>2.5800000001116697E-2</v>
      </c>
      <c r="O107" s="84">
        <f>8540.26025/50000</f>
        <v>0.17080520499999999</v>
      </c>
      <c r="P107" s="86">
        <v>4718500</v>
      </c>
      <c r="Q107" s="74"/>
      <c r="R107" s="84">
        <v>8.0594439450000017</v>
      </c>
      <c r="S107" s="85">
        <f>32.0664598430519%/50000</f>
        <v>6.413291968610381E-6</v>
      </c>
      <c r="T107" s="85">
        <f t="shared" si="1"/>
        <v>7.2237248867085199E-3</v>
      </c>
      <c r="U107" s="85">
        <f>R107/'סכום נכסי הקרן'!$C$42</f>
        <v>1.2791992445653775E-3</v>
      </c>
    </row>
    <row r="108" spans="2:21">
      <c r="B108" s="77" t="s">
        <v>556</v>
      </c>
      <c r="C108" s="74" t="s">
        <v>557</v>
      </c>
      <c r="D108" s="87" t="s">
        <v>107</v>
      </c>
      <c r="E108" s="87" t="s">
        <v>325</v>
      </c>
      <c r="F108" s="74" t="s">
        <v>460</v>
      </c>
      <c r="G108" s="87" t="s">
        <v>461</v>
      </c>
      <c r="H108" s="74" t="s">
        <v>522</v>
      </c>
      <c r="I108" s="74" t="s">
        <v>329</v>
      </c>
      <c r="J108" s="74"/>
      <c r="K108" s="84">
        <v>2.9800000005214349</v>
      </c>
      <c r="L108" s="87" t="s">
        <v>151</v>
      </c>
      <c r="M108" s="88">
        <v>3.85E-2</v>
      </c>
      <c r="N108" s="88">
        <v>9.1000000039107645E-3</v>
      </c>
      <c r="O108" s="84">
        <v>1343.6904159999999</v>
      </c>
      <c r="P108" s="86">
        <v>114.18</v>
      </c>
      <c r="Q108" s="74"/>
      <c r="R108" s="84">
        <v>1.5342257400000003</v>
      </c>
      <c r="S108" s="85">
        <v>5.60930042587071E-6</v>
      </c>
      <c r="T108" s="85">
        <f t="shared" si="1"/>
        <v>1.375135150203814E-3</v>
      </c>
      <c r="U108" s="85">
        <f>R108/'סכום נכסי הקרן'!$C$42</f>
        <v>2.4351312832423416E-4</v>
      </c>
    </row>
    <row r="109" spans="2:21">
      <c r="B109" s="77" t="s">
        <v>558</v>
      </c>
      <c r="C109" s="74" t="s">
        <v>559</v>
      </c>
      <c r="D109" s="87" t="s">
        <v>107</v>
      </c>
      <c r="E109" s="87" t="s">
        <v>325</v>
      </c>
      <c r="F109" s="74" t="s">
        <v>460</v>
      </c>
      <c r="G109" s="87" t="s">
        <v>461</v>
      </c>
      <c r="H109" s="74" t="s">
        <v>522</v>
      </c>
      <c r="I109" s="74" t="s">
        <v>329</v>
      </c>
      <c r="J109" s="74"/>
      <c r="K109" s="84">
        <v>0.15999999995842354</v>
      </c>
      <c r="L109" s="87" t="s">
        <v>151</v>
      </c>
      <c r="M109" s="88">
        <v>3.9E-2</v>
      </c>
      <c r="N109" s="88">
        <v>0.20519999999085317</v>
      </c>
      <c r="O109" s="84">
        <v>897.46575499999994</v>
      </c>
      <c r="P109" s="86">
        <v>107.2</v>
      </c>
      <c r="Q109" s="74"/>
      <c r="R109" s="84">
        <v>0.96208329400000003</v>
      </c>
      <c r="S109" s="85">
        <v>4.5091417482069505E-6</v>
      </c>
      <c r="T109" s="85">
        <f t="shared" si="1"/>
        <v>8.6232066149748599E-4</v>
      </c>
      <c r="U109" s="85">
        <f>R109/'סכום נכסי הקרן'!$C$42</f>
        <v>1.527023739221217E-4</v>
      </c>
    </row>
    <row r="110" spans="2:21">
      <c r="B110" s="77" t="s">
        <v>560</v>
      </c>
      <c r="C110" s="74" t="s">
        <v>561</v>
      </c>
      <c r="D110" s="87" t="s">
        <v>107</v>
      </c>
      <c r="E110" s="87" t="s">
        <v>325</v>
      </c>
      <c r="F110" s="74" t="s">
        <v>460</v>
      </c>
      <c r="G110" s="87" t="s">
        <v>461</v>
      </c>
      <c r="H110" s="74" t="s">
        <v>522</v>
      </c>
      <c r="I110" s="74" t="s">
        <v>329</v>
      </c>
      <c r="J110" s="74"/>
      <c r="K110" s="84">
        <v>1.1400000000620762</v>
      </c>
      <c r="L110" s="87" t="s">
        <v>151</v>
      </c>
      <c r="M110" s="88">
        <v>3.9E-2</v>
      </c>
      <c r="N110" s="88">
        <v>2.8200000001862287E-2</v>
      </c>
      <c r="O110" s="84">
        <v>1448.6726510000001</v>
      </c>
      <c r="P110" s="86">
        <v>111.2</v>
      </c>
      <c r="Q110" s="74"/>
      <c r="R110" s="84">
        <v>1.6109239849999999</v>
      </c>
      <c r="S110" s="85">
        <v>3.6304628094202854E-6</v>
      </c>
      <c r="T110" s="85">
        <f t="shared" si="1"/>
        <v>1.443880218096133E-3</v>
      </c>
      <c r="U110" s="85">
        <f>R110/'סכום נכסי הקרן'!$C$42</f>
        <v>2.5568671470724481E-4</v>
      </c>
    </row>
    <row r="111" spans="2:21">
      <c r="B111" s="77" t="s">
        <v>562</v>
      </c>
      <c r="C111" s="74" t="s">
        <v>563</v>
      </c>
      <c r="D111" s="87" t="s">
        <v>107</v>
      </c>
      <c r="E111" s="87" t="s">
        <v>325</v>
      </c>
      <c r="F111" s="74" t="s">
        <v>460</v>
      </c>
      <c r="G111" s="87" t="s">
        <v>461</v>
      </c>
      <c r="H111" s="74" t="s">
        <v>522</v>
      </c>
      <c r="I111" s="74" t="s">
        <v>329</v>
      </c>
      <c r="J111" s="74"/>
      <c r="K111" s="84">
        <v>3.8599999994227852</v>
      </c>
      <c r="L111" s="87" t="s">
        <v>151</v>
      </c>
      <c r="M111" s="88">
        <v>3.85E-2</v>
      </c>
      <c r="N111" s="88">
        <v>1.4099999996817915E-2</v>
      </c>
      <c r="O111" s="84">
        <v>1176.2845600000001</v>
      </c>
      <c r="P111" s="86">
        <v>114.88</v>
      </c>
      <c r="Q111" s="74"/>
      <c r="R111" s="84">
        <v>1.3513157229999999</v>
      </c>
      <c r="S111" s="85">
        <v>4.7051382399999999E-6</v>
      </c>
      <c r="T111" s="85">
        <f t="shared" si="1"/>
        <v>1.2111918743589714E-3</v>
      </c>
      <c r="U111" s="85">
        <f>R111/'סכום נכסי הקרן'!$C$42</f>
        <v>2.1448155280034227E-4</v>
      </c>
    </row>
    <row r="112" spans="2:21">
      <c r="B112" s="77" t="s">
        <v>564</v>
      </c>
      <c r="C112" s="74" t="s">
        <v>565</v>
      </c>
      <c r="D112" s="87" t="s">
        <v>107</v>
      </c>
      <c r="E112" s="87" t="s">
        <v>325</v>
      </c>
      <c r="F112" s="74" t="s">
        <v>566</v>
      </c>
      <c r="G112" s="87" t="s">
        <v>335</v>
      </c>
      <c r="H112" s="74" t="s">
        <v>530</v>
      </c>
      <c r="I112" s="74" t="s">
        <v>147</v>
      </c>
      <c r="J112" s="74"/>
      <c r="K112" s="84">
        <v>1.2500000000000002</v>
      </c>
      <c r="L112" s="87" t="s">
        <v>151</v>
      </c>
      <c r="M112" s="88">
        <v>0.02</v>
      </c>
      <c r="N112" s="88">
        <v>1.6200000003651086E-2</v>
      </c>
      <c r="O112" s="84">
        <v>1277.999904</v>
      </c>
      <c r="P112" s="86">
        <v>102.87</v>
      </c>
      <c r="Q112" s="74"/>
      <c r="R112" s="84">
        <v>1.3146784959999998</v>
      </c>
      <c r="S112" s="85">
        <v>4.4922363183624918E-6</v>
      </c>
      <c r="T112" s="85">
        <f t="shared" si="1"/>
        <v>1.1783537219670708E-3</v>
      </c>
      <c r="U112" s="85">
        <f>R112/'סכום נכסי הקרן'!$C$42</f>
        <v>2.0866647257629706E-4</v>
      </c>
    </row>
    <row r="113" spans="2:21">
      <c r="B113" s="77" t="s">
        <v>567</v>
      </c>
      <c r="C113" s="74" t="s">
        <v>568</v>
      </c>
      <c r="D113" s="87" t="s">
        <v>107</v>
      </c>
      <c r="E113" s="87" t="s">
        <v>325</v>
      </c>
      <c r="F113" s="74" t="s">
        <v>472</v>
      </c>
      <c r="G113" s="87" t="s">
        <v>1334</v>
      </c>
      <c r="H113" s="74" t="s">
        <v>530</v>
      </c>
      <c r="I113" s="74" t="s">
        <v>147</v>
      </c>
      <c r="J113" s="74"/>
      <c r="K113" s="84">
        <v>6.4700000006188727</v>
      </c>
      <c r="L113" s="87" t="s">
        <v>151</v>
      </c>
      <c r="M113" s="88">
        <v>2.4E-2</v>
      </c>
      <c r="N113" s="88">
        <v>2.2500000003236778E-2</v>
      </c>
      <c r="O113" s="84">
        <v>3768.7739649999999</v>
      </c>
      <c r="P113" s="86">
        <v>102.47</v>
      </c>
      <c r="Q113" s="74"/>
      <c r="R113" s="84">
        <v>3.8618626630000001</v>
      </c>
      <c r="S113" s="85">
        <v>7.2390718197294853E-6</v>
      </c>
      <c r="T113" s="85">
        <f t="shared" si="1"/>
        <v>3.4614092011981271E-3</v>
      </c>
      <c r="U113" s="85">
        <f>R113/'סכום נכסי הקרן'!$C$42</f>
        <v>6.1295690308630041E-4</v>
      </c>
    </row>
    <row r="114" spans="2:21">
      <c r="B114" s="77" t="s">
        <v>569</v>
      </c>
      <c r="C114" s="74" t="s">
        <v>570</v>
      </c>
      <c r="D114" s="87" t="s">
        <v>107</v>
      </c>
      <c r="E114" s="87" t="s">
        <v>325</v>
      </c>
      <c r="F114" s="74" t="s">
        <v>472</v>
      </c>
      <c r="G114" s="87" t="s">
        <v>1334</v>
      </c>
      <c r="H114" s="74" t="s">
        <v>530</v>
      </c>
      <c r="I114" s="74" t="s">
        <v>147</v>
      </c>
      <c r="J114" s="74"/>
      <c r="K114" s="84">
        <v>2.420000013221093</v>
      </c>
      <c r="L114" s="87" t="s">
        <v>151</v>
      </c>
      <c r="M114" s="88">
        <v>3.4799999999999998E-2</v>
      </c>
      <c r="N114" s="88">
        <v>2.2700000146581686E-2</v>
      </c>
      <c r="O114" s="84">
        <v>67.284639999999996</v>
      </c>
      <c r="P114" s="86">
        <v>103.42</v>
      </c>
      <c r="Q114" s="74"/>
      <c r="R114" s="84">
        <v>6.9585774000000003E-2</v>
      </c>
      <c r="S114" s="85">
        <v>1.6441230617289568E-7</v>
      </c>
      <c r="T114" s="85">
        <f t="shared" si="1"/>
        <v>6.2370120176408092E-5</v>
      </c>
      <c r="U114" s="85">
        <f>R114/'סכום נכסי הקרן'!$C$42</f>
        <v>1.1044691189709251E-5</v>
      </c>
    </row>
    <row r="115" spans="2:21">
      <c r="B115" s="77" t="s">
        <v>571</v>
      </c>
      <c r="C115" s="74" t="s">
        <v>572</v>
      </c>
      <c r="D115" s="87" t="s">
        <v>107</v>
      </c>
      <c r="E115" s="87" t="s">
        <v>325</v>
      </c>
      <c r="F115" s="74" t="s">
        <v>477</v>
      </c>
      <c r="G115" s="87" t="s">
        <v>461</v>
      </c>
      <c r="H115" s="74" t="s">
        <v>530</v>
      </c>
      <c r="I115" s="74" t="s">
        <v>147</v>
      </c>
      <c r="J115" s="74"/>
      <c r="K115" s="84">
        <v>5.0100000011233909</v>
      </c>
      <c r="L115" s="87" t="s">
        <v>151</v>
      </c>
      <c r="M115" s="88">
        <v>2.4799999999999999E-2</v>
      </c>
      <c r="N115" s="88">
        <v>2.3100000001321636E-2</v>
      </c>
      <c r="O115" s="84">
        <v>1786.6298240000001</v>
      </c>
      <c r="P115" s="86">
        <v>101.64</v>
      </c>
      <c r="Q115" s="74"/>
      <c r="R115" s="84">
        <v>1.8159306959999999</v>
      </c>
      <c r="S115" s="85">
        <v>4.2188618604160411E-6</v>
      </c>
      <c r="T115" s="85">
        <f t="shared" si="1"/>
        <v>1.6276288849147297E-3</v>
      </c>
      <c r="U115" s="85">
        <f>R115/'סכום נכסי הקרן'!$C$42</f>
        <v>2.8822548929661665E-4</v>
      </c>
    </row>
    <row r="116" spans="2:21">
      <c r="B116" s="77" t="s">
        <v>573</v>
      </c>
      <c r="C116" s="74" t="s">
        <v>574</v>
      </c>
      <c r="D116" s="87" t="s">
        <v>107</v>
      </c>
      <c r="E116" s="87" t="s">
        <v>325</v>
      </c>
      <c r="F116" s="74" t="s">
        <v>490</v>
      </c>
      <c r="G116" s="87" t="s">
        <v>1334</v>
      </c>
      <c r="H116" s="74" t="s">
        <v>522</v>
      </c>
      <c r="I116" s="74" t="s">
        <v>329</v>
      </c>
      <c r="J116" s="74"/>
      <c r="K116" s="84">
        <v>6.0999999959169564</v>
      </c>
      <c r="L116" s="87" t="s">
        <v>151</v>
      </c>
      <c r="M116" s="88">
        <v>2.81E-2</v>
      </c>
      <c r="N116" s="88">
        <v>2.7900000000942241E-2</v>
      </c>
      <c r="O116" s="84">
        <v>311.35334599999999</v>
      </c>
      <c r="P116" s="86">
        <v>102.26</v>
      </c>
      <c r="Q116" s="74"/>
      <c r="R116" s="84">
        <v>0.31838994300000001</v>
      </c>
      <c r="S116" s="85">
        <v>6.2603097910213021E-7</v>
      </c>
      <c r="T116" s="85">
        <f t="shared" si="1"/>
        <v>2.8537469465913715E-4</v>
      </c>
      <c r="U116" s="85">
        <f>R116/'סכום נכסי הקרן'!$C$42</f>
        <v>5.0535021689118962E-5</v>
      </c>
    </row>
    <row r="117" spans="2:21">
      <c r="B117" s="77" t="s">
        <v>575</v>
      </c>
      <c r="C117" s="74" t="s">
        <v>576</v>
      </c>
      <c r="D117" s="87" t="s">
        <v>107</v>
      </c>
      <c r="E117" s="87" t="s">
        <v>325</v>
      </c>
      <c r="F117" s="74" t="s">
        <v>490</v>
      </c>
      <c r="G117" s="87" t="s">
        <v>1334</v>
      </c>
      <c r="H117" s="74" t="s">
        <v>522</v>
      </c>
      <c r="I117" s="74" t="s">
        <v>329</v>
      </c>
      <c r="J117" s="74"/>
      <c r="K117" s="84">
        <v>4.1500000015440728</v>
      </c>
      <c r="L117" s="87" t="s">
        <v>151</v>
      </c>
      <c r="M117" s="88">
        <v>3.7000000000000005E-2</v>
      </c>
      <c r="N117" s="88">
        <v>1.9400000006602244E-2</v>
      </c>
      <c r="O117" s="84">
        <v>864.70970199999999</v>
      </c>
      <c r="P117" s="86">
        <v>108.6</v>
      </c>
      <c r="Q117" s="74"/>
      <c r="R117" s="84">
        <v>0.93907477700000008</v>
      </c>
      <c r="S117" s="85">
        <v>1.3530483985474116E-6</v>
      </c>
      <c r="T117" s="85">
        <f t="shared" si="1"/>
        <v>8.4169799844611396E-4</v>
      </c>
      <c r="U117" s="85">
        <f>R117/'סכום נכסי הקרן'!$C$42</f>
        <v>1.4905044982340901E-4</v>
      </c>
    </row>
    <row r="118" spans="2:21">
      <c r="B118" s="77" t="s">
        <v>577</v>
      </c>
      <c r="C118" s="74" t="s">
        <v>578</v>
      </c>
      <c r="D118" s="87" t="s">
        <v>107</v>
      </c>
      <c r="E118" s="87" t="s">
        <v>325</v>
      </c>
      <c r="F118" s="74" t="s">
        <v>579</v>
      </c>
      <c r="G118" s="87" t="s">
        <v>1334</v>
      </c>
      <c r="H118" s="74" t="s">
        <v>522</v>
      </c>
      <c r="I118" s="74" t="s">
        <v>329</v>
      </c>
      <c r="J118" s="74"/>
      <c r="K118" s="84">
        <v>5.5699999998120333</v>
      </c>
      <c r="L118" s="87" t="s">
        <v>151</v>
      </c>
      <c r="M118" s="88">
        <v>1.3999999999999999E-2</v>
      </c>
      <c r="N118" s="88">
        <v>1.7699999998635311E-2</v>
      </c>
      <c r="O118" s="84">
        <v>3938.4104029999999</v>
      </c>
      <c r="P118" s="86">
        <v>98.61</v>
      </c>
      <c r="Q118" s="74"/>
      <c r="R118" s="84">
        <v>3.8836664890000003</v>
      </c>
      <c r="S118" s="85">
        <v>7.4506439708664397E-6</v>
      </c>
      <c r="T118" s="85">
        <f t="shared" si="1"/>
        <v>3.4809520929381184E-3</v>
      </c>
      <c r="U118" s="85">
        <f>R118/'סכום נכסי הקרן'!$C$42</f>
        <v>6.1641761798650622E-4</v>
      </c>
    </row>
    <row r="119" spans="2:21">
      <c r="B119" s="77" t="s">
        <v>580</v>
      </c>
      <c r="C119" s="74" t="s">
        <v>581</v>
      </c>
      <c r="D119" s="87" t="s">
        <v>107</v>
      </c>
      <c r="E119" s="87" t="s">
        <v>325</v>
      </c>
      <c r="F119" s="74" t="s">
        <v>353</v>
      </c>
      <c r="G119" s="87" t="s">
        <v>335</v>
      </c>
      <c r="H119" s="74" t="s">
        <v>530</v>
      </c>
      <c r="I119" s="74" t="s">
        <v>147</v>
      </c>
      <c r="J119" s="74"/>
      <c r="K119" s="84">
        <v>3.4599999999343742</v>
      </c>
      <c r="L119" s="87" t="s">
        <v>151</v>
      </c>
      <c r="M119" s="88">
        <v>1.8200000000000001E-2</v>
      </c>
      <c r="N119" s="88">
        <v>7.2000000000937512E-3</v>
      </c>
      <c r="O119" s="84">
        <f>4084.5645/50000</f>
        <v>8.169129E-2</v>
      </c>
      <c r="P119" s="86">
        <v>5222837</v>
      </c>
      <c r="Q119" s="74"/>
      <c r="R119" s="84">
        <v>4.2666030179999996</v>
      </c>
      <c r="S119" s="85">
        <f>28.7422735908803%/50000</f>
        <v>5.7484547181760596E-6</v>
      </c>
      <c r="T119" s="85">
        <f t="shared" si="1"/>
        <v>3.8241802552585738E-3</v>
      </c>
      <c r="U119" s="85">
        <f>R119/'סכום נכסי הקרן'!$C$42</f>
        <v>6.7719750825637854E-4</v>
      </c>
    </row>
    <row r="120" spans="2:21">
      <c r="B120" s="77" t="s">
        <v>582</v>
      </c>
      <c r="C120" s="74" t="s">
        <v>583</v>
      </c>
      <c r="D120" s="87" t="s">
        <v>107</v>
      </c>
      <c r="E120" s="87" t="s">
        <v>325</v>
      </c>
      <c r="F120" s="74" t="s">
        <v>353</v>
      </c>
      <c r="G120" s="87" t="s">
        <v>335</v>
      </c>
      <c r="H120" s="74" t="s">
        <v>530</v>
      </c>
      <c r="I120" s="74" t="s">
        <v>147</v>
      </c>
      <c r="J120" s="74"/>
      <c r="K120" s="84">
        <v>2.68</v>
      </c>
      <c r="L120" s="87" t="s">
        <v>151</v>
      </c>
      <c r="M120" s="88">
        <v>1.06E-2</v>
      </c>
      <c r="N120" s="88">
        <v>2.549999999949569E-2</v>
      </c>
      <c r="O120" s="84">
        <f>5089.8/50000</f>
        <v>0.101796</v>
      </c>
      <c r="P120" s="86">
        <v>4869803</v>
      </c>
      <c r="Q120" s="74"/>
      <c r="R120" s="84">
        <v>4.9572649750000002</v>
      </c>
      <c r="S120" s="85">
        <f>37.4828779733412%/50000</f>
        <v>7.4965755946682409E-6</v>
      </c>
      <c r="T120" s="85">
        <f t="shared" si="1"/>
        <v>4.4432244475292992E-3</v>
      </c>
      <c r="U120" s="85">
        <f>R120/'סכום נכסי הקרן'!$C$42</f>
        <v>7.8681974270253491E-4</v>
      </c>
    </row>
    <row r="121" spans="2:21">
      <c r="B121" s="77" t="s">
        <v>584</v>
      </c>
      <c r="C121" s="74" t="s">
        <v>585</v>
      </c>
      <c r="D121" s="87" t="s">
        <v>107</v>
      </c>
      <c r="E121" s="87" t="s">
        <v>325</v>
      </c>
      <c r="F121" s="74" t="s">
        <v>353</v>
      </c>
      <c r="G121" s="87" t="s">
        <v>335</v>
      </c>
      <c r="H121" s="74" t="s">
        <v>530</v>
      </c>
      <c r="I121" s="74" t="s">
        <v>147</v>
      </c>
      <c r="J121" s="74"/>
      <c r="K121" s="84">
        <v>4.5499999999617691</v>
      </c>
      <c r="L121" s="87" t="s">
        <v>151</v>
      </c>
      <c r="M121" s="88">
        <v>1.89E-2</v>
      </c>
      <c r="N121" s="88">
        <v>2.2700000000229384E-2</v>
      </c>
      <c r="O121" s="84">
        <f>9392.80175/50000</f>
        <v>0.187856035</v>
      </c>
      <c r="P121" s="86">
        <v>4873378</v>
      </c>
      <c r="Q121" s="74"/>
      <c r="R121" s="84">
        <v>9.1549345770000006</v>
      </c>
      <c r="S121" s="85">
        <f>43.0901997889715%/50000</f>
        <v>8.6180399577943004E-6</v>
      </c>
      <c r="T121" s="85">
        <f t="shared" si="1"/>
        <v>8.2056192947518817E-3</v>
      </c>
      <c r="U121" s="85">
        <f>R121/'סכום נכסי הקרן'!$C$42</f>
        <v>1.4530761023791514E-3</v>
      </c>
    </row>
    <row r="122" spans="2:21">
      <c r="B122" s="77" t="s">
        <v>586</v>
      </c>
      <c r="C122" s="74" t="s">
        <v>587</v>
      </c>
      <c r="D122" s="87" t="s">
        <v>107</v>
      </c>
      <c r="E122" s="87" t="s">
        <v>325</v>
      </c>
      <c r="F122" s="74" t="s">
        <v>353</v>
      </c>
      <c r="G122" s="87" t="s">
        <v>335</v>
      </c>
      <c r="H122" s="74" t="s">
        <v>522</v>
      </c>
      <c r="I122" s="74" t="s">
        <v>329</v>
      </c>
      <c r="J122" s="74"/>
      <c r="K122" s="84">
        <v>1.6999999999161541</v>
      </c>
      <c r="L122" s="87" t="s">
        <v>151</v>
      </c>
      <c r="M122" s="88">
        <v>4.4999999999999998E-2</v>
      </c>
      <c r="N122" s="88">
        <v>1.9699999999230142E-2</v>
      </c>
      <c r="O122" s="84">
        <v>10304.354815000001</v>
      </c>
      <c r="P122" s="86">
        <v>125.96</v>
      </c>
      <c r="Q122" s="84">
        <v>0.139915123</v>
      </c>
      <c r="R122" s="84">
        <v>13.119280733</v>
      </c>
      <c r="S122" s="85">
        <v>6.0543183640949938E-6</v>
      </c>
      <c r="T122" s="85">
        <f t="shared" si="1"/>
        <v>1.1758885026488967E-2</v>
      </c>
      <c r="U122" s="85">
        <f>R122/'סכום נכסי הקרן'!$C$42</f>
        <v>2.0822992401735361E-3</v>
      </c>
    </row>
    <row r="123" spans="2:21">
      <c r="B123" s="77" t="s">
        <v>588</v>
      </c>
      <c r="C123" s="74" t="s">
        <v>589</v>
      </c>
      <c r="D123" s="87" t="s">
        <v>107</v>
      </c>
      <c r="E123" s="87" t="s">
        <v>325</v>
      </c>
      <c r="F123" s="74" t="s">
        <v>493</v>
      </c>
      <c r="G123" s="87" t="s">
        <v>1334</v>
      </c>
      <c r="H123" s="74" t="s">
        <v>522</v>
      </c>
      <c r="I123" s="74" t="s">
        <v>329</v>
      </c>
      <c r="J123" s="74"/>
      <c r="K123" s="84">
        <v>1.9499999999629689</v>
      </c>
      <c r="L123" s="87" t="s">
        <v>151</v>
      </c>
      <c r="M123" s="88">
        <v>4.9000000000000002E-2</v>
      </c>
      <c r="N123" s="88">
        <v>3.4399999999555633E-2</v>
      </c>
      <c r="O123" s="84">
        <v>2488.2715499999999</v>
      </c>
      <c r="P123" s="86">
        <v>106</v>
      </c>
      <c r="Q123" s="84">
        <v>6.2897075999999996E-2</v>
      </c>
      <c r="R123" s="84">
        <v>2.7004649979999997</v>
      </c>
      <c r="S123" s="85">
        <v>4.6771087689352397E-6</v>
      </c>
      <c r="T123" s="85">
        <f t="shared" si="1"/>
        <v>2.4204419492042098E-3</v>
      </c>
      <c r="U123" s="85">
        <f>R123/'סכום נכסי הקרן'!$C$42</f>
        <v>4.2861924581781335E-4</v>
      </c>
    </row>
    <row r="124" spans="2:21">
      <c r="B124" s="77" t="s">
        <v>590</v>
      </c>
      <c r="C124" s="74" t="s">
        <v>591</v>
      </c>
      <c r="D124" s="87" t="s">
        <v>107</v>
      </c>
      <c r="E124" s="87" t="s">
        <v>325</v>
      </c>
      <c r="F124" s="74" t="s">
        <v>493</v>
      </c>
      <c r="G124" s="87" t="s">
        <v>1334</v>
      </c>
      <c r="H124" s="74" t="s">
        <v>522</v>
      </c>
      <c r="I124" s="74" t="s">
        <v>329</v>
      </c>
      <c r="J124" s="74"/>
      <c r="K124" s="84">
        <v>4.6800000000000006</v>
      </c>
      <c r="L124" s="87" t="s">
        <v>151</v>
      </c>
      <c r="M124" s="88">
        <v>2.3E-2</v>
      </c>
      <c r="N124" s="88">
        <v>3.470000000688666E-2</v>
      </c>
      <c r="O124" s="84">
        <v>374.248266</v>
      </c>
      <c r="P124" s="86">
        <v>97</v>
      </c>
      <c r="Q124" s="74"/>
      <c r="R124" s="84">
        <v>0.36302082499999994</v>
      </c>
      <c r="S124" s="85">
        <v>2.7410240567521241E-7</v>
      </c>
      <c r="T124" s="85">
        <f t="shared" si="1"/>
        <v>3.2537760493673331E-4</v>
      </c>
      <c r="U124" s="85">
        <f>R124/'סכום נכסי הקרן'!$C$42</f>
        <v>5.7618859101265187E-5</v>
      </c>
    </row>
    <row r="125" spans="2:21">
      <c r="B125" s="77" t="s">
        <v>592</v>
      </c>
      <c r="C125" s="74" t="s">
        <v>593</v>
      </c>
      <c r="D125" s="87" t="s">
        <v>107</v>
      </c>
      <c r="E125" s="87" t="s">
        <v>325</v>
      </c>
      <c r="F125" s="74" t="s">
        <v>493</v>
      </c>
      <c r="G125" s="87" t="s">
        <v>1334</v>
      </c>
      <c r="H125" s="74" t="s">
        <v>522</v>
      </c>
      <c r="I125" s="74" t="s">
        <v>329</v>
      </c>
      <c r="J125" s="74"/>
      <c r="K125" s="84">
        <v>1.5900000000103132</v>
      </c>
      <c r="L125" s="87" t="s">
        <v>151</v>
      </c>
      <c r="M125" s="88">
        <v>5.8499999999999996E-2</v>
      </c>
      <c r="N125" s="88">
        <v>2.9400000001650127E-2</v>
      </c>
      <c r="O125" s="84">
        <v>1676.819407</v>
      </c>
      <c r="P125" s="86">
        <v>115.65</v>
      </c>
      <c r="Q125" s="74"/>
      <c r="R125" s="84">
        <v>1.9392416219999999</v>
      </c>
      <c r="S125" s="85">
        <v>2.0325709358864796E-6</v>
      </c>
      <c r="T125" s="85">
        <f t="shared" si="1"/>
        <v>1.7381531606623008E-3</v>
      </c>
      <c r="U125" s="85">
        <f>R125/'סכום נכסי הקרן'!$C$42</f>
        <v>3.0779746528681099E-4</v>
      </c>
    </row>
    <row r="126" spans="2:21">
      <c r="B126" s="77" t="s">
        <v>594</v>
      </c>
      <c r="C126" s="74" t="s">
        <v>595</v>
      </c>
      <c r="D126" s="87" t="s">
        <v>107</v>
      </c>
      <c r="E126" s="87" t="s">
        <v>325</v>
      </c>
      <c r="F126" s="74" t="s">
        <v>493</v>
      </c>
      <c r="G126" s="87" t="s">
        <v>1334</v>
      </c>
      <c r="H126" s="74" t="s">
        <v>522</v>
      </c>
      <c r="I126" s="74" t="s">
        <v>329</v>
      </c>
      <c r="J126" s="74"/>
      <c r="K126" s="84">
        <v>6.1900000016634422</v>
      </c>
      <c r="L126" s="87" t="s">
        <v>151</v>
      </c>
      <c r="M126" s="88">
        <v>2.2499999999999999E-2</v>
      </c>
      <c r="N126" s="88">
        <v>3.2300000005544803E-2</v>
      </c>
      <c r="O126" s="84">
        <v>1725.8269140000002</v>
      </c>
      <c r="P126" s="86">
        <v>96.14</v>
      </c>
      <c r="Q126" s="74"/>
      <c r="R126" s="84">
        <v>1.659209996</v>
      </c>
      <c r="S126" s="85">
        <v>4.3881211360367917E-6</v>
      </c>
      <c r="T126" s="85">
        <f t="shared" si="1"/>
        <v>1.4871592410313291E-3</v>
      </c>
      <c r="U126" s="85">
        <f>R126/'סכום נכסי הקרן'!$C$42</f>
        <v>2.6335069614514482E-4</v>
      </c>
    </row>
    <row r="127" spans="2:21">
      <c r="B127" s="77" t="s">
        <v>596</v>
      </c>
      <c r="C127" s="74" t="s">
        <v>597</v>
      </c>
      <c r="D127" s="87" t="s">
        <v>107</v>
      </c>
      <c r="E127" s="87" t="s">
        <v>325</v>
      </c>
      <c r="F127" s="74" t="s">
        <v>598</v>
      </c>
      <c r="G127" s="87" t="s">
        <v>461</v>
      </c>
      <c r="H127" s="74" t="s">
        <v>530</v>
      </c>
      <c r="I127" s="74" t="s">
        <v>147</v>
      </c>
      <c r="J127" s="74"/>
      <c r="K127" s="84">
        <v>1.2200000003332601</v>
      </c>
      <c r="L127" s="87" t="s">
        <v>151</v>
      </c>
      <c r="M127" s="88">
        <v>4.0500000000000001E-2</v>
      </c>
      <c r="N127" s="88">
        <v>2.0000000030296353E-4</v>
      </c>
      <c r="O127" s="84">
        <v>506.440698</v>
      </c>
      <c r="P127" s="86">
        <v>130.35</v>
      </c>
      <c r="Q127" s="74"/>
      <c r="R127" s="84">
        <v>0.66014549899999997</v>
      </c>
      <c r="S127" s="85">
        <v>4.6423606853715055E-6</v>
      </c>
      <c r="T127" s="85">
        <f t="shared" si="1"/>
        <v>5.9169211952064924E-4</v>
      </c>
      <c r="U127" s="85">
        <f>R127/'סכום נכסי הקרן'!$C$42</f>
        <v>1.0477864594466559E-4</v>
      </c>
    </row>
    <row r="128" spans="2:21">
      <c r="B128" s="77" t="s">
        <v>599</v>
      </c>
      <c r="C128" s="74" t="s">
        <v>600</v>
      </c>
      <c r="D128" s="87" t="s">
        <v>107</v>
      </c>
      <c r="E128" s="87" t="s">
        <v>325</v>
      </c>
      <c r="F128" s="74" t="s">
        <v>601</v>
      </c>
      <c r="G128" s="87" t="s">
        <v>1334</v>
      </c>
      <c r="H128" s="74" t="s">
        <v>530</v>
      </c>
      <c r="I128" s="74" t="s">
        <v>147</v>
      </c>
      <c r="J128" s="74"/>
      <c r="K128" s="84">
        <v>6.9699999993750819</v>
      </c>
      <c r="L128" s="87" t="s">
        <v>151</v>
      </c>
      <c r="M128" s="88">
        <v>1.9599999999999999E-2</v>
      </c>
      <c r="N128" s="88">
        <v>1.9299999997671874E-2</v>
      </c>
      <c r="O128" s="84">
        <v>3203.559949</v>
      </c>
      <c r="P128" s="86">
        <v>101.9</v>
      </c>
      <c r="Q128" s="74"/>
      <c r="R128" s="84">
        <v>3.2644277320000001</v>
      </c>
      <c r="S128" s="85">
        <v>3.2480203027693827E-6</v>
      </c>
      <c r="T128" s="85">
        <f t="shared" si="1"/>
        <v>2.9259249160904542E-3</v>
      </c>
      <c r="U128" s="85">
        <f>R128/'סכום נכסי הקרן'!$C$42</f>
        <v>5.1813171196547943E-4</v>
      </c>
    </row>
    <row r="129" spans="2:21">
      <c r="B129" s="77" t="s">
        <v>602</v>
      </c>
      <c r="C129" s="74" t="s">
        <v>603</v>
      </c>
      <c r="D129" s="87" t="s">
        <v>107</v>
      </c>
      <c r="E129" s="87" t="s">
        <v>325</v>
      </c>
      <c r="F129" s="74" t="s">
        <v>601</v>
      </c>
      <c r="G129" s="87" t="s">
        <v>1334</v>
      </c>
      <c r="H129" s="74" t="s">
        <v>530</v>
      </c>
      <c r="I129" s="74" t="s">
        <v>147</v>
      </c>
      <c r="J129" s="74"/>
      <c r="K129" s="84">
        <v>2.9600000001936819</v>
      </c>
      <c r="L129" s="87" t="s">
        <v>151</v>
      </c>
      <c r="M129" s="88">
        <v>2.75E-2</v>
      </c>
      <c r="N129" s="88">
        <v>1.7300000003994696E-2</v>
      </c>
      <c r="O129" s="84">
        <v>788.63537299999996</v>
      </c>
      <c r="P129" s="86">
        <v>104.75</v>
      </c>
      <c r="Q129" s="74"/>
      <c r="R129" s="84">
        <v>0.82609557900000008</v>
      </c>
      <c r="S129" s="85">
        <v>1.8257597774056475E-6</v>
      </c>
      <c r="T129" s="85">
        <f t="shared" si="1"/>
        <v>7.40434108549679E-4</v>
      </c>
      <c r="U129" s="85">
        <f>R129/'סכום נכסי הקרן'!$C$42</f>
        <v>1.3111833121578933E-4</v>
      </c>
    </row>
    <row r="130" spans="2:21">
      <c r="B130" s="77" t="s">
        <v>604</v>
      </c>
      <c r="C130" s="74" t="s">
        <v>605</v>
      </c>
      <c r="D130" s="87" t="s">
        <v>107</v>
      </c>
      <c r="E130" s="87" t="s">
        <v>325</v>
      </c>
      <c r="F130" s="74" t="s">
        <v>378</v>
      </c>
      <c r="G130" s="87" t="s">
        <v>335</v>
      </c>
      <c r="H130" s="74" t="s">
        <v>530</v>
      </c>
      <c r="I130" s="74" t="s">
        <v>147</v>
      </c>
      <c r="J130" s="74"/>
      <c r="K130" s="84">
        <v>2.9899999998089988</v>
      </c>
      <c r="L130" s="87" t="s">
        <v>151</v>
      </c>
      <c r="M130" s="88">
        <v>1.4199999999999999E-2</v>
      </c>
      <c r="N130" s="88">
        <v>3.4599999998052036E-2</v>
      </c>
      <c r="O130" s="84">
        <f>8200.94025/50000</f>
        <v>0.16401880499999999</v>
      </c>
      <c r="P130" s="86">
        <v>4820000</v>
      </c>
      <c r="Q130" s="74"/>
      <c r="R130" s="84">
        <v>7.9057061489999993</v>
      </c>
      <c r="S130" s="85">
        <f>38.6964575567404%/50000</f>
        <v>7.7392915113480805E-6</v>
      </c>
      <c r="T130" s="85">
        <f t="shared" si="1"/>
        <v>7.0859288364385859E-3</v>
      </c>
      <c r="U130" s="85">
        <f>R130/'סכום נכסי הקרן'!$C$42</f>
        <v>1.2547978995288683E-3</v>
      </c>
    </row>
    <row r="131" spans="2:21">
      <c r="B131" s="77" t="s">
        <v>606</v>
      </c>
      <c r="C131" s="74" t="s">
        <v>607</v>
      </c>
      <c r="D131" s="87" t="s">
        <v>107</v>
      </c>
      <c r="E131" s="87" t="s">
        <v>325</v>
      </c>
      <c r="F131" s="74" t="s">
        <v>378</v>
      </c>
      <c r="G131" s="87" t="s">
        <v>335</v>
      </c>
      <c r="H131" s="74" t="s">
        <v>530</v>
      </c>
      <c r="I131" s="74" t="s">
        <v>147</v>
      </c>
      <c r="J131" s="74"/>
      <c r="K131" s="84">
        <v>4.8100000001847931</v>
      </c>
      <c r="L131" s="87" t="s">
        <v>151</v>
      </c>
      <c r="M131" s="88">
        <v>2.0199999999999999E-2</v>
      </c>
      <c r="N131" s="88">
        <v>1.8399999995072171E-2</v>
      </c>
      <c r="O131" s="84">
        <f>945.8545/50000</f>
        <v>1.8917090000000001E-2</v>
      </c>
      <c r="P131" s="111">
        <v>5048000</v>
      </c>
      <c r="Q131" s="84">
        <v>1.9230124000000001E-2</v>
      </c>
      <c r="R131" s="84">
        <v>0.97406002199999997</v>
      </c>
      <c r="S131" s="85">
        <f>4.49443810881445%/50000</f>
        <v>8.9888762176288994E-7</v>
      </c>
      <c r="T131" s="85">
        <f t="shared" si="1"/>
        <v>8.7305547009040537E-4</v>
      </c>
      <c r="U131" s="85">
        <f>R131/'סכום נכסי הקרן'!$C$42</f>
        <v>1.54603326582692E-4</v>
      </c>
    </row>
    <row r="132" spans="2:21">
      <c r="B132" s="77" t="s">
        <v>608</v>
      </c>
      <c r="C132" s="74" t="s">
        <v>609</v>
      </c>
      <c r="D132" s="87" t="s">
        <v>107</v>
      </c>
      <c r="E132" s="87" t="s">
        <v>325</v>
      </c>
      <c r="F132" s="74" t="s">
        <v>378</v>
      </c>
      <c r="G132" s="87" t="s">
        <v>335</v>
      </c>
      <c r="H132" s="74" t="s">
        <v>530</v>
      </c>
      <c r="I132" s="74" t="s">
        <v>147</v>
      </c>
      <c r="J132" s="74"/>
      <c r="K132" s="84">
        <v>3.6599999997707791</v>
      </c>
      <c r="L132" s="87" t="s">
        <v>151</v>
      </c>
      <c r="M132" s="88">
        <v>1.5900000000000001E-2</v>
      </c>
      <c r="N132" s="88">
        <v>2.3699999998922319E-2</v>
      </c>
      <c r="O132" s="84">
        <f>5982.63575/50000</f>
        <v>0.11965271500000001</v>
      </c>
      <c r="P132" s="86">
        <v>4885714</v>
      </c>
      <c r="Q132" s="74"/>
      <c r="R132" s="84">
        <v>5.8458894990000001</v>
      </c>
      <c r="S132" s="85">
        <f>39.9641666666667%/50000</f>
        <v>7.9928333333333393E-6</v>
      </c>
      <c r="T132" s="85">
        <f t="shared" si="1"/>
        <v>5.2397036007766776E-3</v>
      </c>
      <c r="U132" s="85">
        <f>R132/'סכום נכסי הקרן'!$C$42</f>
        <v>9.2786270144267022E-4</v>
      </c>
    </row>
    <row r="133" spans="2:21">
      <c r="B133" s="77" t="s">
        <v>610</v>
      </c>
      <c r="C133" s="74" t="s">
        <v>611</v>
      </c>
      <c r="D133" s="87" t="s">
        <v>107</v>
      </c>
      <c r="E133" s="87" t="s">
        <v>325</v>
      </c>
      <c r="F133" s="74" t="s">
        <v>612</v>
      </c>
      <c r="G133" s="87" t="s">
        <v>465</v>
      </c>
      <c r="H133" s="74" t="s">
        <v>522</v>
      </c>
      <c r="I133" s="74" t="s">
        <v>329</v>
      </c>
      <c r="J133" s="74"/>
      <c r="K133" s="84">
        <v>4.4000000004195465</v>
      </c>
      <c r="L133" s="87" t="s">
        <v>151</v>
      </c>
      <c r="M133" s="88">
        <v>1.9400000000000001E-2</v>
      </c>
      <c r="N133" s="88">
        <v>2.0100000000454504E-2</v>
      </c>
      <c r="O133" s="84">
        <v>2824.0821890000002</v>
      </c>
      <c r="P133" s="86">
        <v>101.28</v>
      </c>
      <c r="Q133" s="74"/>
      <c r="R133" s="84">
        <v>2.860230187</v>
      </c>
      <c r="S133" s="85">
        <v>5.2102409097866757E-6</v>
      </c>
      <c r="T133" s="85">
        <f t="shared" si="1"/>
        <v>2.5636403856825708E-3</v>
      </c>
      <c r="U133" s="85">
        <f>R133/'סכום נכסי הקרן'!$C$42</f>
        <v>4.5397726188831843E-4</v>
      </c>
    </row>
    <row r="134" spans="2:21">
      <c r="B134" s="77" t="s">
        <v>613</v>
      </c>
      <c r="C134" s="74" t="s">
        <v>614</v>
      </c>
      <c r="D134" s="87" t="s">
        <v>107</v>
      </c>
      <c r="E134" s="87" t="s">
        <v>325</v>
      </c>
      <c r="F134" s="74" t="s">
        <v>612</v>
      </c>
      <c r="G134" s="87" t="s">
        <v>465</v>
      </c>
      <c r="H134" s="74" t="s">
        <v>522</v>
      </c>
      <c r="I134" s="74" t="s">
        <v>329</v>
      </c>
      <c r="J134" s="74"/>
      <c r="K134" s="84">
        <v>5.3700000000941213</v>
      </c>
      <c r="L134" s="87" t="s">
        <v>151</v>
      </c>
      <c r="M134" s="88">
        <v>1.23E-2</v>
      </c>
      <c r="N134" s="88">
        <v>2.1000000000553656E-2</v>
      </c>
      <c r="O134" s="84">
        <v>11224.306500999999</v>
      </c>
      <c r="P134" s="86">
        <v>96.55</v>
      </c>
      <c r="Q134" s="74"/>
      <c r="R134" s="84">
        <v>10.837067354</v>
      </c>
      <c r="S134" s="85">
        <v>6.4432818399590815E-6</v>
      </c>
      <c r="T134" s="85">
        <f t="shared" si="1"/>
        <v>9.7133243531761088E-3</v>
      </c>
      <c r="U134" s="85">
        <f>R134/'סכום נכסי הקרן'!$C$42</f>
        <v>1.7200651145593284E-3</v>
      </c>
    </row>
    <row r="135" spans="2:21">
      <c r="B135" s="77" t="s">
        <v>615</v>
      </c>
      <c r="C135" s="74" t="s">
        <v>616</v>
      </c>
      <c r="D135" s="87" t="s">
        <v>107</v>
      </c>
      <c r="E135" s="87" t="s">
        <v>325</v>
      </c>
      <c r="F135" s="74" t="s">
        <v>617</v>
      </c>
      <c r="G135" s="87" t="s">
        <v>461</v>
      </c>
      <c r="H135" s="74" t="s">
        <v>530</v>
      </c>
      <c r="I135" s="74" t="s">
        <v>147</v>
      </c>
      <c r="J135" s="74"/>
      <c r="K135" s="84">
        <v>6.1200000002326904</v>
      </c>
      <c r="L135" s="87" t="s">
        <v>151</v>
      </c>
      <c r="M135" s="88">
        <v>2.2499999999999999E-2</v>
      </c>
      <c r="N135" s="88">
        <v>1.2399999997382227E-2</v>
      </c>
      <c r="O135" s="84">
        <v>1263.52107</v>
      </c>
      <c r="P135" s="86">
        <v>108.84</v>
      </c>
      <c r="Q135" s="74"/>
      <c r="R135" s="84">
        <v>1.3752162890000001</v>
      </c>
      <c r="S135" s="85">
        <v>3.088416617936616E-6</v>
      </c>
      <c r="T135" s="85">
        <f t="shared" si="1"/>
        <v>1.232614085940669E-3</v>
      </c>
      <c r="U135" s="85">
        <f>R135/'סכום נכסי הקרן'!$C$42</f>
        <v>2.1827506339245362E-4</v>
      </c>
    </row>
    <row r="136" spans="2:21">
      <c r="B136" s="77" t="s">
        <v>618</v>
      </c>
      <c r="C136" s="74" t="s">
        <v>619</v>
      </c>
      <c r="D136" s="87" t="s">
        <v>107</v>
      </c>
      <c r="E136" s="87" t="s">
        <v>325</v>
      </c>
      <c r="F136" s="74" t="s">
        <v>620</v>
      </c>
      <c r="G136" s="87" t="s">
        <v>1334</v>
      </c>
      <c r="H136" s="74" t="s">
        <v>530</v>
      </c>
      <c r="I136" s="74" t="s">
        <v>147</v>
      </c>
      <c r="J136" s="74"/>
      <c r="K136" s="84">
        <v>4.1799999967981316</v>
      </c>
      <c r="L136" s="87" t="s">
        <v>151</v>
      </c>
      <c r="M136" s="88">
        <v>1.6E-2</v>
      </c>
      <c r="N136" s="88">
        <v>1.2099999990731435E-2</v>
      </c>
      <c r="O136" s="84">
        <v>457.652309</v>
      </c>
      <c r="P136" s="86">
        <v>103.73</v>
      </c>
      <c r="Q136" s="74"/>
      <c r="R136" s="84">
        <v>0.47472276399999991</v>
      </c>
      <c r="S136" s="85">
        <v>2.8870260033779389E-6</v>
      </c>
      <c r="T136" s="85">
        <f t="shared" si="1"/>
        <v>4.2549668041569263E-4</v>
      </c>
      <c r="U136" s="85">
        <f>R136/'סכום נכסי הקרן'!$C$42</f>
        <v>7.5348250478685805E-5</v>
      </c>
    </row>
    <row r="137" spans="2:21">
      <c r="B137" s="77" t="s">
        <v>621</v>
      </c>
      <c r="C137" s="74" t="s">
        <v>622</v>
      </c>
      <c r="D137" s="87" t="s">
        <v>107</v>
      </c>
      <c r="E137" s="87" t="s">
        <v>325</v>
      </c>
      <c r="F137" s="74" t="s">
        <v>623</v>
      </c>
      <c r="G137" s="87" t="s">
        <v>143</v>
      </c>
      <c r="H137" s="74" t="s">
        <v>522</v>
      </c>
      <c r="I137" s="74" t="s">
        <v>329</v>
      </c>
      <c r="J137" s="74"/>
      <c r="K137" s="84">
        <v>1.6100000000226882</v>
      </c>
      <c r="L137" s="87" t="s">
        <v>151</v>
      </c>
      <c r="M137" s="88">
        <v>2.1499999999999998E-2</v>
      </c>
      <c r="N137" s="88">
        <v>4.550000000397042E-2</v>
      </c>
      <c r="O137" s="84">
        <v>3328.4556970000003</v>
      </c>
      <c r="P137" s="86">
        <v>96.96</v>
      </c>
      <c r="Q137" s="84">
        <v>0.29880642899999998</v>
      </c>
      <c r="R137" s="84">
        <v>3.5260770720000001</v>
      </c>
      <c r="S137" s="85">
        <v>5.1535163491472853E-6</v>
      </c>
      <c r="T137" s="85">
        <f t="shared" si="1"/>
        <v>3.1604426895060073E-3</v>
      </c>
      <c r="U137" s="85">
        <f>R137/'סכום נכסי הקרן'!$C$42</f>
        <v>5.5966083486193871E-4</v>
      </c>
    </row>
    <row r="138" spans="2:21">
      <c r="B138" s="77" t="s">
        <v>624</v>
      </c>
      <c r="C138" s="74" t="s">
        <v>625</v>
      </c>
      <c r="D138" s="87" t="s">
        <v>107</v>
      </c>
      <c r="E138" s="87" t="s">
        <v>325</v>
      </c>
      <c r="F138" s="74" t="s">
        <v>623</v>
      </c>
      <c r="G138" s="87" t="s">
        <v>143</v>
      </c>
      <c r="H138" s="74" t="s">
        <v>522</v>
      </c>
      <c r="I138" s="74" t="s">
        <v>329</v>
      </c>
      <c r="J138" s="74"/>
      <c r="K138" s="84">
        <v>3.030000000892076</v>
      </c>
      <c r="L138" s="87" t="s">
        <v>151</v>
      </c>
      <c r="M138" s="88">
        <v>1.8000000000000002E-2</v>
      </c>
      <c r="N138" s="88">
        <v>4.3600000008477184E-2</v>
      </c>
      <c r="O138" s="84">
        <v>2174.6792019999998</v>
      </c>
      <c r="P138" s="86">
        <v>93.3</v>
      </c>
      <c r="Q138" s="74"/>
      <c r="R138" s="84">
        <v>2.0289756729999997</v>
      </c>
      <c r="S138" s="85">
        <v>3.1253075317938658E-6</v>
      </c>
      <c r="T138" s="85">
        <f t="shared" si="1"/>
        <v>1.8185822947089513E-3</v>
      </c>
      <c r="U138" s="85">
        <f>R138/'סכום נכסי הקרן'!$C$42</f>
        <v>3.2204010175581997E-4</v>
      </c>
    </row>
    <row r="139" spans="2:21">
      <c r="B139" s="77" t="s">
        <v>626</v>
      </c>
      <c r="C139" s="74" t="s">
        <v>627</v>
      </c>
      <c r="D139" s="87" t="s">
        <v>107</v>
      </c>
      <c r="E139" s="87" t="s">
        <v>325</v>
      </c>
      <c r="F139" s="74" t="s">
        <v>628</v>
      </c>
      <c r="G139" s="87" t="s">
        <v>335</v>
      </c>
      <c r="H139" s="74" t="s">
        <v>629</v>
      </c>
      <c r="I139" s="74" t="s">
        <v>147</v>
      </c>
      <c r="J139" s="74"/>
      <c r="K139" s="84">
        <v>0.7399999997730583</v>
      </c>
      <c r="L139" s="87" t="s">
        <v>151</v>
      </c>
      <c r="M139" s="88">
        <v>4.1500000000000002E-2</v>
      </c>
      <c r="N139" s="88">
        <v>4.8700000112336134E-2</v>
      </c>
      <c r="O139" s="84">
        <v>165.65483400000002</v>
      </c>
      <c r="P139" s="86">
        <v>106.4</v>
      </c>
      <c r="Q139" s="74"/>
      <c r="R139" s="84">
        <v>0.17625674599999999</v>
      </c>
      <c r="S139" s="85">
        <v>8.2581009306999507E-7</v>
      </c>
      <c r="T139" s="85">
        <f t="shared" ref="T139:T164" si="2">R139/$R$11</f>
        <v>1.5797991166876488E-4</v>
      </c>
      <c r="U139" s="85">
        <f>R139/'סכום נכסי הקרן'!$C$42</f>
        <v>2.7975564799681913E-5</v>
      </c>
    </row>
    <row r="140" spans="2:21">
      <c r="B140" s="77" t="s">
        <v>630</v>
      </c>
      <c r="C140" s="74" t="s">
        <v>631</v>
      </c>
      <c r="D140" s="87" t="s">
        <v>107</v>
      </c>
      <c r="E140" s="87" t="s">
        <v>325</v>
      </c>
      <c r="F140" s="74" t="s">
        <v>632</v>
      </c>
      <c r="G140" s="87" t="s">
        <v>143</v>
      </c>
      <c r="H140" s="74" t="s">
        <v>633</v>
      </c>
      <c r="I140" s="74" t="s">
        <v>329</v>
      </c>
      <c r="J140" s="74"/>
      <c r="K140" s="84">
        <v>2.2299999999545226</v>
      </c>
      <c r="L140" s="87" t="s">
        <v>151</v>
      </c>
      <c r="M140" s="88">
        <v>3.15E-2</v>
      </c>
      <c r="N140" s="88">
        <v>0.17939999999484585</v>
      </c>
      <c r="O140" s="84">
        <v>1799.900439</v>
      </c>
      <c r="P140" s="86">
        <v>73.3</v>
      </c>
      <c r="Q140" s="74"/>
      <c r="R140" s="84">
        <v>1.319327022</v>
      </c>
      <c r="S140" s="85">
        <v>4.7400428286558816E-6</v>
      </c>
      <c r="T140" s="85">
        <f t="shared" si="2"/>
        <v>1.1825202219367798E-3</v>
      </c>
      <c r="U140" s="85">
        <f>R140/'סכום נכסי הקרן'!$C$42</f>
        <v>2.0940428910410253E-4</v>
      </c>
    </row>
    <row r="141" spans="2:21">
      <c r="B141" s="77" t="s">
        <v>634</v>
      </c>
      <c r="C141" s="74" t="s">
        <v>635</v>
      </c>
      <c r="D141" s="87" t="s">
        <v>107</v>
      </c>
      <c r="E141" s="87" t="s">
        <v>325</v>
      </c>
      <c r="F141" s="74" t="s">
        <v>632</v>
      </c>
      <c r="G141" s="87" t="s">
        <v>143</v>
      </c>
      <c r="H141" s="74" t="s">
        <v>633</v>
      </c>
      <c r="I141" s="74" t="s">
        <v>329</v>
      </c>
      <c r="J141" s="74"/>
      <c r="K141" s="84">
        <v>1.4199999988392935</v>
      </c>
      <c r="L141" s="87" t="s">
        <v>151</v>
      </c>
      <c r="M141" s="88">
        <v>2.8500000000000001E-2</v>
      </c>
      <c r="N141" s="88">
        <v>0.21689999988479369</v>
      </c>
      <c r="O141" s="84">
        <v>1013.5813869999999</v>
      </c>
      <c r="P141" s="86">
        <v>79.900000000000006</v>
      </c>
      <c r="Q141" s="74"/>
      <c r="R141" s="84">
        <v>0.80985145699999994</v>
      </c>
      <c r="S141" s="85">
        <v>4.634044093355209E-6</v>
      </c>
      <c r="T141" s="85">
        <f t="shared" si="2"/>
        <v>7.2587441073989039E-4</v>
      </c>
      <c r="U141" s="85">
        <f>R141/'סכום נכסי הקרן'!$C$42</f>
        <v>1.2854005550187741E-4</v>
      </c>
    </row>
    <row r="142" spans="2:21">
      <c r="B142" s="77" t="s">
        <v>636</v>
      </c>
      <c r="C142" s="74" t="s">
        <v>637</v>
      </c>
      <c r="D142" s="87" t="s">
        <v>107</v>
      </c>
      <c r="E142" s="87" t="s">
        <v>325</v>
      </c>
      <c r="F142" s="74" t="s">
        <v>638</v>
      </c>
      <c r="G142" s="87" t="s">
        <v>1334</v>
      </c>
      <c r="H142" s="74" t="s">
        <v>629</v>
      </c>
      <c r="I142" s="74" t="s">
        <v>147</v>
      </c>
      <c r="J142" s="74"/>
      <c r="K142" s="84">
        <v>4.5400000012337731</v>
      </c>
      <c r="L142" s="87" t="s">
        <v>151</v>
      </c>
      <c r="M142" s="88">
        <v>2.5000000000000001E-2</v>
      </c>
      <c r="N142" s="88">
        <v>3.0300000007989179E-2</v>
      </c>
      <c r="O142" s="84">
        <v>992.50885600000004</v>
      </c>
      <c r="P142" s="86">
        <v>99.63</v>
      </c>
      <c r="Q142" s="74"/>
      <c r="R142" s="84">
        <v>0.98883660699999998</v>
      </c>
      <c r="S142" s="85">
        <v>4.3952721305468407E-6</v>
      </c>
      <c r="T142" s="85">
        <f t="shared" si="2"/>
        <v>8.862998062423164E-4</v>
      </c>
      <c r="U142" s="85">
        <f>R142/'סכום נכסי הקרן'!$C$42</f>
        <v>1.5694867404068664E-4</v>
      </c>
    </row>
    <row r="143" spans="2:21">
      <c r="B143" s="77" t="s">
        <v>639</v>
      </c>
      <c r="C143" s="74" t="s">
        <v>640</v>
      </c>
      <c r="D143" s="87" t="s">
        <v>107</v>
      </c>
      <c r="E143" s="87" t="s">
        <v>325</v>
      </c>
      <c r="F143" s="74" t="s">
        <v>638</v>
      </c>
      <c r="G143" s="87" t="s">
        <v>1334</v>
      </c>
      <c r="H143" s="74" t="s">
        <v>629</v>
      </c>
      <c r="I143" s="74" t="s">
        <v>147</v>
      </c>
      <c r="J143" s="74"/>
      <c r="K143" s="84">
        <v>6.7300000003537539</v>
      </c>
      <c r="L143" s="87" t="s">
        <v>151</v>
      </c>
      <c r="M143" s="88">
        <v>1.9E-2</v>
      </c>
      <c r="N143" s="88">
        <v>2.8599999998470252E-2</v>
      </c>
      <c r="O143" s="84">
        <v>2202.8747659999999</v>
      </c>
      <c r="P143" s="86">
        <v>94.96</v>
      </c>
      <c r="Q143" s="74"/>
      <c r="R143" s="84">
        <v>2.0918498620000001</v>
      </c>
      <c r="S143" s="85">
        <v>9.4979009695911923E-6</v>
      </c>
      <c r="T143" s="85">
        <f t="shared" si="2"/>
        <v>1.8749367835434682E-3</v>
      </c>
      <c r="U143" s="85">
        <f>R143/'סכום נכסי הקרן'!$C$42</f>
        <v>3.3201952659211509E-4</v>
      </c>
    </row>
    <row r="144" spans="2:21">
      <c r="B144" s="77" t="s">
        <v>643</v>
      </c>
      <c r="C144" s="74" t="s">
        <v>644</v>
      </c>
      <c r="D144" s="87" t="s">
        <v>107</v>
      </c>
      <c r="E144" s="87" t="s">
        <v>325</v>
      </c>
      <c r="F144" s="74" t="s">
        <v>490</v>
      </c>
      <c r="G144" s="87" t="s">
        <v>1334</v>
      </c>
      <c r="H144" s="74" t="s">
        <v>429</v>
      </c>
      <c r="I144" s="74" t="s">
        <v>329</v>
      </c>
      <c r="J144" s="74"/>
      <c r="K144" s="84">
        <v>5.049999999737933</v>
      </c>
      <c r="L144" s="87" t="s">
        <v>151</v>
      </c>
      <c r="M144" s="88">
        <v>2.4E-2</v>
      </c>
      <c r="N144" s="88">
        <v>1.9000000005241362E-2</v>
      </c>
      <c r="O144" s="84">
        <v>554.085464</v>
      </c>
      <c r="P144" s="86">
        <v>103.3</v>
      </c>
      <c r="Q144" s="74"/>
      <c r="R144" s="84">
        <v>0.57237024299999995</v>
      </c>
      <c r="S144" s="85">
        <v>1.1283681997257186E-6</v>
      </c>
      <c r="T144" s="85">
        <f>R144/$R$11</f>
        <v>5.1301866443721528E-4</v>
      </c>
      <c r="U144" s="85">
        <f>R144/'סכום נכסי הקרן'!$C$42</f>
        <v>9.0846910463535866E-5</v>
      </c>
    </row>
    <row r="145" spans="2:21">
      <c r="B145" s="77" t="s">
        <v>641</v>
      </c>
      <c r="C145" s="74" t="s">
        <v>642</v>
      </c>
      <c r="D145" s="87" t="s">
        <v>107</v>
      </c>
      <c r="E145" s="87" t="s">
        <v>325</v>
      </c>
      <c r="F145" s="74" t="s">
        <v>490</v>
      </c>
      <c r="G145" s="87" t="s">
        <v>1334</v>
      </c>
      <c r="H145" s="74" t="s">
        <v>522</v>
      </c>
      <c r="I145" s="74" t="s">
        <v>329</v>
      </c>
      <c r="J145" s="74"/>
      <c r="K145" s="84">
        <v>2.9699999931470051</v>
      </c>
      <c r="L145" s="87" t="s">
        <v>151</v>
      </c>
      <c r="M145" s="88">
        <v>4.4000000000000004E-2</v>
      </c>
      <c r="N145" s="88">
        <v>1.8499999915953837E-2</v>
      </c>
      <c r="O145" s="84">
        <v>70.900665000000004</v>
      </c>
      <c r="P145" s="86">
        <v>109.08</v>
      </c>
      <c r="Q145" s="74"/>
      <c r="R145" s="84">
        <v>7.7338449000000004E-2</v>
      </c>
      <c r="S145" s="85">
        <v>2.7332350945636503E-7</v>
      </c>
      <c r="T145" s="85">
        <f t="shared" si="2"/>
        <v>6.9318886334252862E-5</v>
      </c>
      <c r="U145" s="85">
        <f>R145/'סכום נכסי הקרן'!$C$42</f>
        <v>1.2275199903590612E-5</v>
      </c>
    </row>
    <row r="146" spans="2:21">
      <c r="B146" s="77" t="s">
        <v>645</v>
      </c>
      <c r="C146" s="74" t="s">
        <v>646</v>
      </c>
      <c r="D146" s="87" t="s">
        <v>107</v>
      </c>
      <c r="E146" s="87" t="s">
        <v>325</v>
      </c>
      <c r="F146" s="74" t="s">
        <v>490</v>
      </c>
      <c r="G146" s="87" t="s">
        <v>1334</v>
      </c>
      <c r="H146" s="74" t="s">
        <v>522</v>
      </c>
      <c r="I146" s="74" t="s">
        <v>329</v>
      </c>
      <c r="J146" s="74"/>
      <c r="K146" s="84">
        <v>6.0499999993804652</v>
      </c>
      <c r="L146" s="87" t="s">
        <v>151</v>
      </c>
      <c r="M146" s="88">
        <v>2.6000000000000002E-2</v>
      </c>
      <c r="N146" s="88">
        <v>2.2399999996592555E-2</v>
      </c>
      <c r="O146" s="84">
        <v>3741.4254110000002</v>
      </c>
      <c r="P146" s="86">
        <v>103.54</v>
      </c>
      <c r="Q146" s="74"/>
      <c r="R146" s="84">
        <v>3.873871968</v>
      </c>
      <c r="S146" s="85">
        <v>6.3597495740251195E-6</v>
      </c>
      <c r="T146" s="85">
        <f t="shared" si="2"/>
        <v>3.4721732087391673E-3</v>
      </c>
      <c r="U146" s="85">
        <f>R146/'סכום נכסי הקרן'!$C$42</f>
        <v>6.148630263856982E-4</v>
      </c>
    </row>
    <row r="147" spans="2:21">
      <c r="B147" s="77" t="s">
        <v>647</v>
      </c>
      <c r="C147" s="74" t="s">
        <v>648</v>
      </c>
      <c r="D147" s="87" t="s">
        <v>107</v>
      </c>
      <c r="E147" s="87" t="s">
        <v>325</v>
      </c>
      <c r="F147" s="74" t="s">
        <v>620</v>
      </c>
      <c r="G147" s="87" t="s">
        <v>1334</v>
      </c>
      <c r="H147" s="74" t="s">
        <v>629</v>
      </c>
      <c r="I147" s="74" t="s">
        <v>147</v>
      </c>
      <c r="J147" s="74"/>
      <c r="K147" s="84">
        <v>0.25</v>
      </c>
      <c r="L147" s="87" t="s">
        <v>151</v>
      </c>
      <c r="M147" s="88">
        <v>4.4999999999999998E-2</v>
      </c>
      <c r="N147" s="88">
        <v>8.6499999992063301E-2</v>
      </c>
      <c r="O147" s="84">
        <v>698.62311599999998</v>
      </c>
      <c r="P147" s="86">
        <v>108.21</v>
      </c>
      <c r="Q147" s="74"/>
      <c r="R147" s="84">
        <v>0.75598010399999993</v>
      </c>
      <c r="S147" s="85">
        <v>4.0208524661870503E-6</v>
      </c>
      <c r="T147" s="85">
        <f t="shared" si="2"/>
        <v>6.7758921439105475E-4</v>
      </c>
      <c r="U147" s="85">
        <f>R147/'סכום נכסי הקרן'!$C$42</f>
        <v>1.199895656006396E-4</v>
      </c>
    </row>
    <row r="148" spans="2:21">
      <c r="B148" s="77" t="s">
        <v>649</v>
      </c>
      <c r="C148" s="74" t="s">
        <v>650</v>
      </c>
      <c r="D148" s="87" t="s">
        <v>107</v>
      </c>
      <c r="E148" s="87" t="s">
        <v>325</v>
      </c>
      <c r="F148" s="74" t="s">
        <v>628</v>
      </c>
      <c r="G148" s="87" t="s">
        <v>335</v>
      </c>
      <c r="H148" s="74" t="s">
        <v>651</v>
      </c>
      <c r="I148" s="74" t="s">
        <v>147</v>
      </c>
      <c r="J148" s="74"/>
      <c r="K148" s="84">
        <v>0.44000000019371649</v>
      </c>
      <c r="L148" s="87" t="s">
        <v>151</v>
      </c>
      <c r="M148" s="88">
        <v>5.2999999999999999E-2</v>
      </c>
      <c r="N148" s="88">
        <v>5.7300000006026745E-2</v>
      </c>
      <c r="O148" s="84">
        <v>1699.7952069999999</v>
      </c>
      <c r="P148" s="86">
        <v>109.33</v>
      </c>
      <c r="Q148" s="74"/>
      <c r="R148" s="84">
        <v>1.8583861559999999</v>
      </c>
      <c r="S148" s="85">
        <v>6.5375230071613731E-6</v>
      </c>
      <c r="T148" s="85">
        <f t="shared" si="2"/>
        <v>1.665681952231976E-3</v>
      </c>
      <c r="U148" s="85">
        <f>R148/'סכום נכסי הקרן'!$C$42</f>
        <v>2.9496404256782198E-4</v>
      </c>
    </row>
    <row r="149" spans="2:21">
      <c r="B149" s="77" t="s">
        <v>652</v>
      </c>
      <c r="C149" s="74" t="s">
        <v>653</v>
      </c>
      <c r="D149" s="87" t="s">
        <v>107</v>
      </c>
      <c r="E149" s="87" t="s">
        <v>325</v>
      </c>
      <c r="F149" s="74" t="s">
        <v>654</v>
      </c>
      <c r="G149" s="87" t="s">
        <v>655</v>
      </c>
      <c r="H149" s="74" t="s">
        <v>651</v>
      </c>
      <c r="I149" s="74" t="s">
        <v>147</v>
      </c>
      <c r="J149" s="74"/>
      <c r="K149" s="84">
        <v>1.2099582527237551</v>
      </c>
      <c r="L149" s="87" t="s">
        <v>151</v>
      </c>
      <c r="M149" s="88">
        <v>5.3499999999999999E-2</v>
      </c>
      <c r="N149" s="88">
        <v>2.359942979330007E-2</v>
      </c>
      <c r="O149" s="84">
        <v>9.1800000000000007E-3</v>
      </c>
      <c r="P149" s="86">
        <v>106.98</v>
      </c>
      <c r="Q149" s="74"/>
      <c r="R149" s="84">
        <v>9.8209999999999997E-6</v>
      </c>
      <c r="S149" s="85">
        <v>7.8148111101415908E-11</v>
      </c>
      <c r="T149" s="85">
        <f t="shared" si="2"/>
        <v>8.8026174754124864E-9</v>
      </c>
      <c r="U149" s="85">
        <f>R149/'סכום נכסי הקרן'!$C$42</f>
        <v>1.5587943618207729E-9</v>
      </c>
    </row>
    <row r="150" spans="2:21">
      <c r="B150" s="77" t="s">
        <v>656</v>
      </c>
      <c r="C150" s="74" t="s">
        <v>657</v>
      </c>
      <c r="D150" s="87" t="s">
        <v>107</v>
      </c>
      <c r="E150" s="87" t="s">
        <v>325</v>
      </c>
      <c r="F150" s="74" t="s">
        <v>658</v>
      </c>
      <c r="G150" s="87" t="s">
        <v>655</v>
      </c>
      <c r="H150" s="74" t="s">
        <v>659</v>
      </c>
      <c r="I150" s="74" t="s">
        <v>329</v>
      </c>
      <c r="J150" s="74"/>
      <c r="K150" s="84">
        <v>0.15999999185188291</v>
      </c>
      <c r="L150" s="87" t="s">
        <v>151</v>
      </c>
      <c r="M150" s="88">
        <v>4.8499999999999995E-2</v>
      </c>
      <c r="N150" s="88">
        <v>4.7700000435414995E-2</v>
      </c>
      <c r="O150" s="84">
        <v>31.874749999999999</v>
      </c>
      <c r="P150" s="86">
        <v>123.21</v>
      </c>
      <c r="Q150" s="74"/>
      <c r="R150" s="84">
        <v>3.9272876999999998E-2</v>
      </c>
      <c r="S150" s="85">
        <v>4.6870530492250594E-7</v>
      </c>
      <c r="T150" s="85">
        <f t="shared" si="2"/>
        <v>3.5200500294259764E-5</v>
      </c>
      <c r="U150" s="85">
        <f>R150/'סכום נכסי הקרן'!$C$42</f>
        <v>6.2334119987863464E-6</v>
      </c>
    </row>
    <row r="151" spans="2:21">
      <c r="B151" s="77" t="s">
        <v>660</v>
      </c>
      <c r="C151" s="74" t="s">
        <v>661</v>
      </c>
      <c r="D151" s="87" t="s">
        <v>107</v>
      </c>
      <c r="E151" s="87" t="s">
        <v>325</v>
      </c>
      <c r="F151" s="74" t="s">
        <v>394</v>
      </c>
      <c r="G151" s="87" t="s">
        <v>335</v>
      </c>
      <c r="H151" s="74" t="s">
        <v>659</v>
      </c>
      <c r="I151" s="74" t="s">
        <v>329</v>
      </c>
      <c r="J151" s="74"/>
      <c r="K151" s="84">
        <v>1.6900000000862565</v>
      </c>
      <c r="L151" s="87" t="s">
        <v>151</v>
      </c>
      <c r="M151" s="88">
        <v>5.0999999999999997E-2</v>
      </c>
      <c r="N151" s="88">
        <v>2.7100000000997868E-2</v>
      </c>
      <c r="O151" s="84">
        <v>9279.6187649999993</v>
      </c>
      <c r="P151" s="86">
        <v>125.89</v>
      </c>
      <c r="Q151" s="84">
        <v>0.14307871800000002</v>
      </c>
      <c r="R151" s="84">
        <v>11.825191542000001</v>
      </c>
      <c r="S151" s="85">
        <v>8.088629616526485E-6</v>
      </c>
      <c r="T151" s="85">
        <f t="shared" si="2"/>
        <v>1.059898561426628E-2</v>
      </c>
      <c r="U151" s="85">
        <f>R151/'סכום נכסי הקרן'!$C$42</f>
        <v>1.8769007130760914E-3</v>
      </c>
    </row>
    <row r="152" spans="2:21">
      <c r="B152" s="77" t="s">
        <v>662</v>
      </c>
      <c r="C152" s="74" t="s">
        <v>663</v>
      </c>
      <c r="D152" s="87" t="s">
        <v>107</v>
      </c>
      <c r="E152" s="87" t="s">
        <v>325</v>
      </c>
      <c r="F152" s="74" t="s">
        <v>566</v>
      </c>
      <c r="G152" s="87" t="s">
        <v>335</v>
      </c>
      <c r="H152" s="74" t="s">
        <v>659</v>
      </c>
      <c r="I152" s="74" t="s">
        <v>329</v>
      </c>
      <c r="J152" s="74"/>
      <c r="K152" s="84">
        <v>0.72999999849492991</v>
      </c>
      <c r="L152" s="87" t="s">
        <v>151</v>
      </c>
      <c r="M152" s="88">
        <v>2.4E-2</v>
      </c>
      <c r="N152" s="88">
        <v>3.6799999983826111E-2</v>
      </c>
      <c r="O152" s="84">
        <v>438.15155200000004</v>
      </c>
      <c r="P152" s="86">
        <v>101.6</v>
      </c>
      <c r="Q152" s="74"/>
      <c r="R152" s="84">
        <v>0.44516197899999999</v>
      </c>
      <c r="S152" s="85">
        <v>5.0342548375007699E-6</v>
      </c>
      <c r="T152" s="85">
        <f t="shared" si="2"/>
        <v>3.9900118274458879E-4</v>
      </c>
      <c r="U152" s="85">
        <f>R152/'סכום נכסי הקרן'!$C$42</f>
        <v>7.0656346905832127E-5</v>
      </c>
    </row>
    <row r="153" spans="2:21">
      <c r="B153" s="77" t="s">
        <v>664</v>
      </c>
      <c r="C153" s="74" t="s">
        <v>665</v>
      </c>
      <c r="D153" s="87" t="s">
        <v>107</v>
      </c>
      <c r="E153" s="87" t="s">
        <v>325</v>
      </c>
      <c r="F153" s="74" t="s">
        <v>579</v>
      </c>
      <c r="G153" s="87" t="s">
        <v>1334</v>
      </c>
      <c r="H153" s="74" t="s">
        <v>659</v>
      </c>
      <c r="I153" s="74" t="s">
        <v>329</v>
      </c>
      <c r="J153" s="74"/>
      <c r="K153" s="84">
        <v>2.4899999887472268</v>
      </c>
      <c r="L153" s="87" t="s">
        <v>151</v>
      </c>
      <c r="M153" s="88">
        <v>3.4500000000000003E-2</v>
      </c>
      <c r="N153" s="88">
        <v>2.0699999849963024E-2</v>
      </c>
      <c r="O153" s="84">
        <v>61.211353000000003</v>
      </c>
      <c r="P153" s="86">
        <v>104.53</v>
      </c>
      <c r="Q153" s="74"/>
      <c r="R153" s="84">
        <v>6.3984228000000004E-2</v>
      </c>
      <c r="S153" s="85">
        <v>1.9452447475977585E-7</v>
      </c>
      <c r="T153" s="85">
        <f t="shared" si="2"/>
        <v>5.7349423026532636E-5</v>
      </c>
      <c r="U153" s="85">
        <f>R153/'סכום נכסי הקרן'!$C$42</f>
        <v>1.015561081884277E-5</v>
      </c>
    </row>
    <row r="154" spans="2:21">
      <c r="B154" s="77" t="s">
        <v>666</v>
      </c>
      <c r="C154" s="74" t="s">
        <v>667</v>
      </c>
      <c r="D154" s="87" t="s">
        <v>107</v>
      </c>
      <c r="E154" s="87" t="s">
        <v>325</v>
      </c>
      <c r="F154" s="74" t="s">
        <v>579</v>
      </c>
      <c r="G154" s="87" t="s">
        <v>1334</v>
      </c>
      <c r="H154" s="74" t="s">
        <v>659</v>
      </c>
      <c r="I154" s="74" t="s">
        <v>329</v>
      </c>
      <c r="J154" s="74"/>
      <c r="K154" s="84">
        <v>3.8499999972518721</v>
      </c>
      <c r="L154" s="87" t="s">
        <v>151</v>
      </c>
      <c r="M154" s="88">
        <v>2.0499999999999997E-2</v>
      </c>
      <c r="N154" s="88">
        <v>1.7499999989430276E-2</v>
      </c>
      <c r="O154" s="84">
        <v>458.69209900000004</v>
      </c>
      <c r="P154" s="86">
        <v>103.13</v>
      </c>
      <c r="Q154" s="74"/>
      <c r="R154" s="84">
        <v>0.47304919799999995</v>
      </c>
      <c r="S154" s="85">
        <v>8.0851289197510617E-7</v>
      </c>
      <c r="T154" s="85">
        <f t="shared" si="2"/>
        <v>4.2399665380762257E-4</v>
      </c>
      <c r="U154" s="85">
        <f>R154/'סכום נכסי הקרן'!$C$42</f>
        <v>7.5082621189923471E-5</v>
      </c>
    </row>
    <row r="155" spans="2:21">
      <c r="B155" s="77" t="s">
        <v>668</v>
      </c>
      <c r="C155" s="74" t="s">
        <v>669</v>
      </c>
      <c r="D155" s="87" t="s">
        <v>107</v>
      </c>
      <c r="E155" s="87" t="s">
        <v>325</v>
      </c>
      <c r="F155" s="74" t="s">
        <v>579</v>
      </c>
      <c r="G155" s="87" t="s">
        <v>1334</v>
      </c>
      <c r="H155" s="74" t="s">
        <v>659</v>
      </c>
      <c r="I155" s="74" t="s">
        <v>329</v>
      </c>
      <c r="J155" s="74"/>
      <c r="K155" s="84">
        <v>4.7500000009493721</v>
      </c>
      <c r="L155" s="87" t="s">
        <v>151</v>
      </c>
      <c r="M155" s="88">
        <v>2.0499999999999997E-2</v>
      </c>
      <c r="N155" s="88">
        <v>1.9700000002278496E-2</v>
      </c>
      <c r="O155" s="84">
        <v>2065.3487839999998</v>
      </c>
      <c r="P155" s="86">
        <v>102</v>
      </c>
      <c r="Q155" s="74"/>
      <c r="R155" s="84">
        <v>2.106655816</v>
      </c>
      <c r="S155" s="85">
        <v>3.6122083988463868E-6</v>
      </c>
      <c r="T155" s="85">
        <f t="shared" si="2"/>
        <v>1.8882074432950771E-3</v>
      </c>
      <c r="U155" s="85">
        <f>R155/'סכום נכסי הקרן'!$C$42</f>
        <v>3.34369535513465E-4</v>
      </c>
    </row>
    <row r="156" spans="2:21">
      <c r="B156" s="77" t="s">
        <v>670</v>
      </c>
      <c r="C156" s="74" t="s">
        <v>671</v>
      </c>
      <c r="D156" s="87" t="s">
        <v>107</v>
      </c>
      <c r="E156" s="87" t="s">
        <v>325</v>
      </c>
      <c r="F156" s="74" t="s">
        <v>579</v>
      </c>
      <c r="G156" s="87" t="s">
        <v>1334</v>
      </c>
      <c r="H156" s="74" t="s">
        <v>659</v>
      </c>
      <c r="I156" s="74" t="s">
        <v>329</v>
      </c>
      <c r="J156" s="74"/>
      <c r="K156" s="84">
        <v>7.3200000006599009</v>
      </c>
      <c r="L156" s="87" t="s">
        <v>151</v>
      </c>
      <c r="M156" s="88">
        <v>8.3999999999999995E-3</v>
      </c>
      <c r="N156" s="88">
        <v>1.7200000001487099E-2</v>
      </c>
      <c r="O156" s="84">
        <v>4588.1356820000001</v>
      </c>
      <c r="P156" s="86">
        <v>93.8</v>
      </c>
      <c r="Q156" s="74"/>
      <c r="R156" s="84">
        <v>4.3036713630000003</v>
      </c>
      <c r="S156" s="85">
        <v>9.2186958020811781E-6</v>
      </c>
      <c r="T156" s="85">
        <f t="shared" si="2"/>
        <v>3.8574048211359414E-3</v>
      </c>
      <c r="U156" s="85">
        <f>R156/'סכום נכסי הקרן'!$C$42</f>
        <v>6.8308101575948702E-4</v>
      </c>
    </row>
    <row r="157" spans="2:21">
      <c r="B157" s="77" t="s">
        <v>672</v>
      </c>
      <c r="C157" s="74" t="s">
        <v>673</v>
      </c>
      <c r="D157" s="87" t="s">
        <v>107</v>
      </c>
      <c r="E157" s="87" t="s">
        <v>325</v>
      </c>
      <c r="F157" s="74" t="s">
        <v>674</v>
      </c>
      <c r="G157" s="87" t="s">
        <v>178</v>
      </c>
      <c r="H157" s="74" t="s">
        <v>659</v>
      </c>
      <c r="I157" s="74" t="s">
        <v>329</v>
      </c>
      <c r="J157" s="74"/>
      <c r="K157" s="84">
        <v>2.2699999999075899</v>
      </c>
      <c r="L157" s="87" t="s">
        <v>151</v>
      </c>
      <c r="M157" s="88">
        <v>1.9799999999999998E-2</v>
      </c>
      <c r="N157" s="88">
        <v>3.5699999998049112E-2</v>
      </c>
      <c r="O157" s="84">
        <v>4007.9005139999999</v>
      </c>
      <c r="P157" s="86">
        <v>97.2</v>
      </c>
      <c r="Q157" s="74"/>
      <c r="R157" s="84">
        <v>3.8956793680000001</v>
      </c>
      <c r="S157" s="85">
        <v>5.5533085244940394E-6</v>
      </c>
      <c r="T157" s="85">
        <f t="shared" si="2"/>
        <v>3.4917193038754377E-3</v>
      </c>
      <c r="U157" s="85">
        <f>R157/'סכום נכסי הקרן'!$C$42</f>
        <v>6.1832430855309156E-4</v>
      </c>
    </row>
    <row r="158" spans="2:21">
      <c r="B158" s="77" t="s">
        <v>675</v>
      </c>
      <c r="C158" s="74" t="s">
        <v>676</v>
      </c>
      <c r="D158" s="87" t="s">
        <v>107</v>
      </c>
      <c r="E158" s="87" t="s">
        <v>325</v>
      </c>
      <c r="F158" s="74" t="s">
        <v>677</v>
      </c>
      <c r="G158" s="87" t="s">
        <v>1335</v>
      </c>
      <c r="H158" s="74" t="s">
        <v>678</v>
      </c>
      <c r="I158" s="74" t="s">
        <v>147</v>
      </c>
      <c r="J158" s="74"/>
      <c r="K158" s="84">
        <v>3.0425531914893624</v>
      </c>
      <c r="L158" s="87" t="s">
        <v>151</v>
      </c>
      <c r="M158" s="88">
        <v>4.6500000000000007E-2</v>
      </c>
      <c r="N158" s="88">
        <v>3.23404255319149E-2</v>
      </c>
      <c r="O158" s="84">
        <v>4.5000000000000003E-5</v>
      </c>
      <c r="P158" s="86">
        <v>106.25</v>
      </c>
      <c r="Q158" s="74"/>
      <c r="R158" s="84">
        <v>4.6999999999999991E-8</v>
      </c>
      <c r="S158" s="85">
        <v>6.2794611385081681E-14</v>
      </c>
      <c r="T158" s="85">
        <f t="shared" si="2"/>
        <v>4.2126364050950696E-11</v>
      </c>
      <c r="U158" s="85">
        <f>R158/'סכום נכסי הקרן'!$C$42</f>
        <v>7.4598650855896872E-12</v>
      </c>
    </row>
    <row r="159" spans="2:21">
      <c r="B159" s="77" t="s">
        <v>679</v>
      </c>
      <c r="C159" s="74" t="s">
        <v>680</v>
      </c>
      <c r="D159" s="87" t="s">
        <v>107</v>
      </c>
      <c r="E159" s="87" t="s">
        <v>325</v>
      </c>
      <c r="F159" s="74" t="s">
        <v>681</v>
      </c>
      <c r="G159" s="87" t="s">
        <v>1335</v>
      </c>
      <c r="H159" s="74" t="s">
        <v>678</v>
      </c>
      <c r="I159" s="74" t="s">
        <v>147</v>
      </c>
      <c r="J159" s="74"/>
      <c r="K159" s="84">
        <v>0.75000000074768802</v>
      </c>
      <c r="L159" s="87" t="s">
        <v>151</v>
      </c>
      <c r="M159" s="88">
        <v>4.8000000000000001E-2</v>
      </c>
      <c r="N159" s="88">
        <v>4.3199999959325781E-2</v>
      </c>
      <c r="O159" s="84">
        <v>329.06611199999998</v>
      </c>
      <c r="P159" s="86">
        <v>101.61</v>
      </c>
      <c r="Q159" s="74"/>
      <c r="R159" s="84">
        <v>0.33436407299999998</v>
      </c>
      <c r="S159" s="85">
        <v>4.2272508093109296E-6</v>
      </c>
      <c r="T159" s="85">
        <f t="shared" si="2"/>
        <v>2.9969239712248209E-4</v>
      </c>
      <c r="U159" s="85">
        <f>R159/'סכום נכסי הקרן'!$C$42</f>
        <v>5.3070444128686422E-5</v>
      </c>
    </row>
    <row r="160" spans="2:21">
      <c r="B160" s="77" t="s">
        <v>682</v>
      </c>
      <c r="C160" s="74" t="s">
        <v>683</v>
      </c>
      <c r="D160" s="87" t="s">
        <v>107</v>
      </c>
      <c r="E160" s="87" t="s">
        <v>325</v>
      </c>
      <c r="F160" s="74" t="s">
        <v>684</v>
      </c>
      <c r="G160" s="87" t="s">
        <v>465</v>
      </c>
      <c r="H160" s="74" t="s">
        <v>685</v>
      </c>
      <c r="I160" s="74" t="s">
        <v>329</v>
      </c>
      <c r="J160" s="74"/>
      <c r="K160" s="84">
        <v>0.24999999944060899</v>
      </c>
      <c r="L160" s="87" t="s">
        <v>151</v>
      </c>
      <c r="M160" s="88">
        <v>4.8000000000000001E-2</v>
      </c>
      <c r="N160" s="88">
        <v>1.5999999964198975E-3</v>
      </c>
      <c r="O160" s="84">
        <v>369.65638999999993</v>
      </c>
      <c r="P160" s="86">
        <v>120.9</v>
      </c>
      <c r="Q160" s="74"/>
      <c r="R160" s="84">
        <v>0.44691460100000008</v>
      </c>
      <c r="S160" s="85">
        <v>3.613671409284416E-6</v>
      </c>
      <c r="T160" s="85">
        <f t="shared" si="2"/>
        <v>4.0057206768960389E-4</v>
      </c>
      <c r="U160" s="85">
        <f>R160/'סכום נכסי הקרן'!$C$42</f>
        <v>7.0934524005109508E-5</v>
      </c>
    </row>
    <row r="161" spans="2:21">
      <c r="B161" s="77" t="s">
        <v>686</v>
      </c>
      <c r="C161" s="74" t="s">
        <v>687</v>
      </c>
      <c r="D161" s="87" t="s">
        <v>107</v>
      </c>
      <c r="E161" s="87" t="s">
        <v>325</v>
      </c>
      <c r="F161" s="74" t="s">
        <v>688</v>
      </c>
      <c r="G161" s="87" t="s">
        <v>1335</v>
      </c>
      <c r="H161" s="74" t="s">
        <v>685</v>
      </c>
      <c r="I161" s="74" t="s">
        <v>329</v>
      </c>
      <c r="J161" s="74"/>
      <c r="K161" s="84">
        <v>0.39000000074207142</v>
      </c>
      <c r="L161" s="87" t="s">
        <v>151</v>
      </c>
      <c r="M161" s="88">
        <v>5.4000000000000006E-2</v>
      </c>
      <c r="N161" s="88">
        <v>0.14059999973285425</v>
      </c>
      <c r="O161" s="84">
        <v>272.238202</v>
      </c>
      <c r="P161" s="86">
        <v>99</v>
      </c>
      <c r="Q161" s="74"/>
      <c r="R161" s="84">
        <v>0.26951582000000002</v>
      </c>
      <c r="S161" s="85">
        <v>7.5621722777777782E-6</v>
      </c>
      <c r="T161" s="85">
        <f t="shared" si="2"/>
        <v>2.41568543634266E-4</v>
      </c>
      <c r="U161" s="85">
        <f>R161/'סכום נכסי הקרן'!$C$42</f>
        <v>4.277769480068245E-5</v>
      </c>
    </row>
    <row r="162" spans="2:21">
      <c r="B162" s="77" t="s">
        <v>689</v>
      </c>
      <c r="C162" s="74" t="s">
        <v>690</v>
      </c>
      <c r="D162" s="87" t="s">
        <v>107</v>
      </c>
      <c r="E162" s="87" t="s">
        <v>325</v>
      </c>
      <c r="F162" s="74" t="s">
        <v>688</v>
      </c>
      <c r="G162" s="87" t="s">
        <v>1335</v>
      </c>
      <c r="H162" s="74" t="s">
        <v>685</v>
      </c>
      <c r="I162" s="74" t="s">
        <v>329</v>
      </c>
      <c r="J162" s="74"/>
      <c r="K162" s="84">
        <v>1.3599999996417187</v>
      </c>
      <c r="L162" s="87" t="s">
        <v>151</v>
      </c>
      <c r="M162" s="88">
        <v>2.5000000000000001E-2</v>
      </c>
      <c r="N162" s="88">
        <v>0.17539999994984062</v>
      </c>
      <c r="O162" s="84">
        <v>938.7492729999999</v>
      </c>
      <c r="P162" s="86">
        <v>83.25</v>
      </c>
      <c r="Q162" s="74"/>
      <c r="R162" s="84">
        <v>0.781508698</v>
      </c>
      <c r="S162" s="85">
        <v>2.4101395876908432E-6</v>
      </c>
      <c r="T162" s="85">
        <f t="shared" si="2"/>
        <v>7.0047063661558492E-4</v>
      </c>
      <c r="U162" s="85">
        <f>R162/'סכום נכסי הקרן'!$C$42</f>
        <v>1.2404147766584801E-4</v>
      </c>
    </row>
    <row r="163" spans="2:21">
      <c r="B163" s="77" t="s">
        <v>691</v>
      </c>
      <c r="C163" s="74" t="s">
        <v>692</v>
      </c>
      <c r="D163" s="87" t="s">
        <v>107</v>
      </c>
      <c r="E163" s="87" t="s">
        <v>325</v>
      </c>
      <c r="F163" s="74" t="s">
        <v>693</v>
      </c>
      <c r="G163" s="87" t="s">
        <v>694</v>
      </c>
      <c r="H163" s="74" t="s">
        <v>695</v>
      </c>
      <c r="I163" s="74" t="s">
        <v>329</v>
      </c>
      <c r="J163" s="74"/>
      <c r="K163" s="84">
        <v>0</v>
      </c>
      <c r="L163" s="87" t="s">
        <v>151</v>
      </c>
      <c r="M163" s="88">
        <v>4.9000000000000002E-2</v>
      </c>
      <c r="N163" s="88">
        <v>0</v>
      </c>
      <c r="O163" s="84">
        <v>1459.2050389999997</v>
      </c>
      <c r="P163" s="86">
        <v>17.5</v>
      </c>
      <c r="Q163" s="74"/>
      <c r="R163" s="84">
        <v>0.25536087499999999</v>
      </c>
      <c r="S163" s="85">
        <v>2.0116458244018775E-6</v>
      </c>
      <c r="T163" s="85">
        <f t="shared" si="2"/>
        <v>2.2888138690679396E-4</v>
      </c>
      <c r="U163" s="85">
        <f>R163/'סכום נכסי הקרן'!$C$42</f>
        <v>4.0531014375279418E-5</v>
      </c>
    </row>
    <row r="164" spans="2:21">
      <c r="B164" s="77" t="s">
        <v>696</v>
      </c>
      <c r="C164" s="74" t="s">
        <v>697</v>
      </c>
      <c r="D164" s="87" t="s">
        <v>107</v>
      </c>
      <c r="E164" s="87" t="s">
        <v>325</v>
      </c>
      <c r="F164" s="74" t="s">
        <v>370</v>
      </c>
      <c r="G164" s="87" t="s">
        <v>1334</v>
      </c>
      <c r="H164" s="74" t="s">
        <v>698</v>
      </c>
      <c r="I164" s="74"/>
      <c r="J164" s="74"/>
      <c r="K164" s="84">
        <v>2.679999993811208</v>
      </c>
      <c r="L164" s="87" t="s">
        <v>151</v>
      </c>
      <c r="M164" s="88">
        <v>2.1000000000000001E-2</v>
      </c>
      <c r="N164" s="88">
        <v>2.5899999958311607E-2</v>
      </c>
      <c r="O164" s="84">
        <v>222.037364</v>
      </c>
      <c r="P164" s="86">
        <v>100.23</v>
      </c>
      <c r="Q164" s="84">
        <v>1.0130633E-2</v>
      </c>
      <c r="R164" s="84">
        <v>0.232678683</v>
      </c>
      <c r="S164" s="85">
        <v>9.342682845846406E-7</v>
      </c>
      <c r="T164" s="85">
        <f t="shared" si="2"/>
        <v>2.0855121078625012E-4</v>
      </c>
      <c r="U164" s="85">
        <f>R164/'סכום נכסי הקרן'!$C$42</f>
        <v>3.6930884754738108E-5</v>
      </c>
    </row>
    <row r="165" spans="2:21">
      <c r="B165" s="77" t="s">
        <v>368</v>
      </c>
      <c r="C165" s="74" t="s">
        <v>369</v>
      </c>
      <c r="D165" s="87" t="s">
        <v>107</v>
      </c>
      <c r="E165" s="87" t="s">
        <v>325</v>
      </c>
      <c r="F165" s="74" t="s">
        <v>370</v>
      </c>
      <c r="G165" s="87" t="s">
        <v>1334</v>
      </c>
      <c r="H165" s="74" t="s">
        <v>698</v>
      </c>
      <c r="I165" s="74"/>
      <c r="J165" s="74"/>
      <c r="K165" s="84">
        <v>6.0700000004089638</v>
      </c>
      <c r="L165" s="87" t="s">
        <v>151</v>
      </c>
      <c r="M165" s="88">
        <v>2.75E-2</v>
      </c>
      <c r="N165" s="88">
        <v>2.4300000002422526E-2</v>
      </c>
      <c r="O165" s="84">
        <v>3754.8611999999998</v>
      </c>
      <c r="P165" s="86">
        <v>102.24</v>
      </c>
      <c r="Q165" s="74"/>
      <c r="R165" s="84">
        <v>3.8389700489999998</v>
      </c>
      <c r="S165" s="85">
        <v>9.4561831368993652E-6</v>
      </c>
      <c r="T165" s="85">
        <f>R165/$R$11</f>
        <v>3.44089042265681E-3</v>
      </c>
      <c r="U165" s="85">
        <f>R165/'סכום נכסי הקרן'!$C$42</f>
        <v>6.0932337517360924E-4</v>
      </c>
    </row>
    <row r="166" spans="2:21">
      <c r="B166" s="77"/>
      <c r="C166" s="74"/>
      <c r="D166" s="87"/>
      <c r="E166" s="87"/>
      <c r="F166" s="74"/>
      <c r="G166" s="87"/>
      <c r="H166" s="74"/>
      <c r="I166" s="74"/>
      <c r="J166" s="74"/>
      <c r="K166" s="84"/>
      <c r="L166" s="87"/>
      <c r="M166" s="88"/>
      <c r="N166" s="88"/>
      <c r="O166" s="84"/>
      <c r="P166" s="86"/>
      <c r="Q166" s="74"/>
      <c r="R166" s="84"/>
      <c r="S166" s="85"/>
      <c r="T166" s="85"/>
      <c r="U166" s="85"/>
    </row>
    <row r="167" spans="2:21">
      <c r="B167" s="92" t="s">
        <v>40</v>
      </c>
      <c r="C167" s="72"/>
      <c r="D167" s="72"/>
      <c r="E167" s="72"/>
      <c r="F167" s="72"/>
      <c r="G167" s="72"/>
      <c r="H167" s="72"/>
      <c r="I167" s="72"/>
      <c r="J167" s="72"/>
      <c r="K167" s="81">
        <v>4.5635186194496855</v>
      </c>
      <c r="L167" s="72"/>
      <c r="M167" s="72"/>
      <c r="N167" s="94">
        <v>4.2360966159524421E-2</v>
      </c>
      <c r="O167" s="81"/>
      <c r="P167" s="83"/>
      <c r="Q167" s="81">
        <f>SUM(Q168:Q255)</f>
        <v>0.14501081211054997</v>
      </c>
      <c r="R167" s="81">
        <f>SUM(R168:R255)</f>
        <v>182.89564937399987</v>
      </c>
      <c r="S167" s="72"/>
      <c r="T167" s="82">
        <f t="shared" ref="T167:T229" si="3">R167/$R$11</f>
        <v>0.16393039806093943</v>
      </c>
      <c r="U167" s="82">
        <f>R167/'סכום נכסי הקרן'!$C$42</f>
        <v>2.9029295086624579E-2</v>
      </c>
    </row>
    <row r="168" spans="2:21">
      <c r="B168" s="77" t="s">
        <v>699</v>
      </c>
      <c r="C168" s="74" t="s">
        <v>700</v>
      </c>
      <c r="D168" s="87" t="s">
        <v>107</v>
      </c>
      <c r="E168" s="87" t="s">
        <v>325</v>
      </c>
      <c r="F168" s="74" t="s">
        <v>394</v>
      </c>
      <c r="G168" s="87" t="s">
        <v>335</v>
      </c>
      <c r="H168" s="74" t="s">
        <v>343</v>
      </c>
      <c r="I168" s="74" t="s">
        <v>147</v>
      </c>
      <c r="J168" s="74"/>
      <c r="K168" s="84">
        <v>2.6200000002114465</v>
      </c>
      <c r="L168" s="87" t="s">
        <v>151</v>
      </c>
      <c r="M168" s="88">
        <v>1.8700000000000001E-2</v>
      </c>
      <c r="N168" s="88">
        <v>1.2499999998608902E-2</v>
      </c>
      <c r="O168" s="84">
        <v>1758.455559</v>
      </c>
      <c r="P168" s="86">
        <v>102.2</v>
      </c>
      <c r="Q168" s="74"/>
      <c r="R168" s="84">
        <v>1.7971416010000001</v>
      </c>
      <c r="S168" s="85">
        <v>1.2715754578852134E-6</v>
      </c>
      <c r="T168" s="85">
        <f t="shared" si="3"/>
        <v>1.6107881135071149E-3</v>
      </c>
      <c r="U168" s="85">
        <f>R168/'סכום נכסי הקרן'!$C$42</f>
        <v>2.8524327410980117E-4</v>
      </c>
    </row>
    <row r="169" spans="2:21">
      <c r="B169" s="77" t="s">
        <v>701</v>
      </c>
      <c r="C169" s="74" t="s">
        <v>702</v>
      </c>
      <c r="D169" s="87" t="s">
        <v>107</v>
      </c>
      <c r="E169" s="87" t="s">
        <v>325</v>
      </c>
      <c r="F169" s="74" t="s">
        <v>394</v>
      </c>
      <c r="G169" s="87" t="s">
        <v>335</v>
      </c>
      <c r="H169" s="74" t="s">
        <v>343</v>
      </c>
      <c r="I169" s="74" t="s">
        <v>147</v>
      </c>
      <c r="J169" s="74"/>
      <c r="K169" s="84">
        <v>5.2999999998141725</v>
      </c>
      <c r="L169" s="87" t="s">
        <v>151</v>
      </c>
      <c r="M169" s="88">
        <v>2.6800000000000001E-2</v>
      </c>
      <c r="N169" s="88">
        <v>1.5999999999601795E-2</v>
      </c>
      <c r="O169" s="84">
        <v>14134.804858</v>
      </c>
      <c r="P169" s="86">
        <v>106.6</v>
      </c>
      <c r="Q169" s="74"/>
      <c r="R169" s="84">
        <v>15.067702135999999</v>
      </c>
      <c r="S169" s="85">
        <v>5.86897580948083E-6</v>
      </c>
      <c r="T169" s="85">
        <f t="shared" si="3"/>
        <v>1.3505266076434545E-2</v>
      </c>
      <c r="U169" s="85">
        <f>R169/'סכום נכסי הקרן'!$C$42</f>
        <v>2.391553725200246E-3</v>
      </c>
    </row>
    <row r="170" spans="2:21">
      <c r="B170" s="77" t="s">
        <v>703</v>
      </c>
      <c r="C170" s="74" t="s">
        <v>704</v>
      </c>
      <c r="D170" s="87" t="s">
        <v>107</v>
      </c>
      <c r="E170" s="87" t="s">
        <v>325</v>
      </c>
      <c r="F170" s="74" t="s">
        <v>334</v>
      </c>
      <c r="G170" s="87" t="s">
        <v>335</v>
      </c>
      <c r="H170" s="74" t="s">
        <v>328</v>
      </c>
      <c r="I170" s="74" t="s">
        <v>329</v>
      </c>
      <c r="J170" s="74"/>
      <c r="K170" s="84">
        <v>0</v>
      </c>
      <c r="L170" s="87" t="s">
        <v>151</v>
      </c>
      <c r="M170" s="88">
        <v>1.2E-2</v>
      </c>
      <c r="N170" s="88">
        <v>0</v>
      </c>
      <c r="O170" s="84">
        <v>842.21642099999997</v>
      </c>
      <c r="P170" s="86">
        <v>100.22</v>
      </c>
      <c r="Q170" s="113">
        <v>2.5474521105500001E-3</v>
      </c>
      <c r="R170" s="84">
        <v>0.8465890399999999</v>
      </c>
      <c r="S170" s="85">
        <v>2.8073880699999997E-6</v>
      </c>
      <c r="T170" s="85">
        <f t="shared" si="3"/>
        <v>7.5880251277840138E-4</v>
      </c>
      <c r="U170" s="85">
        <f>R170/'סכום נכסי הקרן'!$C$42</f>
        <v>1.3437106428380622E-4</v>
      </c>
    </row>
    <row r="171" spans="2:21">
      <c r="B171" s="77" t="s">
        <v>705</v>
      </c>
      <c r="C171" s="74" t="s">
        <v>706</v>
      </c>
      <c r="D171" s="87" t="s">
        <v>107</v>
      </c>
      <c r="E171" s="87" t="s">
        <v>325</v>
      </c>
      <c r="F171" s="74" t="s">
        <v>353</v>
      </c>
      <c r="G171" s="87" t="s">
        <v>335</v>
      </c>
      <c r="H171" s="74" t="s">
        <v>343</v>
      </c>
      <c r="I171" s="74" t="s">
        <v>147</v>
      </c>
      <c r="J171" s="74"/>
      <c r="K171" s="84">
        <v>4.7899999995736007</v>
      </c>
      <c r="L171" s="87" t="s">
        <v>151</v>
      </c>
      <c r="M171" s="88">
        <v>2.98E-2</v>
      </c>
      <c r="N171" s="88">
        <v>1.6699999997130517E-2</v>
      </c>
      <c r="O171" s="84">
        <v>3424.4582009999999</v>
      </c>
      <c r="P171" s="86">
        <v>108.89</v>
      </c>
      <c r="Q171" s="74"/>
      <c r="R171" s="84">
        <v>3.7288924209999994</v>
      </c>
      <c r="S171" s="85">
        <v>1.3470923185494261E-6</v>
      </c>
      <c r="T171" s="85">
        <f t="shared" si="3"/>
        <v>3.3422272262527003E-3</v>
      </c>
      <c r="U171" s="85">
        <f>R171/'סכום נכסי הקרן'!$C$42</f>
        <v>5.9185179530506172E-4</v>
      </c>
    </row>
    <row r="172" spans="2:21">
      <c r="B172" s="77" t="s">
        <v>707</v>
      </c>
      <c r="C172" s="74" t="s">
        <v>708</v>
      </c>
      <c r="D172" s="87" t="s">
        <v>107</v>
      </c>
      <c r="E172" s="87" t="s">
        <v>325</v>
      </c>
      <c r="F172" s="74" t="s">
        <v>353</v>
      </c>
      <c r="G172" s="87" t="s">
        <v>335</v>
      </c>
      <c r="H172" s="74" t="s">
        <v>343</v>
      </c>
      <c r="I172" s="74" t="s">
        <v>147</v>
      </c>
      <c r="J172" s="74"/>
      <c r="K172" s="84">
        <v>2.1100000002227985</v>
      </c>
      <c r="L172" s="87" t="s">
        <v>151</v>
      </c>
      <c r="M172" s="88">
        <v>2.4700000000000003E-2</v>
      </c>
      <c r="N172" s="88">
        <v>1.4400000002261239E-2</v>
      </c>
      <c r="O172" s="84">
        <v>2885.7111839999998</v>
      </c>
      <c r="P172" s="86">
        <v>104.21</v>
      </c>
      <c r="Q172" s="74"/>
      <c r="R172" s="84">
        <v>3.0071997030000004</v>
      </c>
      <c r="S172" s="85">
        <v>8.6625996523806518E-7</v>
      </c>
      <c r="T172" s="85">
        <f t="shared" si="3"/>
        <v>2.6953699885635929E-3</v>
      </c>
      <c r="U172" s="85">
        <f>R172/'סכום נכסי הקרן'!$C$42</f>
        <v>4.7730434191075287E-4</v>
      </c>
    </row>
    <row r="173" spans="2:21">
      <c r="B173" s="77" t="s">
        <v>709</v>
      </c>
      <c r="C173" s="74" t="s">
        <v>710</v>
      </c>
      <c r="D173" s="87" t="s">
        <v>107</v>
      </c>
      <c r="E173" s="87" t="s">
        <v>325</v>
      </c>
      <c r="F173" s="74" t="s">
        <v>711</v>
      </c>
      <c r="G173" s="87" t="s">
        <v>335</v>
      </c>
      <c r="H173" s="74" t="s">
        <v>328</v>
      </c>
      <c r="I173" s="74" t="s">
        <v>329</v>
      </c>
      <c r="J173" s="74"/>
      <c r="K173" s="84">
        <v>1.9799999996443827</v>
      </c>
      <c r="L173" s="87" t="s">
        <v>151</v>
      </c>
      <c r="M173" s="88">
        <v>2.07E-2</v>
      </c>
      <c r="N173" s="88">
        <v>1.3099999993274198E-2</v>
      </c>
      <c r="O173" s="84">
        <v>1274.4099120000001</v>
      </c>
      <c r="P173" s="86">
        <v>101.5</v>
      </c>
      <c r="Q173" s="74"/>
      <c r="R173" s="84">
        <v>1.2935260769999999</v>
      </c>
      <c r="S173" s="85">
        <v>5.0279919041438002E-6</v>
      </c>
      <c r="T173" s="85">
        <f t="shared" si="3"/>
        <v>1.1593946899808531E-3</v>
      </c>
      <c r="U173" s="85">
        <f>R173/'סכום נכסי הקרן'!$C$42</f>
        <v>2.0530914934281062E-4</v>
      </c>
    </row>
    <row r="174" spans="2:21">
      <c r="B174" s="77" t="s">
        <v>712</v>
      </c>
      <c r="C174" s="74" t="s">
        <v>713</v>
      </c>
      <c r="D174" s="87" t="s">
        <v>107</v>
      </c>
      <c r="E174" s="87" t="s">
        <v>325</v>
      </c>
      <c r="F174" s="74" t="s">
        <v>714</v>
      </c>
      <c r="G174" s="87" t="s">
        <v>1334</v>
      </c>
      <c r="H174" s="74" t="s">
        <v>343</v>
      </c>
      <c r="I174" s="74" t="s">
        <v>147</v>
      </c>
      <c r="J174" s="74"/>
      <c r="K174" s="84">
        <v>4.1000000000658154</v>
      </c>
      <c r="L174" s="87" t="s">
        <v>151</v>
      </c>
      <c r="M174" s="88">
        <v>1.44E-2</v>
      </c>
      <c r="N174" s="88">
        <v>1.4100000001382101E-2</v>
      </c>
      <c r="O174" s="84">
        <v>3034.3057789999998</v>
      </c>
      <c r="P174" s="86">
        <v>100.15</v>
      </c>
      <c r="Q174" s="74"/>
      <c r="R174" s="84">
        <v>3.0388572379999994</v>
      </c>
      <c r="S174" s="85">
        <v>3.79288222375E-6</v>
      </c>
      <c r="T174" s="85">
        <f t="shared" si="3"/>
        <v>2.723744815039458E-3</v>
      </c>
      <c r="U174" s="85">
        <f>R174/'סכום נכסי הקרן'!$C$42</f>
        <v>4.8232904276271723E-4</v>
      </c>
    </row>
    <row r="175" spans="2:21">
      <c r="B175" s="77" t="s">
        <v>715</v>
      </c>
      <c r="C175" s="74" t="s">
        <v>716</v>
      </c>
      <c r="D175" s="87" t="s">
        <v>107</v>
      </c>
      <c r="E175" s="87" t="s">
        <v>325</v>
      </c>
      <c r="F175" s="74" t="s">
        <v>717</v>
      </c>
      <c r="G175" s="87" t="s">
        <v>718</v>
      </c>
      <c r="H175" s="74" t="s">
        <v>389</v>
      </c>
      <c r="I175" s="74" t="s">
        <v>147</v>
      </c>
      <c r="J175" s="74"/>
      <c r="K175" s="84">
        <v>0.24999999906285386</v>
      </c>
      <c r="L175" s="87" t="s">
        <v>151</v>
      </c>
      <c r="M175" s="88">
        <v>4.8399999999999999E-2</v>
      </c>
      <c r="N175" s="88">
        <v>7.9999999775084932E-3</v>
      </c>
      <c r="O175" s="84">
        <v>260.97372799999999</v>
      </c>
      <c r="P175" s="86">
        <v>102.22</v>
      </c>
      <c r="Q175" s="74"/>
      <c r="R175" s="84">
        <v>0.26676735699999998</v>
      </c>
      <c r="S175" s="85">
        <v>1.242732038095238E-6</v>
      </c>
      <c r="T175" s="85">
        <f t="shared" si="3"/>
        <v>2.3910508080621134E-4</v>
      </c>
      <c r="U175" s="85">
        <f>R175/'סכום נכסי הקרן'!$C$42</f>
        <v>4.2341457286368934E-5</v>
      </c>
    </row>
    <row r="176" spans="2:21">
      <c r="B176" s="77" t="s">
        <v>719</v>
      </c>
      <c r="C176" s="74" t="s">
        <v>720</v>
      </c>
      <c r="D176" s="87" t="s">
        <v>107</v>
      </c>
      <c r="E176" s="87" t="s">
        <v>325</v>
      </c>
      <c r="F176" s="74" t="s">
        <v>394</v>
      </c>
      <c r="G176" s="87" t="s">
        <v>335</v>
      </c>
      <c r="H176" s="74" t="s">
        <v>389</v>
      </c>
      <c r="I176" s="74" t="s">
        <v>147</v>
      </c>
      <c r="J176" s="74"/>
      <c r="K176" s="84">
        <v>1.1599999996077943</v>
      </c>
      <c r="L176" s="87" t="s">
        <v>151</v>
      </c>
      <c r="M176" s="88">
        <v>6.4000000000000001E-2</v>
      </c>
      <c r="N176" s="88">
        <v>8.7000000015153393E-3</v>
      </c>
      <c r="O176" s="84">
        <v>1033.973131</v>
      </c>
      <c r="P176" s="86">
        <v>108.5</v>
      </c>
      <c r="Q176" s="74"/>
      <c r="R176" s="84">
        <v>1.121860809</v>
      </c>
      <c r="S176" s="85">
        <v>4.2365183068236761E-6</v>
      </c>
      <c r="T176" s="85">
        <f t="shared" si="3"/>
        <v>1.0055301458388951E-3</v>
      </c>
      <c r="U176" s="85">
        <f>R176/'סכום נכסי הקרן'!$C$42</f>
        <v>1.7806234638192557E-4</v>
      </c>
    </row>
    <row r="177" spans="2:21">
      <c r="B177" s="77" t="s">
        <v>721</v>
      </c>
      <c r="C177" s="74" t="s">
        <v>722</v>
      </c>
      <c r="D177" s="87" t="s">
        <v>107</v>
      </c>
      <c r="E177" s="87" t="s">
        <v>325</v>
      </c>
      <c r="F177" s="74" t="s">
        <v>405</v>
      </c>
      <c r="G177" s="87" t="s">
        <v>1334</v>
      </c>
      <c r="H177" s="74" t="s">
        <v>389</v>
      </c>
      <c r="I177" s="74" t="s">
        <v>147</v>
      </c>
      <c r="J177" s="74"/>
      <c r="K177" s="84">
        <v>3.1600000006968663</v>
      </c>
      <c r="L177" s="87" t="s">
        <v>151</v>
      </c>
      <c r="M177" s="88">
        <v>1.6299999999999999E-2</v>
      </c>
      <c r="N177" s="88">
        <v>1.3600000003097183E-2</v>
      </c>
      <c r="O177" s="84">
        <v>2550.5981489999999</v>
      </c>
      <c r="P177" s="86">
        <v>101.27</v>
      </c>
      <c r="Q177" s="74"/>
      <c r="R177" s="84">
        <v>2.582990745</v>
      </c>
      <c r="S177" s="85">
        <v>3.0610642912777726E-6</v>
      </c>
      <c r="T177" s="85">
        <f t="shared" si="3"/>
        <v>2.3151491162575828E-3</v>
      </c>
      <c r="U177" s="85">
        <f>R177/'סכום נכסי הקרן'!$C$42</f>
        <v>4.0997366968142127E-4</v>
      </c>
    </row>
    <row r="178" spans="2:21">
      <c r="B178" s="77" t="s">
        <v>723</v>
      </c>
      <c r="C178" s="74" t="s">
        <v>724</v>
      </c>
      <c r="D178" s="87" t="s">
        <v>107</v>
      </c>
      <c r="E178" s="87" t="s">
        <v>325</v>
      </c>
      <c r="F178" s="74" t="s">
        <v>378</v>
      </c>
      <c r="G178" s="87" t="s">
        <v>335</v>
      </c>
      <c r="H178" s="74" t="s">
        <v>389</v>
      </c>
      <c r="I178" s="74" t="s">
        <v>147</v>
      </c>
      <c r="J178" s="74"/>
      <c r="K178" s="84">
        <v>0.98999999994878929</v>
      </c>
      <c r="L178" s="87" t="s">
        <v>151</v>
      </c>
      <c r="M178" s="88">
        <v>6.0999999999999999E-2</v>
      </c>
      <c r="N178" s="88">
        <v>6.7999999836125379E-3</v>
      </c>
      <c r="O178" s="84">
        <v>370.56884000000008</v>
      </c>
      <c r="P178" s="86">
        <v>105.39</v>
      </c>
      <c r="Q178" s="74"/>
      <c r="R178" s="84">
        <v>0.39054249800000002</v>
      </c>
      <c r="S178" s="85">
        <v>1.0816308862699379E-6</v>
      </c>
      <c r="T178" s="85">
        <f t="shared" si="3"/>
        <v>3.5004543506629126E-4</v>
      </c>
      <c r="U178" s="85">
        <f>R178/'סכום נכסי הקרן'!$C$42</f>
        <v>6.1987113729131515E-5</v>
      </c>
    </row>
    <row r="179" spans="2:21">
      <c r="B179" s="77" t="s">
        <v>725</v>
      </c>
      <c r="C179" s="74" t="s">
        <v>726</v>
      </c>
      <c r="D179" s="87" t="s">
        <v>107</v>
      </c>
      <c r="E179" s="87" t="s">
        <v>325</v>
      </c>
      <c r="F179" s="74" t="s">
        <v>727</v>
      </c>
      <c r="G179" s="87" t="s">
        <v>728</v>
      </c>
      <c r="H179" s="74" t="s">
        <v>389</v>
      </c>
      <c r="I179" s="74" t="s">
        <v>147</v>
      </c>
      <c r="J179" s="74"/>
      <c r="K179" s="84">
        <v>4.6499999997558099</v>
      </c>
      <c r="L179" s="87" t="s">
        <v>151</v>
      </c>
      <c r="M179" s="88">
        <v>2.6099999999999998E-2</v>
      </c>
      <c r="N179" s="88">
        <v>1.4499999998309454E-2</v>
      </c>
      <c r="O179" s="84">
        <v>2506.9313440000001</v>
      </c>
      <c r="P179" s="86">
        <v>106.18</v>
      </c>
      <c r="Q179" s="74"/>
      <c r="R179" s="84">
        <v>2.661859701</v>
      </c>
      <c r="S179" s="85">
        <v>4.156659698364483E-6</v>
      </c>
      <c r="T179" s="85">
        <f t="shared" si="3"/>
        <v>2.3858398046144851E-3</v>
      </c>
      <c r="U179" s="85">
        <f>R179/'סכום נכסי הקרן'!$C$42</f>
        <v>4.224917924729385E-4</v>
      </c>
    </row>
    <row r="180" spans="2:21">
      <c r="B180" s="77" t="s">
        <v>729</v>
      </c>
      <c r="C180" s="74" t="s">
        <v>730</v>
      </c>
      <c r="D180" s="87" t="s">
        <v>107</v>
      </c>
      <c r="E180" s="87" t="s">
        <v>325</v>
      </c>
      <c r="F180" s="74" t="s">
        <v>436</v>
      </c>
      <c r="G180" s="87" t="s">
        <v>1334</v>
      </c>
      <c r="H180" s="74" t="s">
        <v>437</v>
      </c>
      <c r="I180" s="74" t="s">
        <v>147</v>
      </c>
      <c r="J180" s="74"/>
      <c r="K180" s="84">
        <v>3.4799999996644511</v>
      </c>
      <c r="L180" s="87" t="s">
        <v>151</v>
      </c>
      <c r="M180" s="88">
        <v>3.39E-2</v>
      </c>
      <c r="N180" s="88">
        <v>2.179999999715292E-2</v>
      </c>
      <c r="O180" s="84">
        <v>3746.5281749999999</v>
      </c>
      <c r="P180" s="86">
        <v>105</v>
      </c>
      <c r="Q180" s="74"/>
      <c r="R180" s="84">
        <v>3.9338545840000001</v>
      </c>
      <c r="S180" s="85">
        <v>3.4523439363833583E-6</v>
      </c>
      <c r="T180" s="85">
        <f t="shared" si="3"/>
        <v>3.5259359644486225E-3</v>
      </c>
      <c r="U180" s="85">
        <f>R180/'סכום נכסי הקרן'!$C$42</f>
        <v>6.2438349921209685E-4</v>
      </c>
    </row>
    <row r="181" spans="2:21">
      <c r="B181" s="77" t="s">
        <v>731</v>
      </c>
      <c r="C181" s="74" t="s">
        <v>732</v>
      </c>
      <c r="D181" s="87" t="s">
        <v>107</v>
      </c>
      <c r="E181" s="87" t="s">
        <v>325</v>
      </c>
      <c r="F181" s="74" t="s">
        <v>436</v>
      </c>
      <c r="G181" s="87" t="s">
        <v>1334</v>
      </c>
      <c r="H181" s="74" t="s">
        <v>437</v>
      </c>
      <c r="I181" s="74" t="s">
        <v>147</v>
      </c>
      <c r="J181" s="74"/>
      <c r="K181" s="84">
        <v>9.1099999992228486</v>
      </c>
      <c r="L181" s="87" t="s">
        <v>151</v>
      </c>
      <c r="M181" s="88">
        <v>2.4399999999999998E-2</v>
      </c>
      <c r="N181" s="88">
        <v>3.2599999998572576E-2</v>
      </c>
      <c r="O181" s="84">
        <v>2704.0072180000002</v>
      </c>
      <c r="P181" s="86">
        <v>93.27</v>
      </c>
      <c r="Q181" s="74"/>
      <c r="R181" s="84">
        <v>2.5220274359999997</v>
      </c>
      <c r="S181" s="85">
        <v>5.8150692860215055E-6</v>
      </c>
      <c r="T181" s="85">
        <f t="shared" si="3"/>
        <v>2.2605073599025909E-3</v>
      </c>
      <c r="U181" s="85">
        <f>R181/'סכום נכסי הקרן'!$C$42</f>
        <v>4.0029754073863153E-4</v>
      </c>
    </row>
    <row r="182" spans="2:21">
      <c r="B182" s="77" t="s">
        <v>733</v>
      </c>
      <c r="C182" s="74" t="s">
        <v>734</v>
      </c>
      <c r="D182" s="87" t="s">
        <v>107</v>
      </c>
      <c r="E182" s="87" t="s">
        <v>325</v>
      </c>
      <c r="F182" s="74" t="s">
        <v>348</v>
      </c>
      <c r="G182" s="87" t="s">
        <v>335</v>
      </c>
      <c r="H182" s="74" t="s">
        <v>437</v>
      </c>
      <c r="I182" s="74" t="s">
        <v>147</v>
      </c>
      <c r="J182" s="74"/>
      <c r="K182" s="84">
        <v>0.8400000000438369</v>
      </c>
      <c r="L182" s="87" t="s">
        <v>151</v>
      </c>
      <c r="M182" s="88">
        <v>1.5700000000000002E-2</v>
      </c>
      <c r="N182" s="88">
        <v>2.4500000002191838E-2</v>
      </c>
      <c r="O182" s="84">
        <v>5499.6129019999989</v>
      </c>
      <c r="P182" s="86">
        <v>99.55</v>
      </c>
      <c r="Q182" s="74"/>
      <c r="R182" s="84">
        <v>5.4748646639999992</v>
      </c>
      <c r="S182" s="85">
        <v>6.7884288201568282E-6</v>
      </c>
      <c r="T182" s="85">
        <f t="shared" si="3"/>
        <v>4.907151956709572E-3</v>
      </c>
      <c r="U182" s="85">
        <f>R182/'סכום נכסי הקרן'!$C$42</f>
        <v>8.6897344160217691E-4</v>
      </c>
    </row>
    <row r="183" spans="2:21">
      <c r="B183" s="77" t="s">
        <v>735</v>
      </c>
      <c r="C183" s="74" t="s">
        <v>736</v>
      </c>
      <c r="D183" s="87" t="s">
        <v>107</v>
      </c>
      <c r="E183" s="87" t="s">
        <v>325</v>
      </c>
      <c r="F183" s="74" t="s">
        <v>455</v>
      </c>
      <c r="G183" s="87" t="s">
        <v>1334</v>
      </c>
      <c r="H183" s="74" t="s">
        <v>429</v>
      </c>
      <c r="I183" s="74" t="s">
        <v>329</v>
      </c>
      <c r="J183" s="74"/>
      <c r="K183" s="84">
        <v>6.1800000001693629</v>
      </c>
      <c r="L183" s="87" t="s">
        <v>151</v>
      </c>
      <c r="M183" s="88">
        <v>2.5499999999999998E-2</v>
      </c>
      <c r="N183" s="88">
        <v>2.7000000000819497E-2</v>
      </c>
      <c r="O183" s="84">
        <v>11004.259926000001</v>
      </c>
      <c r="P183" s="86">
        <v>99.8</v>
      </c>
      <c r="Q183" s="74"/>
      <c r="R183" s="84">
        <v>10.982251773000002</v>
      </c>
      <c r="S183" s="85">
        <v>8.449245318396346E-6</v>
      </c>
      <c r="T183" s="85">
        <f t="shared" si="3"/>
        <v>9.8434539635871687E-3</v>
      </c>
      <c r="U183" s="85">
        <f>R183/'סכום נכסי הקרן'!$C$42</f>
        <v>1.7431088630331525E-3</v>
      </c>
    </row>
    <row r="184" spans="2:21">
      <c r="B184" s="77" t="s">
        <v>738</v>
      </c>
      <c r="C184" s="74" t="s">
        <v>739</v>
      </c>
      <c r="D184" s="87" t="s">
        <v>107</v>
      </c>
      <c r="E184" s="87" t="s">
        <v>325</v>
      </c>
      <c r="F184" s="74" t="s">
        <v>464</v>
      </c>
      <c r="G184" s="87" t="s">
        <v>465</v>
      </c>
      <c r="H184" s="74" t="s">
        <v>437</v>
      </c>
      <c r="I184" s="74" t="s">
        <v>147</v>
      </c>
      <c r="J184" s="74"/>
      <c r="K184" s="84">
        <v>2.4200000001121751</v>
      </c>
      <c r="L184" s="87" t="s">
        <v>151</v>
      </c>
      <c r="M184" s="88">
        <v>4.8000000000000001E-2</v>
      </c>
      <c r="N184" s="88">
        <v>1.4300000000105164E-2</v>
      </c>
      <c r="O184" s="84">
        <v>5160.8953289999999</v>
      </c>
      <c r="P184" s="86">
        <v>108.15</v>
      </c>
      <c r="Q184" s="84">
        <v>0.12386148799999999</v>
      </c>
      <c r="R184" s="84">
        <v>5.7053699580000004</v>
      </c>
      <c r="S184" s="85">
        <v>2.5956709606077784E-6</v>
      </c>
      <c r="T184" s="85">
        <f t="shared" si="3"/>
        <v>5.1137551467247949E-3</v>
      </c>
      <c r="U184" s="85">
        <f>R184/'סכום נכסי הקרן'!$C$42</f>
        <v>9.0555936489481934E-4</v>
      </c>
    </row>
    <row r="185" spans="2:21">
      <c r="B185" s="77" t="s">
        <v>740</v>
      </c>
      <c r="C185" s="74" t="s">
        <v>741</v>
      </c>
      <c r="D185" s="87" t="s">
        <v>107</v>
      </c>
      <c r="E185" s="87" t="s">
        <v>325</v>
      </c>
      <c r="F185" s="74" t="s">
        <v>464</v>
      </c>
      <c r="G185" s="87" t="s">
        <v>465</v>
      </c>
      <c r="H185" s="74" t="s">
        <v>437</v>
      </c>
      <c r="I185" s="74" t="s">
        <v>147</v>
      </c>
      <c r="J185" s="74"/>
      <c r="K185" s="84">
        <v>0.90082644628099162</v>
      </c>
      <c r="L185" s="87" t="s">
        <v>151</v>
      </c>
      <c r="M185" s="88">
        <v>4.4999999999999998E-2</v>
      </c>
      <c r="N185" s="88">
        <v>1.2479338842975207E-2</v>
      </c>
      <c r="O185" s="84">
        <v>2.34E-4</v>
      </c>
      <c r="P185" s="86">
        <v>103.34</v>
      </c>
      <c r="Q185" s="74"/>
      <c r="R185" s="84">
        <v>2.4200000000000002E-7</v>
      </c>
      <c r="S185" s="85">
        <v>3.8967007933283151E-13</v>
      </c>
      <c r="T185" s="85">
        <f t="shared" si="3"/>
        <v>2.1690595958149089E-10</v>
      </c>
      <c r="U185" s="85">
        <f>R185/'סכום נכסי הקרן'!$C$42</f>
        <v>3.8410369164100103E-11</v>
      </c>
    </row>
    <row r="186" spans="2:21">
      <c r="B186" s="77" t="s">
        <v>742</v>
      </c>
      <c r="C186" s="74" t="s">
        <v>743</v>
      </c>
      <c r="D186" s="87" t="s">
        <v>107</v>
      </c>
      <c r="E186" s="87" t="s">
        <v>325</v>
      </c>
      <c r="F186" s="74" t="s">
        <v>744</v>
      </c>
      <c r="G186" s="87" t="s">
        <v>144</v>
      </c>
      <c r="H186" s="74" t="s">
        <v>437</v>
      </c>
      <c r="I186" s="74" t="s">
        <v>147</v>
      </c>
      <c r="J186" s="74"/>
      <c r="K186" s="84">
        <v>2.1100000001711638</v>
      </c>
      <c r="L186" s="87" t="s">
        <v>151</v>
      </c>
      <c r="M186" s="88">
        <v>1.49E-2</v>
      </c>
      <c r="N186" s="88">
        <v>1.8800000003624646E-2</v>
      </c>
      <c r="O186" s="84">
        <v>2988.567963</v>
      </c>
      <c r="P186" s="86">
        <v>99.7</v>
      </c>
      <c r="Q186" s="74"/>
      <c r="R186" s="84">
        <v>2.9796021590000001</v>
      </c>
      <c r="S186" s="85">
        <v>2.7719844982019845E-6</v>
      </c>
      <c r="T186" s="85">
        <f t="shared" si="3"/>
        <v>2.6706341548304834E-3</v>
      </c>
      <c r="U186" s="85">
        <f>R186/'סכום נכסי הקרן'!$C$42</f>
        <v>4.7292404499727143E-4</v>
      </c>
    </row>
    <row r="187" spans="2:21">
      <c r="B187" s="77" t="s">
        <v>766</v>
      </c>
      <c r="C187" s="74" t="s">
        <v>767</v>
      </c>
      <c r="D187" s="87" t="s">
        <v>107</v>
      </c>
      <c r="E187" s="87" t="s">
        <v>325</v>
      </c>
      <c r="F187" s="74" t="s">
        <v>737</v>
      </c>
      <c r="G187" s="87" t="s">
        <v>1335</v>
      </c>
      <c r="H187" s="74" t="s">
        <v>429</v>
      </c>
      <c r="I187" s="74" t="s">
        <v>329</v>
      </c>
      <c r="J187" s="74"/>
      <c r="K187" s="84">
        <v>2.8200000009331463</v>
      </c>
      <c r="L187" s="87" t="s">
        <v>151</v>
      </c>
      <c r="M187" s="88">
        <v>4.3499999999999997E-2</v>
      </c>
      <c r="N187" s="88">
        <v>0.18530000004693176</v>
      </c>
      <c r="O187" s="84">
        <v>2667.3406690000002</v>
      </c>
      <c r="P187" s="86">
        <v>68.3</v>
      </c>
      <c r="Q187" s="74"/>
      <c r="R187" s="84">
        <v>1.8217937649999998</v>
      </c>
      <c r="S187" s="85">
        <v>1.599564622934875E-6</v>
      </c>
      <c r="T187" s="85">
        <f>R187/$R$11</f>
        <v>1.6328839865987687E-3</v>
      </c>
      <c r="U187" s="85">
        <f>R187/'סכום נכסי הקרן'!$C$42</f>
        <v>2.8915607873762731E-4</v>
      </c>
    </row>
    <row r="188" spans="2:21">
      <c r="B188" s="77" t="s">
        <v>745</v>
      </c>
      <c r="C188" s="74" t="s">
        <v>746</v>
      </c>
      <c r="D188" s="87" t="s">
        <v>107</v>
      </c>
      <c r="E188" s="87" t="s">
        <v>325</v>
      </c>
      <c r="F188" s="74" t="s">
        <v>747</v>
      </c>
      <c r="G188" s="87" t="s">
        <v>521</v>
      </c>
      <c r="H188" s="74" t="s">
        <v>429</v>
      </c>
      <c r="I188" s="74" t="s">
        <v>329</v>
      </c>
      <c r="J188" s="74"/>
      <c r="K188" s="84">
        <v>10.919999998405428</v>
      </c>
      <c r="L188" s="87" t="s">
        <v>151</v>
      </c>
      <c r="M188" s="88">
        <v>2.4E-2</v>
      </c>
      <c r="N188" s="88">
        <v>3.059999999896006E-2</v>
      </c>
      <c r="O188" s="84">
        <v>614.76568499999996</v>
      </c>
      <c r="P188" s="86">
        <v>93.85</v>
      </c>
      <c r="Q188" s="74"/>
      <c r="R188" s="84">
        <v>0.57695760099999993</v>
      </c>
      <c r="S188" s="85">
        <v>1.6178044342105262E-6</v>
      </c>
      <c r="T188" s="85">
        <f t="shared" si="3"/>
        <v>5.1713033918487569E-4</v>
      </c>
      <c r="U188" s="85">
        <f>R188/'סכום נכסי הקרן'!$C$42</f>
        <v>9.1575018373733744E-5</v>
      </c>
    </row>
    <row r="189" spans="2:21">
      <c r="B189" s="77" t="s">
        <v>748</v>
      </c>
      <c r="C189" s="74" t="s">
        <v>749</v>
      </c>
      <c r="D189" s="87" t="s">
        <v>107</v>
      </c>
      <c r="E189" s="87" t="s">
        <v>325</v>
      </c>
      <c r="F189" s="74" t="s">
        <v>747</v>
      </c>
      <c r="G189" s="87" t="s">
        <v>521</v>
      </c>
      <c r="H189" s="74" t="s">
        <v>429</v>
      </c>
      <c r="I189" s="74" t="s">
        <v>329</v>
      </c>
      <c r="J189" s="74"/>
      <c r="K189" s="84">
        <v>2.4199999995979735</v>
      </c>
      <c r="L189" s="87" t="s">
        <v>151</v>
      </c>
      <c r="M189" s="88">
        <v>2.4500000000000001E-2</v>
      </c>
      <c r="N189" s="88">
        <v>2.379999999692568E-2</v>
      </c>
      <c r="O189" s="84">
        <v>843.94339600000012</v>
      </c>
      <c r="P189" s="86">
        <v>100.21</v>
      </c>
      <c r="Q189" s="74"/>
      <c r="R189" s="84">
        <v>0.84571567700000005</v>
      </c>
      <c r="S189" s="85">
        <v>5.380020654545084E-7</v>
      </c>
      <c r="T189" s="85">
        <f t="shared" si="3"/>
        <v>7.580197126148562E-4</v>
      </c>
      <c r="U189" s="85">
        <f>R189/'סכום נכסי הקרן'!$C$42</f>
        <v>1.3423244364230101E-4</v>
      </c>
    </row>
    <row r="190" spans="2:21">
      <c r="B190" s="77" t="s">
        <v>750</v>
      </c>
      <c r="C190" s="74" t="s">
        <v>751</v>
      </c>
      <c r="D190" s="87" t="s">
        <v>107</v>
      </c>
      <c r="E190" s="87" t="s">
        <v>325</v>
      </c>
      <c r="F190" s="74" t="s">
        <v>348</v>
      </c>
      <c r="G190" s="87" t="s">
        <v>335</v>
      </c>
      <c r="H190" s="74" t="s">
        <v>429</v>
      </c>
      <c r="I190" s="74" t="s">
        <v>329</v>
      </c>
      <c r="J190" s="74"/>
      <c r="K190" s="84">
        <v>0.79999999846040659</v>
      </c>
      <c r="L190" s="87" t="s">
        <v>151</v>
      </c>
      <c r="M190" s="88">
        <v>3.2500000000000001E-2</v>
      </c>
      <c r="N190" s="88">
        <v>3.7999999965359146E-2</v>
      </c>
      <c r="O190" s="84">
        <f>521.7045/50000</f>
        <v>1.0434090000000002E-2</v>
      </c>
      <c r="P190" s="86">
        <v>4980000</v>
      </c>
      <c r="Q190" s="74"/>
      <c r="R190" s="84">
        <v>0.519617671</v>
      </c>
      <c r="S190" s="85">
        <f>2.8177396705374%/50000</f>
        <v>5.6354793410748002E-7</v>
      </c>
      <c r="T190" s="85">
        <f t="shared" si="3"/>
        <v>4.657362377841092E-4</v>
      </c>
      <c r="U190" s="85">
        <f>R190/'סכום נכסי הקרן'!$C$42</f>
        <v>8.2473994079751696E-5</v>
      </c>
    </row>
    <row r="191" spans="2:21">
      <c r="B191" s="77" t="s">
        <v>752</v>
      </c>
      <c r="C191" s="74" t="s">
        <v>753</v>
      </c>
      <c r="D191" s="87" t="s">
        <v>107</v>
      </c>
      <c r="E191" s="87" t="s">
        <v>325</v>
      </c>
      <c r="F191" s="74" t="s">
        <v>754</v>
      </c>
      <c r="G191" s="87" t="s">
        <v>1335</v>
      </c>
      <c r="H191" s="74" t="s">
        <v>429</v>
      </c>
      <c r="I191" s="74" t="s">
        <v>329</v>
      </c>
      <c r="J191" s="74"/>
      <c r="K191" s="84">
        <v>3.060000000982797</v>
      </c>
      <c r="L191" s="87" t="s">
        <v>151</v>
      </c>
      <c r="M191" s="88">
        <v>3.3799999999999997E-2</v>
      </c>
      <c r="N191" s="88">
        <v>3.6900000008599478E-2</v>
      </c>
      <c r="O191" s="84">
        <v>1627.843656</v>
      </c>
      <c r="P191" s="86">
        <v>100.01</v>
      </c>
      <c r="Q191" s="74"/>
      <c r="R191" s="84">
        <v>1.6280064400000001</v>
      </c>
      <c r="S191" s="85">
        <v>1.9887428008048583E-6</v>
      </c>
      <c r="T191" s="85">
        <f t="shared" si="3"/>
        <v>1.4591913184836647E-3</v>
      </c>
      <c r="U191" s="85">
        <f>R191/'סכום נכסי הקרן'!$C$42</f>
        <v>2.5839805108236519E-4</v>
      </c>
    </row>
    <row r="192" spans="2:21">
      <c r="B192" s="77" t="s">
        <v>755</v>
      </c>
      <c r="C192" s="74" t="s">
        <v>756</v>
      </c>
      <c r="D192" s="87" t="s">
        <v>107</v>
      </c>
      <c r="E192" s="87" t="s">
        <v>325</v>
      </c>
      <c r="F192" s="74" t="s">
        <v>515</v>
      </c>
      <c r="G192" s="87" t="s">
        <v>138</v>
      </c>
      <c r="H192" s="74" t="s">
        <v>429</v>
      </c>
      <c r="I192" s="74" t="s">
        <v>329</v>
      </c>
      <c r="J192" s="74"/>
      <c r="K192" s="84">
        <v>4.5499999996077749</v>
      </c>
      <c r="L192" s="87" t="s">
        <v>151</v>
      </c>
      <c r="M192" s="88">
        <v>5.0900000000000001E-2</v>
      </c>
      <c r="N192" s="88">
        <v>1.8299999999351977E-2</v>
      </c>
      <c r="O192" s="84">
        <v>2491.0705589999998</v>
      </c>
      <c r="P192" s="86">
        <v>117.7</v>
      </c>
      <c r="Q192" s="74"/>
      <c r="R192" s="84">
        <v>2.9319899930000002</v>
      </c>
      <c r="S192" s="85">
        <v>2.412819923159315E-6</v>
      </c>
      <c r="T192" s="85">
        <f t="shared" si="3"/>
        <v>2.6279591029545195E-3</v>
      </c>
      <c r="U192" s="85">
        <f>R192/'סכום נכסי הקרן'!$C$42</f>
        <v>4.6536701659742673E-4</v>
      </c>
    </row>
    <row r="193" spans="2:21">
      <c r="B193" s="77" t="s">
        <v>757</v>
      </c>
      <c r="C193" s="74" t="s">
        <v>758</v>
      </c>
      <c r="D193" s="87" t="s">
        <v>107</v>
      </c>
      <c r="E193" s="87" t="s">
        <v>325</v>
      </c>
      <c r="F193" s="74" t="s">
        <v>759</v>
      </c>
      <c r="G193" s="87" t="s">
        <v>718</v>
      </c>
      <c r="H193" s="74" t="s">
        <v>429</v>
      </c>
      <c r="I193" s="74" t="s">
        <v>329</v>
      </c>
      <c r="J193" s="74"/>
      <c r="K193" s="84">
        <v>0.7399998707024521</v>
      </c>
      <c r="L193" s="87" t="s">
        <v>151</v>
      </c>
      <c r="M193" s="88">
        <v>4.0999999999999995E-2</v>
      </c>
      <c r="N193" s="88">
        <v>1.0199998441798782E-2</v>
      </c>
      <c r="O193" s="84">
        <v>5.8387500000000001</v>
      </c>
      <c r="P193" s="86">
        <v>103.32</v>
      </c>
      <c r="Q193" s="74"/>
      <c r="R193" s="84">
        <v>6.0325969999999989E-3</v>
      </c>
      <c r="S193" s="85">
        <v>1.94625E-8</v>
      </c>
      <c r="T193" s="85">
        <f t="shared" si="3"/>
        <v>5.4070505828653839E-6</v>
      </c>
      <c r="U193" s="85">
        <f>R193/'סכום נכסי הקרן'!$C$42</f>
        <v>9.5749701565389547E-7</v>
      </c>
    </row>
    <row r="194" spans="2:21">
      <c r="B194" s="77" t="s">
        <v>760</v>
      </c>
      <c r="C194" s="74" t="s">
        <v>761</v>
      </c>
      <c r="D194" s="87" t="s">
        <v>107</v>
      </c>
      <c r="E194" s="87" t="s">
        <v>325</v>
      </c>
      <c r="F194" s="74" t="s">
        <v>759</v>
      </c>
      <c r="G194" s="87" t="s">
        <v>718</v>
      </c>
      <c r="H194" s="74" t="s">
        <v>429</v>
      </c>
      <c r="I194" s="74" t="s">
        <v>329</v>
      </c>
      <c r="J194" s="74"/>
      <c r="K194" s="84">
        <v>2.6193390452876382</v>
      </c>
      <c r="L194" s="87" t="s">
        <v>151</v>
      </c>
      <c r="M194" s="88">
        <v>1.2E-2</v>
      </c>
      <c r="N194" s="88">
        <v>1.3990208078335373E-2</v>
      </c>
      <c r="O194" s="84">
        <v>8.1699999999999991E-4</v>
      </c>
      <c r="P194" s="86">
        <v>99.89</v>
      </c>
      <c r="Q194" s="74"/>
      <c r="R194" s="84">
        <v>8.1699999999999986E-7</v>
      </c>
      <c r="S194" s="85">
        <v>1.7632763703700505E-12</v>
      </c>
      <c r="T194" s="85">
        <f t="shared" si="3"/>
        <v>7.3228168999205789E-10</v>
      </c>
      <c r="U194" s="85">
        <f>R194/'סכום נכסי הקרן'!$C$42</f>
        <v>1.296746760622718E-10</v>
      </c>
    </row>
    <row r="195" spans="2:21">
      <c r="B195" s="77" t="s">
        <v>762</v>
      </c>
      <c r="C195" s="74" t="s">
        <v>763</v>
      </c>
      <c r="D195" s="87" t="s">
        <v>107</v>
      </c>
      <c r="E195" s="87" t="s">
        <v>325</v>
      </c>
      <c r="F195" s="74" t="s">
        <v>525</v>
      </c>
      <c r="G195" s="87" t="s">
        <v>178</v>
      </c>
      <c r="H195" s="74" t="s">
        <v>522</v>
      </c>
      <c r="I195" s="74" t="s">
        <v>329</v>
      </c>
      <c r="J195" s="74"/>
      <c r="K195" s="84">
        <v>4.1200000002073383</v>
      </c>
      <c r="L195" s="87" t="s">
        <v>151</v>
      </c>
      <c r="M195" s="88">
        <v>3.6499999999999998E-2</v>
      </c>
      <c r="N195" s="88">
        <v>2.850000000121963E-2</v>
      </c>
      <c r="O195" s="84">
        <v>6270.8945329999997</v>
      </c>
      <c r="P195" s="86">
        <v>104.6</v>
      </c>
      <c r="Q195" s="74"/>
      <c r="R195" s="84">
        <v>6.559355472</v>
      </c>
      <c r="S195" s="85">
        <v>2.9235375693250432E-6</v>
      </c>
      <c r="T195" s="85">
        <f t="shared" si="3"/>
        <v>5.879187160703566E-3</v>
      </c>
      <c r="U195" s="85">
        <f>R195/'סכום נכסי הקרן'!$C$42</f>
        <v>1.0411044014796695E-3</v>
      </c>
    </row>
    <row r="196" spans="2:21">
      <c r="B196" s="77" t="s">
        <v>764</v>
      </c>
      <c r="C196" s="74" t="s">
        <v>765</v>
      </c>
      <c r="D196" s="87" t="s">
        <v>107</v>
      </c>
      <c r="E196" s="87" t="s">
        <v>325</v>
      </c>
      <c r="F196" s="74" t="s">
        <v>446</v>
      </c>
      <c r="G196" s="87" t="s">
        <v>1334</v>
      </c>
      <c r="H196" s="74" t="s">
        <v>530</v>
      </c>
      <c r="I196" s="74" t="s">
        <v>147</v>
      </c>
      <c r="J196" s="74"/>
      <c r="K196" s="84">
        <v>2.7199999999999998</v>
      </c>
      <c r="L196" s="87" t="s">
        <v>151</v>
      </c>
      <c r="M196" s="88">
        <v>3.5000000000000003E-2</v>
      </c>
      <c r="N196" s="88">
        <v>2.2100000002590665E-2</v>
      </c>
      <c r="O196" s="84">
        <v>924.15506200000004</v>
      </c>
      <c r="P196" s="86">
        <v>104.42</v>
      </c>
      <c r="Q196" s="74"/>
      <c r="R196" s="84">
        <v>0.96500267500000003</v>
      </c>
      <c r="S196" s="85">
        <v>6.4849004850579357E-6</v>
      </c>
      <c r="T196" s="85">
        <f t="shared" si="3"/>
        <v>8.6493731908917596E-4</v>
      </c>
      <c r="U196" s="85">
        <f>R196/'סכום נכסי הקרן'!$C$42</f>
        <v>1.5316573963262029E-4</v>
      </c>
    </row>
    <row r="197" spans="2:21">
      <c r="B197" s="77" t="s">
        <v>768</v>
      </c>
      <c r="C197" s="74" t="s">
        <v>769</v>
      </c>
      <c r="D197" s="87" t="s">
        <v>107</v>
      </c>
      <c r="E197" s="87" t="s">
        <v>325</v>
      </c>
      <c r="F197" s="74" t="s">
        <v>394</v>
      </c>
      <c r="G197" s="87" t="s">
        <v>335</v>
      </c>
      <c r="H197" s="74" t="s">
        <v>530</v>
      </c>
      <c r="I197" s="74" t="s">
        <v>147</v>
      </c>
      <c r="J197" s="74"/>
      <c r="K197" s="84">
        <v>1.7399999999014442</v>
      </c>
      <c r="L197" s="87" t="s">
        <v>151</v>
      </c>
      <c r="M197" s="88">
        <v>3.6000000000000004E-2</v>
      </c>
      <c r="N197" s="88">
        <v>4.1899999995564992E-2</v>
      </c>
      <c r="O197" s="84">
        <f>5083.43775/50000</f>
        <v>0.101668755</v>
      </c>
      <c r="P197" s="86">
        <v>4990000</v>
      </c>
      <c r="Q197" s="74"/>
      <c r="R197" s="84">
        <v>5.0732708750000004</v>
      </c>
      <c r="S197" s="85">
        <f>32.4178161469294%/50000</f>
        <v>6.483563229385879E-6</v>
      </c>
      <c r="T197" s="85">
        <f t="shared" si="3"/>
        <v>4.5472011874326647E-3</v>
      </c>
      <c r="U197" s="85">
        <f>R197/'סכום נכסי הקרן'!$C$42</f>
        <v>8.0523226106705428E-4</v>
      </c>
    </row>
    <row r="198" spans="2:21">
      <c r="B198" s="77" t="s">
        <v>770</v>
      </c>
      <c r="C198" s="74" t="s">
        <v>771</v>
      </c>
      <c r="D198" s="87" t="s">
        <v>107</v>
      </c>
      <c r="E198" s="87" t="s">
        <v>325</v>
      </c>
      <c r="F198" s="74" t="s">
        <v>460</v>
      </c>
      <c r="G198" s="87" t="s">
        <v>461</v>
      </c>
      <c r="H198" s="74" t="s">
        <v>522</v>
      </c>
      <c r="I198" s="74" t="s">
        <v>329</v>
      </c>
      <c r="J198" s="74"/>
      <c r="K198" s="84">
        <v>9.9000000000816115</v>
      </c>
      <c r="L198" s="87" t="s">
        <v>151</v>
      </c>
      <c r="M198" s="88">
        <v>3.0499999999999999E-2</v>
      </c>
      <c r="N198" s="88">
        <v>3.0400000001305806E-2</v>
      </c>
      <c r="O198" s="84">
        <v>2425.1313129999999</v>
      </c>
      <c r="P198" s="86">
        <v>101.05</v>
      </c>
      <c r="Q198" s="74"/>
      <c r="R198" s="84">
        <v>2.4505951920000002</v>
      </c>
      <c r="S198" s="85">
        <v>7.6737983656485587E-6</v>
      </c>
      <c r="T198" s="85">
        <f t="shared" si="3"/>
        <v>2.1964822382915202E-3</v>
      </c>
      <c r="U198" s="85">
        <f>R198/'סכום נכסי הקרן'!$C$42</f>
        <v>3.8895977684499494E-4</v>
      </c>
    </row>
    <row r="199" spans="2:21">
      <c r="B199" s="77" t="s">
        <v>772</v>
      </c>
      <c r="C199" s="74" t="s">
        <v>773</v>
      </c>
      <c r="D199" s="87" t="s">
        <v>107</v>
      </c>
      <c r="E199" s="87" t="s">
        <v>325</v>
      </c>
      <c r="F199" s="74" t="s">
        <v>460</v>
      </c>
      <c r="G199" s="87" t="s">
        <v>461</v>
      </c>
      <c r="H199" s="74" t="s">
        <v>522</v>
      </c>
      <c r="I199" s="74" t="s">
        <v>329</v>
      </c>
      <c r="J199" s="74"/>
      <c r="K199" s="84">
        <v>9.1800000010615026</v>
      </c>
      <c r="L199" s="87" t="s">
        <v>151</v>
      </c>
      <c r="M199" s="88">
        <v>3.0499999999999999E-2</v>
      </c>
      <c r="N199" s="88">
        <v>3.0800000003920865E-2</v>
      </c>
      <c r="O199" s="84">
        <v>4155.7377470000001</v>
      </c>
      <c r="P199" s="86">
        <v>100.65</v>
      </c>
      <c r="Q199" s="74"/>
      <c r="R199" s="84">
        <v>4.1827500419999994</v>
      </c>
      <c r="S199" s="85">
        <v>5.7016054915029608E-6</v>
      </c>
      <c r="T199" s="85">
        <f t="shared" si="3"/>
        <v>3.7490223617749219E-3</v>
      </c>
      <c r="U199" s="85">
        <f>R199/'סכום נכסי הקרן'!$C$42</f>
        <v>6.6388831915031063E-4</v>
      </c>
    </row>
    <row r="200" spans="2:21">
      <c r="B200" s="77" t="s">
        <v>774</v>
      </c>
      <c r="C200" s="74" t="s">
        <v>775</v>
      </c>
      <c r="D200" s="87" t="s">
        <v>107</v>
      </c>
      <c r="E200" s="87" t="s">
        <v>325</v>
      </c>
      <c r="F200" s="74" t="s">
        <v>460</v>
      </c>
      <c r="G200" s="87" t="s">
        <v>461</v>
      </c>
      <c r="H200" s="74" t="s">
        <v>522</v>
      </c>
      <c r="I200" s="74" t="s">
        <v>329</v>
      </c>
      <c r="J200" s="74"/>
      <c r="K200" s="84">
        <v>5.7300000006707421</v>
      </c>
      <c r="L200" s="87" t="s">
        <v>151</v>
      </c>
      <c r="M200" s="88">
        <v>2.9100000000000001E-2</v>
      </c>
      <c r="N200" s="88">
        <v>2.5300000004804604E-2</v>
      </c>
      <c r="O200" s="84">
        <v>2040.7238939999997</v>
      </c>
      <c r="P200" s="86">
        <v>103.01</v>
      </c>
      <c r="Q200" s="74"/>
      <c r="R200" s="84">
        <v>2.1021496829999999</v>
      </c>
      <c r="S200" s="85">
        <v>3.4012064899999998E-6</v>
      </c>
      <c r="T200" s="85">
        <f t="shared" si="3"/>
        <v>1.8841685709712474E-3</v>
      </c>
      <c r="U200" s="85">
        <f>R200/'סכום נכסי הקרן'!$C$42</f>
        <v>3.336543196786198E-4</v>
      </c>
    </row>
    <row r="201" spans="2:21">
      <c r="B201" s="77" t="s">
        <v>776</v>
      </c>
      <c r="C201" s="74" t="s">
        <v>777</v>
      </c>
      <c r="D201" s="87" t="s">
        <v>107</v>
      </c>
      <c r="E201" s="87" t="s">
        <v>325</v>
      </c>
      <c r="F201" s="74" t="s">
        <v>460</v>
      </c>
      <c r="G201" s="87" t="s">
        <v>461</v>
      </c>
      <c r="H201" s="74" t="s">
        <v>522</v>
      </c>
      <c r="I201" s="74" t="s">
        <v>329</v>
      </c>
      <c r="J201" s="74"/>
      <c r="K201" s="84">
        <v>7.5100000021256799</v>
      </c>
      <c r="L201" s="87" t="s">
        <v>151</v>
      </c>
      <c r="M201" s="88">
        <v>3.95E-2</v>
      </c>
      <c r="N201" s="88">
        <v>2.3900000009618994E-2</v>
      </c>
      <c r="O201" s="84">
        <v>1485.418365</v>
      </c>
      <c r="P201" s="86">
        <v>113.38</v>
      </c>
      <c r="Q201" s="74"/>
      <c r="R201" s="84">
        <v>1.6841673420000001</v>
      </c>
      <c r="S201" s="85">
        <v>6.1889860093438699E-6</v>
      </c>
      <c r="T201" s="85">
        <f t="shared" si="3"/>
        <v>1.5095286504641279E-3</v>
      </c>
      <c r="U201" s="85">
        <f>R201/'סכום נכסי הקרן'!$C$42</f>
        <v>2.6731193942289766E-4</v>
      </c>
    </row>
    <row r="202" spans="2:21">
      <c r="B202" s="77" t="s">
        <v>778</v>
      </c>
      <c r="C202" s="74" t="s">
        <v>779</v>
      </c>
      <c r="D202" s="87" t="s">
        <v>107</v>
      </c>
      <c r="E202" s="87" t="s">
        <v>325</v>
      </c>
      <c r="F202" s="74" t="s">
        <v>460</v>
      </c>
      <c r="G202" s="87" t="s">
        <v>461</v>
      </c>
      <c r="H202" s="74" t="s">
        <v>522</v>
      </c>
      <c r="I202" s="74" t="s">
        <v>329</v>
      </c>
      <c r="J202" s="74"/>
      <c r="K202" s="84">
        <v>8.1999999985154481</v>
      </c>
      <c r="L202" s="87" t="s">
        <v>151</v>
      </c>
      <c r="M202" s="88">
        <v>3.95E-2</v>
      </c>
      <c r="N202" s="88">
        <v>2.8299999985401895E-2</v>
      </c>
      <c r="O202" s="84">
        <v>365.22860400000008</v>
      </c>
      <c r="P202" s="86">
        <v>110.66</v>
      </c>
      <c r="Q202" s="74"/>
      <c r="R202" s="84">
        <v>0.40416197300000001</v>
      </c>
      <c r="S202" s="85">
        <v>1.521722616084791E-6</v>
      </c>
      <c r="T202" s="85">
        <f t="shared" si="3"/>
        <v>3.6225264702443639E-4</v>
      </c>
      <c r="U202" s="85">
        <f>R202/'סכום נכסי הקרן'!$C$42</f>
        <v>6.4148804070334942E-5</v>
      </c>
    </row>
    <row r="203" spans="2:21">
      <c r="B203" s="77" t="s">
        <v>780</v>
      </c>
      <c r="C203" s="74" t="s">
        <v>781</v>
      </c>
      <c r="D203" s="87" t="s">
        <v>107</v>
      </c>
      <c r="E203" s="87" t="s">
        <v>325</v>
      </c>
      <c r="F203" s="74" t="s">
        <v>472</v>
      </c>
      <c r="G203" s="87" t="s">
        <v>1334</v>
      </c>
      <c r="H203" s="74" t="s">
        <v>530</v>
      </c>
      <c r="I203" s="74" t="s">
        <v>147</v>
      </c>
      <c r="J203" s="74"/>
      <c r="K203" s="84">
        <v>3.6200000016714609</v>
      </c>
      <c r="L203" s="87" t="s">
        <v>151</v>
      </c>
      <c r="M203" s="88">
        <v>5.0499999999999996E-2</v>
      </c>
      <c r="N203" s="88">
        <v>2.2000000010446632E-2</v>
      </c>
      <c r="O203" s="84">
        <v>517.43060800000001</v>
      </c>
      <c r="P203" s="86">
        <v>111</v>
      </c>
      <c r="Q203" s="74"/>
      <c r="R203" s="84">
        <v>0.57434799199999997</v>
      </c>
      <c r="S203" s="85">
        <v>7.9758260507846765E-7</v>
      </c>
      <c r="T203" s="85">
        <f t="shared" si="3"/>
        <v>5.1479133197711747E-4</v>
      </c>
      <c r="U203" s="85">
        <f>R203/'סכום נכסי הקרן'!$C$42</f>
        <v>9.1160819840411611E-5</v>
      </c>
    </row>
    <row r="204" spans="2:21">
      <c r="B204" s="77" t="s">
        <v>782</v>
      </c>
      <c r="C204" s="74" t="s">
        <v>783</v>
      </c>
      <c r="D204" s="87" t="s">
        <v>107</v>
      </c>
      <c r="E204" s="87" t="s">
        <v>325</v>
      </c>
      <c r="F204" s="74" t="s">
        <v>477</v>
      </c>
      <c r="G204" s="87" t="s">
        <v>461</v>
      </c>
      <c r="H204" s="74" t="s">
        <v>530</v>
      </c>
      <c r="I204" s="74" t="s">
        <v>147</v>
      </c>
      <c r="J204" s="74"/>
      <c r="K204" s="84">
        <v>4.0100000002614546</v>
      </c>
      <c r="L204" s="87" t="s">
        <v>151</v>
      </c>
      <c r="M204" s="88">
        <v>3.9199999999999999E-2</v>
      </c>
      <c r="N204" s="88">
        <v>2.9000000003314215E-2</v>
      </c>
      <c r="O204" s="84">
        <v>2589.715185</v>
      </c>
      <c r="P204" s="86">
        <v>104.86</v>
      </c>
      <c r="Q204" s="74"/>
      <c r="R204" s="84">
        <v>2.7155754289999998</v>
      </c>
      <c r="S204" s="85">
        <v>2.6980303098179513E-6</v>
      </c>
      <c r="T204" s="85">
        <f t="shared" si="3"/>
        <v>2.4339855134015028E-3</v>
      </c>
      <c r="U204" s="85">
        <f>R204/'סכום נכסי הקרן'!$C$42</f>
        <v>4.3101758149111363E-4</v>
      </c>
    </row>
    <row r="205" spans="2:21">
      <c r="B205" s="77" t="s">
        <v>784</v>
      </c>
      <c r="C205" s="74" t="s">
        <v>785</v>
      </c>
      <c r="D205" s="87" t="s">
        <v>107</v>
      </c>
      <c r="E205" s="87" t="s">
        <v>325</v>
      </c>
      <c r="F205" s="74" t="s">
        <v>477</v>
      </c>
      <c r="G205" s="87" t="s">
        <v>461</v>
      </c>
      <c r="H205" s="74" t="s">
        <v>530</v>
      </c>
      <c r="I205" s="74" t="s">
        <v>147</v>
      </c>
      <c r="J205" s="74"/>
      <c r="K205" s="84">
        <v>8.7700000000817333</v>
      </c>
      <c r="L205" s="87" t="s">
        <v>151</v>
      </c>
      <c r="M205" s="88">
        <v>2.64E-2</v>
      </c>
      <c r="N205" s="88">
        <v>3.9800000000914305E-2</v>
      </c>
      <c r="O205" s="84">
        <v>8084.4265130000003</v>
      </c>
      <c r="P205" s="86">
        <v>89.29</v>
      </c>
      <c r="Q205" s="74"/>
      <c r="R205" s="84">
        <v>7.2185844330000002</v>
      </c>
      <c r="S205" s="85">
        <v>4.9410607491684543E-6</v>
      </c>
      <c r="T205" s="85">
        <f t="shared" si="3"/>
        <v>6.4700577820656089E-3</v>
      </c>
      <c r="U205" s="85">
        <f>R205/'סכום נכסי הקרן'!$C$42</f>
        <v>1.1457375740237859E-3</v>
      </c>
    </row>
    <row r="206" spans="2:21">
      <c r="B206" s="77" t="s">
        <v>786</v>
      </c>
      <c r="C206" s="74" t="s">
        <v>787</v>
      </c>
      <c r="D206" s="87" t="s">
        <v>107</v>
      </c>
      <c r="E206" s="87" t="s">
        <v>325</v>
      </c>
      <c r="F206" s="74" t="s">
        <v>490</v>
      </c>
      <c r="G206" s="87" t="s">
        <v>1334</v>
      </c>
      <c r="H206" s="74" t="s">
        <v>522</v>
      </c>
      <c r="I206" s="74" t="s">
        <v>329</v>
      </c>
      <c r="J206" s="74"/>
      <c r="K206" s="84">
        <v>2.3799994497785364</v>
      </c>
      <c r="L206" s="87" t="s">
        <v>151</v>
      </c>
      <c r="M206" s="88">
        <v>5.74E-2</v>
      </c>
      <c r="N206" s="88">
        <v>2.5299994497785357E-2</v>
      </c>
      <c r="O206" s="84">
        <v>0.53329900000000008</v>
      </c>
      <c r="P206" s="86">
        <v>107.73</v>
      </c>
      <c r="Q206" s="84">
        <v>1.5245700000000002E-4</v>
      </c>
      <c r="R206" s="84">
        <v>7.2698000000000001E-4</v>
      </c>
      <c r="S206" s="85">
        <v>5.3989003064401385E-9</v>
      </c>
      <c r="T206" s="85">
        <f t="shared" si="3"/>
        <v>6.5159625825021588E-7</v>
      </c>
      <c r="U206" s="85">
        <f>R206/'סכום נכסי הקרן'!$C$42</f>
        <v>1.1538665361536153E-7</v>
      </c>
    </row>
    <row r="207" spans="2:21">
      <c r="B207" s="77" t="s">
        <v>788</v>
      </c>
      <c r="C207" s="74" t="s">
        <v>789</v>
      </c>
      <c r="D207" s="87" t="s">
        <v>107</v>
      </c>
      <c r="E207" s="87" t="s">
        <v>325</v>
      </c>
      <c r="F207" s="74" t="s">
        <v>490</v>
      </c>
      <c r="G207" s="87" t="s">
        <v>1334</v>
      </c>
      <c r="H207" s="74" t="s">
        <v>522</v>
      </c>
      <c r="I207" s="74" t="s">
        <v>329</v>
      </c>
      <c r="J207" s="74"/>
      <c r="K207" s="84">
        <v>4.0199999977098999</v>
      </c>
      <c r="L207" s="87" t="s">
        <v>151</v>
      </c>
      <c r="M207" s="88">
        <v>5.6500000000000002E-2</v>
      </c>
      <c r="N207" s="88">
        <v>2.5399999998238384E-2</v>
      </c>
      <c r="O207" s="84">
        <v>99.258750000000006</v>
      </c>
      <c r="P207" s="86">
        <v>114.38</v>
      </c>
      <c r="Q207" s="74"/>
      <c r="R207" s="84">
        <v>0.11353216299999999</v>
      </c>
      <c r="S207" s="85">
        <v>1.1313543311663777E-6</v>
      </c>
      <c r="T207" s="85">
        <f t="shared" si="3"/>
        <v>1.0175951553255054E-4</v>
      </c>
      <c r="U207" s="85">
        <f>R207/'סכום נכסי הקרן'!$C$42</f>
        <v>1.8019885507556967E-5</v>
      </c>
    </row>
    <row r="208" spans="2:21">
      <c r="B208" s="77" t="s">
        <v>790</v>
      </c>
      <c r="C208" s="74" t="s">
        <v>791</v>
      </c>
      <c r="D208" s="87" t="s">
        <v>107</v>
      </c>
      <c r="E208" s="87" t="s">
        <v>325</v>
      </c>
      <c r="F208" s="74" t="s">
        <v>598</v>
      </c>
      <c r="G208" s="87" t="s">
        <v>461</v>
      </c>
      <c r="H208" s="74" t="s">
        <v>530</v>
      </c>
      <c r="I208" s="74" t="s">
        <v>147</v>
      </c>
      <c r="J208" s="74"/>
      <c r="K208" s="84">
        <v>3.9299999998062041</v>
      </c>
      <c r="L208" s="87" t="s">
        <v>151</v>
      </c>
      <c r="M208" s="88">
        <v>4.0999999999999995E-2</v>
      </c>
      <c r="N208" s="88">
        <v>1.7900000003875927E-2</v>
      </c>
      <c r="O208" s="84">
        <v>934.2</v>
      </c>
      <c r="P208" s="86">
        <v>110.47</v>
      </c>
      <c r="Q208" s="74"/>
      <c r="R208" s="84">
        <v>1.03201074</v>
      </c>
      <c r="S208" s="85">
        <v>3.1140000000000002E-6</v>
      </c>
      <c r="T208" s="85">
        <f t="shared" si="3"/>
        <v>9.2499702420704337E-4</v>
      </c>
      <c r="U208" s="85">
        <f>R208/'סכום נכסי הקרן'!$C$42</f>
        <v>1.6380129547403357E-4</v>
      </c>
    </row>
    <row r="209" spans="2:21">
      <c r="B209" s="77" t="s">
        <v>792</v>
      </c>
      <c r="C209" s="74" t="s">
        <v>793</v>
      </c>
      <c r="D209" s="87" t="s">
        <v>107</v>
      </c>
      <c r="E209" s="87" t="s">
        <v>325</v>
      </c>
      <c r="F209" s="74" t="s">
        <v>612</v>
      </c>
      <c r="G209" s="87" t="s">
        <v>465</v>
      </c>
      <c r="H209" s="74" t="s">
        <v>522</v>
      </c>
      <c r="I209" s="74" t="s">
        <v>329</v>
      </c>
      <c r="J209" s="74"/>
      <c r="K209" s="84">
        <v>7.7199999998481612</v>
      </c>
      <c r="L209" s="87" t="s">
        <v>151</v>
      </c>
      <c r="M209" s="88">
        <v>2.4300000000000002E-2</v>
      </c>
      <c r="N209" s="88">
        <v>3.5799999998721355E-2</v>
      </c>
      <c r="O209" s="84">
        <v>5434.0426880000005</v>
      </c>
      <c r="P209" s="86">
        <v>92.11</v>
      </c>
      <c r="Q209" s="74"/>
      <c r="R209" s="84">
        <v>5.0052969579999997</v>
      </c>
      <c r="S209" s="85">
        <v>6.2849276128681558E-6</v>
      </c>
      <c r="T209" s="85">
        <f t="shared" si="3"/>
        <v>4.486275783740939E-3</v>
      </c>
      <c r="U209" s="85">
        <f>R209/'סכום נכסי הקרן'!$C$42</f>
        <v>7.9444340468069101E-4</v>
      </c>
    </row>
    <row r="210" spans="2:21">
      <c r="B210" s="77" t="s">
        <v>794</v>
      </c>
      <c r="C210" s="74" t="s">
        <v>795</v>
      </c>
      <c r="D210" s="87" t="s">
        <v>107</v>
      </c>
      <c r="E210" s="87" t="s">
        <v>325</v>
      </c>
      <c r="F210" s="74" t="s">
        <v>612</v>
      </c>
      <c r="G210" s="87" t="s">
        <v>465</v>
      </c>
      <c r="H210" s="74" t="s">
        <v>522</v>
      </c>
      <c r="I210" s="74" t="s">
        <v>329</v>
      </c>
      <c r="J210" s="74"/>
      <c r="K210" s="84">
        <v>4.0100000005239131</v>
      </c>
      <c r="L210" s="87" t="s">
        <v>151</v>
      </c>
      <c r="M210" s="88">
        <v>1.9E-2</v>
      </c>
      <c r="N210" s="88">
        <v>2.3600000003357671E-2</v>
      </c>
      <c r="O210" s="84">
        <v>3510.233424</v>
      </c>
      <c r="P210" s="86">
        <v>98.42</v>
      </c>
      <c r="Q210" s="74"/>
      <c r="R210" s="84">
        <v>3.4547716190000002</v>
      </c>
      <c r="S210" s="85">
        <v>5.0536189217692005E-6</v>
      </c>
      <c r="T210" s="85">
        <f t="shared" si="3"/>
        <v>3.0965312113805611E-3</v>
      </c>
      <c r="U210" s="85">
        <f>R210/'סכום נכסי הקרן'!$C$42</f>
        <v>5.4834319530349502E-4</v>
      </c>
    </row>
    <row r="211" spans="2:21">
      <c r="B211" s="77" t="s">
        <v>796</v>
      </c>
      <c r="C211" s="74" t="s">
        <v>797</v>
      </c>
      <c r="D211" s="87" t="s">
        <v>107</v>
      </c>
      <c r="E211" s="87" t="s">
        <v>325</v>
      </c>
      <c r="F211" s="74" t="s">
        <v>612</v>
      </c>
      <c r="G211" s="87" t="s">
        <v>465</v>
      </c>
      <c r="H211" s="74" t="s">
        <v>522</v>
      </c>
      <c r="I211" s="74" t="s">
        <v>329</v>
      </c>
      <c r="J211" s="74"/>
      <c r="K211" s="84">
        <v>2.5600000003021646</v>
      </c>
      <c r="L211" s="87" t="s">
        <v>151</v>
      </c>
      <c r="M211" s="88">
        <v>2.9600000000000001E-2</v>
      </c>
      <c r="N211" s="88">
        <v>1.3100000001133117E-2</v>
      </c>
      <c r="O211" s="84">
        <v>1256.914213</v>
      </c>
      <c r="P211" s="86">
        <v>105.32</v>
      </c>
      <c r="Q211" s="74"/>
      <c r="R211" s="84">
        <v>1.323782035</v>
      </c>
      <c r="S211" s="85">
        <v>3.0776999980411073E-6</v>
      </c>
      <c r="T211" s="85">
        <f t="shared" si="3"/>
        <v>1.1865132751174121E-3</v>
      </c>
      <c r="U211" s="85">
        <f>R211/'סכום נכסי הקרן'!$C$42</f>
        <v>2.1011139114526315E-4</v>
      </c>
    </row>
    <row r="212" spans="2:21">
      <c r="B212" s="77" t="s">
        <v>798</v>
      </c>
      <c r="C212" s="74" t="s">
        <v>799</v>
      </c>
      <c r="D212" s="87" t="s">
        <v>107</v>
      </c>
      <c r="E212" s="87" t="s">
        <v>325</v>
      </c>
      <c r="F212" s="74" t="s">
        <v>617</v>
      </c>
      <c r="G212" s="87" t="s">
        <v>461</v>
      </c>
      <c r="H212" s="74" t="s">
        <v>522</v>
      </c>
      <c r="I212" s="74" t="s">
        <v>329</v>
      </c>
      <c r="J212" s="74"/>
      <c r="K212" s="84">
        <v>3.5900000028299459</v>
      </c>
      <c r="L212" s="87" t="s">
        <v>151</v>
      </c>
      <c r="M212" s="88">
        <v>3.85E-2</v>
      </c>
      <c r="N212" s="88">
        <v>2.3400000014950656E-2</v>
      </c>
      <c r="O212" s="84">
        <v>352.76462400000003</v>
      </c>
      <c r="P212" s="86">
        <v>106.18</v>
      </c>
      <c r="Q212" s="74"/>
      <c r="R212" s="84">
        <v>0.37456546600000001</v>
      </c>
      <c r="S212" s="85">
        <v>8.8449650102424343E-7</v>
      </c>
      <c r="T212" s="85">
        <f t="shared" si="3"/>
        <v>3.3572513152404257E-4</v>
      </c>
      <c r="U212" s="85">
        <f>R212/'סכום נכסי הקרן'!$C$42</f>
        <v>5.9451230682575144E-5</v>
      </c>
    </row>
    <row r="213" spans="2:21">
      <c r="B213" s="77" t="s">
        <v>800</v>
      </c>
      <c r="C213" s="74" t="s">
        <v>801</v>
      </c>
      <c r="D213" s="87" t="s">
        <v>107</v>
      </c>
      <c r="E213" s="87" t="s">
        <v>325</v>
      </c>
      <c r="F213" s="74" t="s">
        <v>617</v>
      </c>
      <c r="G213" s="87" t="s">
        <v>461</v>
      </c>
      <c r="H213" s="74" t="s">
        <v>530</v>
      </c>
      <c r="I213" s="74" t="s">
        <v>147</v>
      </c>
      <c r="J213" s="74"/>
      <c r="K213" s="84">
        <v>4.889999999860926</v>
      </c>
      <c r="L213" s="87" t="s">
        <v>151</v>
      </c>
      <c r="M213" s="88">
        <v>3.61E-2</v>
      </c>
      <c r="N213" s="88">
        <v>2.0599999998952425E-2</v>
      </c>
      <c r="O213" s="84">
        <v>5106.6056660000004</v>
      </c>
      <c r="P213" s="86">
        <v>108.42</v>
      </c>
      <c r="Q213" s="74"/>
      <c r="R213" s="84">
        <v>5.5365816929999996</v>
      </c>
      <c r="S213" s="85">
        <v>6.6535578710097725E-6</v>
      </c>
      <c r="T213" s="85">
        <f t="shared" si="3"/>
        <v>4.962469276535042E-3</v>
      </c>
      <c r="U213" s="85">
        <f>R213/'סכום נכסי הקרן'!$C$42</f>
        <v>8.7876920138565419E-4</v>
      </c>
    </row>
    <row r="214" spans="2:21">
      <c r="B214" s="77" t="s">
        <v>802</v>
      </c>
      <c r="C214" s="74" t="s">
        <v>803</v>
      </c>
      <c r="D214" s="87" t="s">
        <v>107</v>
      </c>
      <c r="E214" s="87" t="s">
        <v>325</v>
      </c>
      <c r="F214" s="74" t="s">
        <v>617</v>
      </c>
      <c r="G214" s="87" t="s">
        <v>461</v>
      </c>
      <c r="H214" s="74" t="s">
        <v>530</v>
      </c>
      <c r="I214" s="74" t="s">
        <v>147</v>
      </c>
      <c r="J214" s="74"/>
      <c r="K214" s="84">
        <v>5.8300000005918902</v>
      </c>
      <c r="L214" s="87" t="s">
        <v>151</v>
      </c>
      <c r="M214" s="88">
        <v>3.3000000000000002E-2</v>
      </c>
      <c r="N214" s="88">
        <v>2.7100000001791958E-2</v>
      </c>
      <c r="O214" s="84">
        <v>1773.630431</v>
      </c>
      <c r="P214" s="86">
        <v>103.83</v>
      </c>
      <c r="Q214" s="74"/>
      <c r="R214" s="84">
        <v>1.841560477</v>
      </c>
      <c r="S214" s="85">
        <v>5.7520972644278327E-6</v>
      </c>
      <c r="T214" s="85">
        <f t="shared" si="3"/>
        <v>1.650601001615839E-3</v>
      </c>
      <c r="U214" s="85">
        <f>R214/'סכום נכסי הקרן'!$C$42</f>
        <v>2.9229346181647222E-4</v>
      </c>
    </row>
    <row r="215" spans="2:21">
      <c r="B215" s="77" t="s">
        <v>804</v>
      </c>
      <c r="C215" s="74" t="s">
        <v>805</v>
      </c>
      <c r="D215" s="87" t="s">
        <v>107</v>
      </c>
      <c r="E215" s="87" t="s">
        <v>325</v>
      </c>
      <c r="F215" s="74" t="s">
        <v>617</v>
      </c>
      <c r="G215" s="87" t="s">
        <v>461</v>
      </c>
      <c r="H215" s="74" t="s">
        <v>530</v>
      </c>
      <c r="I215" s="74" t="s">
        <v>147</v>
      </c>
      <c r="J215" s="74"/>
      <c r="K215" s="84">
        <v>8.0300000004643728</v>
      </c>
      <c r="L215" s="87" t="s">
        <v>151</v>
      </c>
      <c r="M215" s="88">
        <v>2.6200000000000001E-2</v>
      </c>
      <c r="N215" s="88">
        <v>3.1200000001722687E-2</v>
      </c>
      <c r="O215" s="84">
        <v>5487.0236999999997</v>
      </c>
      <c r="P215" s="86">
        <v>97.33</v>
      </c>
      <c r="Q215" s="74"/>
      <c r="R215" s="84">
        <v>5.3405199839999993</v>
      </c>
      <c r="S215" s="85">
        <v>6.8587796249999996E-6</v>
      </c>
      <c r="T215" s="85">
        <f t="shared" si="3"/>
        <v>4.786738065263009E-3</v>
      </c>
      <c r="U215" s="85">
        <f>R215/'סכום נכסי הקרן'!$C$42</f>
        <v>8.4765018228799148E-4</v>
      </c>
    </row>
    <row r="216" spans="2:21">
      <c r="B216" s="77" t="s">
        <v>806</v>
      </c>
      <c r="C216" s="74" t="s">
        <v>807</v>
      </c>
      <c r="D216" s="87" t="s">
        <v>107</v>
      </c>
      <c r="E216" s="87" t="s">
        <v>325</v>
      </c>
      <c r="F216" s="74" t="s">
        <v>808</v>
      </c>
      <c r="G216" s="87" t="s">
        <v>138</v>
      </c>
      <c r="H216" s="74" t="s">
        <v>530</v>
      </c>
      <c r="I216" s="74" t="s">
        <v>147</v>
      </c>
      <c r="J216" s="74"/>
      <c r="K216" s="84">
        <v>3.1800000000135653</v>
      </c>
      <c r="L216" s="87" t="s">
        <v>151</v>
      </c>
      <c r="M216" s="88">
        <v>2.75E-2</v>
      </c>
      <c r="N216" s="88">
        <v>4.4700000005629702E-2</v>
      </c>
      <c r="O216" s="84">
        <v>1550.6142859999998</v>
      </c>
      <c r="P216" s="86">
        <v>95.08</v>
      </c>
      <c r="Q216" s="74"/>
      <c r="R216" s="84">
        <v>1.474324011</v>
      </c>
      <c r="S216" s="85">
        <v>3.8403573026004812E-6</v>
      </c>
      <c r="T216" s="85">
        <f t="shared" si="3"/>
        <v>1.3214448939668905E-3</v>
      </c>
      <c r="U216" s="85">
        <f>R216/'סכום נכסי הקרן'!$C$42</f>
        <v>2.3400549392564783E-4</v>
      </c>
    </row>
    <row r="217" spans="2:21">
      <c r="B217" s="77" t="s">
        <v>809</v>
      </c>
      <c r="C217" s="74" t="s">
        <v>810</v>
      </c>
      <c r="D217" s="87" t="s">
        <v>107</v>
      </c>
      <c r="E217" s="87" t="s">
        <v>325</v>
      </c>
      <c r="F217" s="74" t="s">
        <v>808</v>
      </c>
      <c r="G217" s="87" t="s">
        <v>138</v>
      </c>
      <c r="H217" s="74" t="s">
        <v>530</v>
      </c>
      <c r="I217" s="74" t="s">
        <v>147</v>
      </c>
      <c r="J217" s="74"/>
      <c r="K217" s="84">
        <v>4.0500000000698657</v>
      </c>
      <c r="L217" s="87" t="s">
        <v>151</v>
      </c>
      <c r="M217" s="88">
        <v>2.3E-2</v>
      </c>
      <c r="N217" s="88">
        <v>2.5300000001816501E-2</v>
      </c>
      <c r="O217" s="84">
        <v>2881.6663779999999</v>
      </c>
      <c r="P217" s="86">
        <v>99.34</v>
      </c>
      <c r="Q217" s="74"/>
      <c r="R217" s="84">
        <v>2.8626473159999999</v>
      </c>
      <c r="S217" s="85">
        <v>9.544402018864796E-6</v>
      </c>
      <c r="T217" s="85">
        <f t="shared" si="3"/>
        <v>2.5658068719849559E-3</v>
      </c>
      <c r="U217" s="85">
        <f>R217/'סכום נכסי הקרן'!$C$42</f>
        <v>4.5436090989330708E-4</v>
      </c>
    </row>
    <row r="218" spans="2:21">
      <c r="B218" s="77" t="s">
        <v>811</v>
      </c>
      <c r="C218" s="74" t="s">
        <v>812</v>
      </c>
      <c r="D218" s="87" t="s">
        <v>107</v>
      </c>
      <c r="E218" s="87" t="s">
        <v>325</v>
      </c>
      <c r="F218" s="74" t="s">
        <v>623</v>
      </c>
      <c r="G218" s="87" t="s">
        <v>143</v>
      </c>
      <c r="H218" s="74" t="s">
        <v>522</v>
      </c>
      <c r="I218" s="74" t="s">
        <v>329</v>
      </c>
      <c r="J218" s="74"/>
      <c r="K218" s="84">
        <v>3.0099999879258736</v>
      </c>
      <c r="L218" s="87" t="s">
        <v>151</v>
      </c>
      <c r="M218" s="88">
        <v>2.7000000000000003E-2</v>
      </c>
      <c r="N218" s="88">
        <v>4.1499999873642862E-2</v>
      </c>
      <c r="O218" s="84">
        <v>74.194463999999996</v>
      </c>
      <c r="P218" s="86">
        <v>96</v>
      </c>
      <c r="Q218" s="74"/>
      <c r="R218" s="84">
        <v>7.1226685999999997E-2</v>
      </c>
      <c r="S218" s="85">
        <v>4.1867508768229637E-7</v>
      </c>
      <c r="T218" s="85">
        <f t="shared" si="3"/>
        <v>6.3840878820824556E-5</v>
      </c>
      <c r="U218" s="85">
        <f>R218/'סכום נכסי הקרן'!$C$42</f>
        <v>1.1305137618162975E-5</v>
      </c>
    </row>
    <row r="219" spans="2:21">
      <c r="B219" s="77" t="s">
        <v>813</v>
      </c>
      <c r="C219" s="74" t="s">
        <v>814</v>
      </c>
      <c r="D219" s="87" t="s">
        <v>107</v>
      </c>
      <c r="E219" s="87" t="s">
        <v>325</v>
      </c>
      <c r="F219" s="74" t="s">
        <v>815</v>
      </c>
      <c r="G219" s="87" t="s">
        <v>143</v>
      </c>
      <c r="H219" s="74" t="s">
        <v>633</v>
      </c>
      <c r="I219" s="74" t="s">
        <v>329</v>
      </c>
      <c r="J219" s="74"/>
      <c r="K219" s="84">
        <v>0.80999999975764714</v>
      </c>
      <c r="L219" s="87" t="s">
        <v>151</v>
      </c>
      <c r="M219" s="88">
        <v>3.3000000000000002E-2</v>
      </c>
      <c r="N219" s="88">
        <v>0.24429999988501705</v>
      </c>
      <c r="O219" s="84">
        <v>431.81325900000002</v>
      </c>
      <c r="P219" s="86">
        <v>86</v>
      </c>
      <c r="Q219" s="74"/>
      <c r="R219" s="84">
        <v>0.37135938900000004</v>
      </c>
      <c r="S219" s="85">
        <v>1.6358609649977114E-6</v>
      </c>
      <c r="T219" s="85">
        <f t="shared" si="3"/>
        <v>3.3285150669686426E-4</v>
      </c>
      <c r="U219" s="85">
        <f>R219/'סכום נכסי הקרן'!$C$42</f>
        <v>5.8942360429936594E-5</v>
      </c>
    </row>
    <row r="220" spans="2:21">
      <c r="B220" s="77" t="s">
        <v>816</v>
      </c>
      <c r="C220" s="74" t="s">
        <v>817</v>
      </c>
      <c r="D220" s="87" t="s">
        <v>107</v>
      </c>
      <c r="E220" s="87" t="s">
        <v>325</v>
      </c>
      <c r="F220" s="74" t="s">
        <v>632</v>
      </c>
      <c r="G220" s="87" t="s">
        <v>143</v>
      </c>
      <c r="H220" s="74" t="s">
        <v>633</v>
      </c>
      <c r="I220" s="74" t="s">
        <v>329</v>
      </c>
      <c r="J220" s="74"/>
      <c r="K220" s="84">
        <v>2.9700000005164839</v>
      </c>
      <c r="L220" s="87" t="s">
        <v>151</v>
      </c>
      <c r="M220" s="88">
        <v>2.7999999999999997E-2</v>
      </c>
      <c r="N220" s="88">
        <v>0.17770000002674924</v>
      </c>
      <c r="O220" s="84">
        <v>1995.1278109999998</v>
      </c>
      <c r="P220" s="86">
        <v>65.02</v>
      </c>
      <c r="Q220" s="74"/>
      <c r="R220" s="84">
        <v>1.297232089</v>
      </c>
      <c r="S220" s="85">
        <v>7.4920308336462632E-6</v>
      </c>
      <c r="T220" s="85">
        <f t="shared" si="3"/>
        <v>1.162716409357219E-3</v>
      </c>
      <c r="U220" s="85">
        <f>R220/'סכום נכסי הקרן'!$C$42</f>
        <v>2.0589736954548246E-4</v>
      </c>
    </row>
    <row r="221" spans="2:21">
      <c r="B221" s="77" t="s">
        <v>818</v>
      </c>
      <c r="C221" s="74" t="s">
        <v>819</v>
      </c>
      <c r="D221" s="87" t="s">
        <v>107</v>
      </c>
      <c r="E221" s="87" t="s">
        <v>325</v>
      </c>
      <c r="F221" s="74" t="s">
        <v>632</v>
      </c>
      <c r="G221" s="87" t="s">
        <v>143</v>
      </c>
      <c r="H221" s="74" t="s">
        <v>633</v>
      </c>
      <c r="I221" s="74" t="s">
        <v>329</v>
      </c>
      <c r="J221" s="74"/>
      <c r="K221" s="84">
        <v>0.63000000017945146</v>
      </c>
      <c r="L221" s="87" t="s">
        <v>151</v>
      </c>
      <c r="M221" s="88">
        <v>4.2999999999999997E-2</v>
      </c>
      <c r="N221" s="88">
        <v>0.65130000036069735</v>
      </c>
      <c r="O221" s="84">
        <v>596.79124999999999</v>
      </c>
      <c r="P221" s="86">
        <v>74.7</v>
      </c>
      <c r="Q221" s="74"/>
      <c r="R221" s="84">
        <v>0.44580308400000002</v>
      </c>
      <c r="S221" s="85">
        <v>4.1338753693666258E-6</v>
      </c>
      <c r="T221" s="85">
        <f t="shared" si="3"/>
        <v>3.9957580875788423E-4</v>
      </c>
      <c r="U221" s="85">
        <f>R221/'סכום נכסי הקרן'!$C$42</f>
        <v>7.0758103433612928E-5</v>
      </c>
    </row>
    <row r="222" spans="2:21">
      <c r="B222" s="77" t="s">
        <v>820</v>
      </c>
      <c r="C222" s="74" t="s">
        <v>821</v>
      </c>
      <c r="D222" s="87" t="s">
        <v>107</v>
      </c>
      <c r="E222" s="87" t="s">
        <v>325</v>
      </c>
      <c r="F222" s="74" t="s">
        <v>632</v>
      </c>
      <c r="G222" s="87" t="s">
        <v>143</v>
      </c>
      <c r="H222" s="74" t="s">
        <v>633</v>
      </c>
      <c r="I222" s="74" t="s">
        <v>329</v>
      </c>
      <c r="J222" s="74"/>
      <c r="K222" s="84">
        <v>0.95000000040210419</v>
      </c>
      <c r="L222" s="87" t="s">
        <v>151</v>
      </c>
      <c r="M222" s="88">
        <v>4.2500000000000003E-2</v>
      </c>
      <c r="N222" s="88">
        <v>0.34789999995255172</v>
      </c>
      <c r="O222" s="84">
        <v>797.08922500000006</v>
      </c>
      <c r="P222" s="86">
        <v>78</v>
      </c>
      <c r="Q222" s="74"/>
      <c r="R222" s="84">
        <v>0.62172960499999996</v>
      </c>
      <c r="S222" s="85">
        <v>2.1217724452806365E-6</v>
      </c>
      <c r="T222" s="85">
        <f t="shared" si="3"/>
        <v>5.5725973790391023E-4</v>
      </c>
      <c r="U222" s="85">
        <f>R222/'סכום נכסי הקרן'!$C$42</f>
        <v>9.8681254745041874E-5</v>
      </c>
    </row>
    <row r="223" spans="2:21">
      <c r="B223" s="77" t="s">
        <v>822</v>
      </c>
      <c r="C223" s="74" t="s">
        <v>823</v>
      </c>
      <c r="D223" s="87" t="s">
        <v>107</v>
      </c>
      <c r="E223" s="87" t="s">
        <v>325</v>
      </c>
      <c r="F223" s="74" t="s">
        <v>632</v>
      </c>
      <c r="G223" s="87" t="s">
        <v>143</v>
      </c>
      <c r="H223" s="74" t="s">
        <v>633</v>
      </c>
      <c r="I223" s="74" t="s">
        <v>329</v>
      </c>
      <c r="J223" s="74"/>
      <c r="K223" s="84">
        <v>1.3800000009719442</v>
      </c>
      <c r="L223" s="87" t="s">
        <v>151</v>
      </c>
      <c r="M223" s="88">
        <v>3.7000000000000005E-2</v>
      </c>
      <c r="N223" s="88">
        <v>0.27380000012186689</v>
      </c>
      <c r="O223" s="84">
        <v>1419.1248399999999</v>
      </c>
      <c r="P223" s="86">
        <v>75.400000000000006</v>
      </c>
      <c r="Q223" s="74"/>
      <c r="R223" s="84">
        <v>1.0700201919999999</v>
      </c>
      <c r="S223" s="85">
        <v>7.1734239278810302E-6</v>
      </c>
      <c r="T223" s="85">
        <f t="shared" si="3"/>
        <v>9.5906510957574826E-4</v>
      </c>
      <c r="U223" s="85">
        <f>R223/'סכום נכסי הקרן'!$C$42</f>
        <v>1.6983417598248455E-4</v>
      </c>
    </row>
    <row r="224" spans="2:21">
      <c r="B224" s="77" t="s">
        <v>824</v>
      </c>
      <c r="C224" s="74" t="s">
        <v>825</v>
      </c>
      <c r="D224" s="87" t="s">
        <v>107</v>
      </c>
      <c r="E224" s="87" t="s">
        <v>325</v>
      </c>
      <c r="F224" s="74" t="s">
        <v>826</v>
      </c>
      <c r="G224" s="87" t="s">
        <v>694</v>
      </c>
      <c r="H224" s="74" t="s">
        <v>629</v>
      </c>
      <c r="I224" s="74" t="s">
        <v>147</v>
      </c>
      <c r="J224" s="74"/>
      <c r="K224" s="84">
        <v>3.0600000011498936</v>
      </c>
      <c r="L224" s="87" t="s">
        <v>151</v>
      </c>
      <c r="M224" s="88">
        <v>3.7499999999999999E-2</v>
      </c>
      <c r="N224" s="88">
        <v>2.180000000949912E-2</v>
      </c>
      <c r="O224" s="84">
        <v>378.07117399999993</v>
      </c>
      <c r="P224" s="86">
        <v>105.81</v>
      </c>
      <c r="Q224" s="74"/>
      <c r="R224" s="84">
        <v>0.400037109</v>
      </c>
      <c r="S224" s="85">
        <v>8.1984182629355819E-7</v>
      </c>
      <c r="T224" s="85">
        <f t="shared" si="3"/>
        <v>3.5855550824731596E-4</v>
      </c>
      <c r="U224" s="85">
        <f>R224/'סכום נכסי הקרן'!$C$42</f>
        <v>6.3494103454666734E-5</v>
      </c>
    </row>
    <row r="225" spans="2:21">
      <c r="B225" s="77" t="s">
        <v>827</v>
      </c>
      <c r="C225" s="74" t="s">
        <v>828</v>
      </c>
      <c r="D225" s="87" t="s">
        <v>107</v>
      </c>
      <c r="E225" s="87" t="s">
        <v>325</v>
      </c>
      <c r="F225" s="74" t="s">
        <v>826</v>
      </c>
      <c r="G225" s="87" t="s">
        <v>694</v>
      </c>
      <c r="H225" s="74" t="s">
        <v>633</v>
      </c>
      <c r="I225" s="74" t="s">
        <v>329</v>
      </c>
      <c r="J225" s="74"/>
      <c r="K225" s="84">
        <v>6.0100000011243457</v>
      </c>
      <c r="L225" s="87" t="s">
        <v>151</v>
      </c>
      <c r="M225" s="88">
        <v>3.7499999999999999E-2</v>
      </c>
      <c r="N225" s="88">
        <v>2.4300000006473508E-2</v>
      </c>
      <c r="O225" s="84">
        <v>1884.8886299999999</v>
      </c>
      <c r="P225" s="86">
        <v>109</v>
      </c>
      <c r="Q225" s="74"/>
      <c r="R225" s="84">
        <v>2.0545286689999998</v>
      </c>
      <c r="S225" s="85">
        <v>5.0942935945945942E-6</v>
      </c>
      <c r="T225" s="85">
        <f t="shared" si="3"/>
        <v>1.8414855885831743E-3</v>
      </c>
      <c r="U225" s="85">
        <f>R225/'סכום נכסי הקרן'!$C$42</f>
        <v>3.2609588691949259E-4</v>
      </c>
    </row>
    <row r="226" spans="2:21">
      <c r="B226" s="77" t="s">
        <v>829</v>
      </c>
      <c r="C226" s="74" t="s">
        <v>830</v>
      </c>
      <c r="D226" s="87" t="s">
        <v>107</v>
      </c>
      <c r="E226" s="87" t="s">
        <v>325</v>
      </c>
      <c r="F226" s="74" t="s">
        <v>831</v>
      </c>
      <c r="G226" s="87" t="s">
        <v>138</v>
      </c>
      <c r="H226" s="74" t="s">
        <v>633</v>
      </c>
      <c r="I226" s="74" t="s">
        <v>329</v>
      </c>
      <c r="J226" s="74"/>
      <c r="K226" s="84">
        <v>1.6500000012340756</v>
      </c>
      <c r="L226" s="87" t="s">
        <v>151</v>
      </c>
      <c r="M226" s="88">
        <v>3.4000000000000002E-2</v>
      </c>
      <c r="N226" s="88">
        <v>5.6399999986836515E-2</v>
      </c>
      <c r="O226" s="84">
        <v>125.25605299999999</v>
      </c>
      <c r="P226" s="86">
        <v>97.04</v>
      </c>
      <c r="Q226" s="74"/>
      <c r="R226" s="84">
        <v>0.12154846900000001</v>
      </c>
      <c r="S226" s="85">
        <v>2.5389784853630684E-7</v>
      </c>
      <c r="T226" s="85">
        <f t="shared" si="3"/>
        <v>1.0894457563680205E-4</v>
      </c>
      <c r="U226" s="85">
        <f>R226/'סכום נכסי הקרן'!$C$42</f>
        <v>1.9292237874467673E-5</v>
      </c>
    </row>
    <row r="227" spans="2:21">
      <c r="B227" s="77" t="s">
        <v>832</v>
      </c>
      <c r="C227" s="74" t="s">
        <v>833</v>
      </c>
      <c r="D227" s="87" t="s">
        <v>107</v>
      </c>
      <c r="E227" s="87" t="s">
        <v>325</v>
      </c>
      <c r="F227" s="74" t="s">
        <v>834</v>
      </c>
      <c r="G227" s="87" t="s">
        <v>1335</v>
      </c>
      <c r="H227" s="74" t="s">
        <v>629</v>
      </c>
      <c r="I227" s="74" t="s">
        <v>147</v>
      </c>
      <c r="J227" s="74"/>
      <c r="K227" s="84">
        <v>1.969999820162007</v>
      </c>
      <c r="L227" s="87" t="s">
        <v>151</v>
      </c>
      <c r="M227" s="88">
        <v>6.7500000000000004E-2</v>
      </c>
      <c r="N227" s="88">
        <v>6.039999664959355E-2</v>
      </c>
      <c r="O227" s="84">
        <v>3.962523</v>
      </c>
      <c r="P227" s="86">
        <v>102.44</v>
      </c>
      <c r="Q227" s="74"/>
      <c r="R227" s="84">
        <v>4.0592090000000003E-3</v>
      </c>
      <c r="S227" s="85">
        <v>5.9460289386244196E-9</v>
      </c>
      <c r="T227" s="85">
        <f t="shared" si="3"/>
        <v>3.6382918317637358E-6</v>
      </c>
      <c r="U227" s="85">
        <f>R227/'סכום נכסי הקרן'!$C$42</f>
        <v>6.4427981902577529E-7</v>
      </c>
    </row>
    <row r="228" spans="2:21">
      <c r="B228" s="77" t="s">
        <v>835</v>
      </c>
      <c r="C228" s="74" t="s">
        <v>836</v>
      </c>
      <c r="D228" s="87" t="s">
        <v>107</v>
      </c>
      <c r="E228" s="87" t="s">
        <v>325</v>
      </c>
      <c r="F228" s="74" t="s">
        <v>837</v>
      </c>
      <c r="G228" s="87" t="s">
        <v>143</v>
      </c>
      <c r="H228" s="74" t="s">
        <v>633</v>
      </c>
      <c r="I228" s="74" t="s">
        <v>329</v>
      </c>
      <c r="J228" s="74"/>
      <c r="K228" s="84">
        <v>2.3300000004160109</v>
      </c>
      <c r="L228" s="87" t="s">
        <v>151</v>
      </c>
      <c r="M228" s="88">
        <v>2.9500000000000002E-2</v>
      </c>
      <c r="N228" s="88">
        <v>5.5700000018602751E-2</v>
      </c>
      <c r="O228" s="84">
        <v>1341.057957</v>
      </c>
      <c r="P228" s="86">
        <v>95</v>
      </c>
      <c r="Q228" s="74"/>
      <c r="R228" s="84">
        <v>1.2740050590000001</v>
      </c>
      <c r="S228" s="85">
        <v>7.5003577448912398E-6</v>
      </c>
      <c r="T228" s="85">
        <f t="shared" si="3"/>
        <v>1.1418978918763178E-3</v>
      </c>
      <c r="U228" s="85">
        <f>R228/'סכום נכסי הקרן'!$C$42</f>
        <v>2.0221076294678152E-4</v>
      </c>
    </row>
    <row r="229" spans="2:21">
      <c r="B229" s="77" t="s">
        <v>838</v>
      </c>
      <c r="C229" s="74" t="s">
        <v>839</v>
      </c>
      <c r="D229" s="87" t="s">
        <v>107</v>
      </c>
      <c r="E229" s="87" t="s">
        <v>325</v>
      </c>
      <c r="F229" s="74" t="s">
        <v>598</v>
      </c>
      <c r="G229" s="87" t="s">
        <v>461</v>
      </c>
      <c r="H229" s="74" t="s">
        <v>629</v>
      </c>
      <c r="I229" s="74" t="s">
        <v>147</v>
      </c>
      <c r="J229" s="74"/>
      <c r="K229" s="84">
        <v>7.9699999990617627</v>
      </c>
      <c r="L229" s="87" t="s">
        <v>151</v>
      </c>
      <c r="M229" s="88">
        <v>3.4300000000000004E-2</v>
      </c>
      <c r="N229" s="88">
        <v>2.9999999996007502E-2</v>
      </c>
      <c r="O229" s="84">
        <v>2396.8385210000001</v>
      </c>
      <c r="P229" s="86">
        <v>104.5</v>
      </c>
      <c r="Q229" s="74"/>
      <c r="R229" s="84">
        <v>2.5046962549999998</v>
      </c>
      <c r="S229" s="85">
        <v>9.4408323656845761E-6</v>
      </c>
      <c r="T229" s="85">
        <f t="shared" si="3"/>
        <v>2.2449733250038905E-3</v>
      </c>
      <c r="U229" s="85">
        <f>R229/'סכום נכסי הקרן'!$C$42</f>
        <v>3.9754672644003717E-4</v>
      </c>
    </row>
    <row r="230" spans="2:21">
      <c r="B230" s="77" t="s">
        <v>840</v>
      </c>
      <c r="C230" s="74" t="s">
        <v>841</v>
      </c>
      <c r="D230" s="87" t="s">
        <v>107</v>
      </c>
      <c r="E230" s="87" t="s">
        <v>325</v>
      </c>
      <c r="F230" s="74" t="s">
        <v>842</v>
      </c>
      <c r="G230" s="87" t="s">
        <v>1335</v>
      </c>
      <c r="H230" s="74" t="s">
        <v>633</v>
      </c>
      <c r="I230" s="74" t="s">
        <v>329</v>
      </c>
      <c r="J230" s="74"/>
      <c r="K230" s="84">
        <v>4.1199999997378818</v>
      </c>
      <c r="L230" s="87" t="s">
        <v>151</v>
      </c>
      <c r="M230" s="88">
        <v>3.9E-2</v>
      </c>
      <c r="N230" s="88">
        <v>4.1599999996505092E-2</v>
      </c>
      <c r="O230" s="84">
        <v>2280.1486500000001</v>
      </c>
      <c r="P230" s="86">
        <v>100.39</v>
      </c>
      <c r="Q230" s="74"/>
      <c r="R230" s="84">
        <v>2.2890412299999996</v>
      </c>
      <c r="S230" s="85">
        <v>5.4174455320867688E-6</v>
      </c>
      <c r="T230" s="85">
        <f t="shared" ref="T230:T254" si="4">R230/$R$11</f>
        <v>2.0516805145237441E-3</v>
      </c>
      <c r="U230" s="85">
        <f>R230/'סכום נכסי הקרן'!$C$42</f>
        <v>3.6331784576919729E-4</v>
      </c>
    </row>
    <row r="231" spans="2:21">
      <c r="B231" s="77" t="s">
        <v>843</v>
      </c>
      <c r="C231" s="74" t="s">
        <v>844</v>
      </c>
      <c r="D231" s="87" t="s">
        <v>107</v>
      </c>
      <c r="E231" s="87" t="s">
        <v>325</v>
      </c>
      <c r="F231" s="74" t="s">
        <v>845</v>
      </c>
      <c r="G231" s="87" t="s">
        <v>178</v>
      </c>
      <c r="H231" s="74" t="s">
        <v>633</v>
      </c>
      <c r="I231" s="74" t="s">
        <v>329</v>
      </c>
      <c r="J231" s="74"/>
      <c r="K231" s="84">
        <v>1.2300000004415395</v>
      </c>
      <c r="L231" s="87" t="s">
        <v>151</v>
      </c>
      <c r="M231" s="88">
        <v>1.44E-2</v>
      </c>
      <c r="N231" s="88">
        <v>2.7400000003491246E-2</v>
      </c>
      <c r="O231" s="84">
        <v>989.49924700000008</v>
      </c>
      <c r="P231" s="86">
        <v>98.42</v>
      </c>
      <c r="Q231" s="74"/>
      <c r="R231" s="84">
        <v>0.97386515899999992</v>
      </c>
      <c r="S231" s="85">
        <v>4.5294962070304067E-6</v>
      </c>
      <c r="T231" s="85">
        <f t="shared" si="4"/>
        <v>8.7288081328874454E-4</v>
      </c>
      <c r="U231" s="85">
        <f>R231/'סכום נכסי הקרן'!$C$42</f>
        <v>1.5457239782332659E-4</v>
      </c>
    </row>
    <row r="232" spans="2:21">
      <c r="B232" s="77" t="s">
        <v>846</v>
      </c>
      <c r="C232" s="74" t="s">
        <v>847</v>
      </c>
      <c r="D232" s="87" t="s">
        <v>107</v>
      </c>
      <c r="E232" s="87" t="s">
        <v>325</v>
      </c>
      <c r="F232" s="74" t="s">
        <v>845</v>
      </c>
      <c r="G232" s="87" t="s">
        <v>178</v>
      </c>
      <c r="H232" s="74" t="s">
        <v>633</v>
      </c>
      <c r="I232" s="74" t="s">
        <v>329</v>
      </c>
      <c r="J232" s="74"/>
      <c r="K232" s="84">
        <v>2.1699999999458748</v>
      </c>
      <c r="L232" s="87" t="s">
        <v>151</v>
      </c>
      <c r="M232" s="88">
        <v>2.1600000000000001E-2</v>
      </c>
      <c r="N232" s="88">
        <v>1.600000000115983E-2</v>
      </c>
      <c r="O232" s="84">
        <v>5081.7027349999998</v>
      </c>
      <c r="P232" s="86">
        <v>101.8</v>
      </c>
      <c r="Q232" s="74"/>
      <c r="R232" s="84">
        <v>5.173173384</v>
      </c>
      <c r="S232" s="85">
        <v>4.9782399736280877E-6</v>
      </c>
      <c r="T232" s="85">
        <f t="shared" si="4"/>
        <v>4.6367443675121838E-3</v>
      </c>
      <c r="U232" s="85">
        <f>R232/'סכום נכסי הקרן'!$C$42</f>
        <v>8.210888406170949E-4</v>
      </c>
    </row>
    <row r="233" spans="2:21">
      <c r="B233" s="77" t="s">
        <v>848</v>
      </c>
      <c r="C233" s="74" t="s">
        <v>849</v>
      </c>
      <c r="D233" s="87" t="s">
        <v>107</v>
      </c>
      <c r="E233" s="87" t="s">
        <v>325</v>
      </c>
      <c r="F233" s="74" t="s">
        <v>850</v>
      </c>
      <c r="G233" s="87" t="s">
        <v>851</v>
      </c>
      <c r="H233" s="74" t="s">
        <v>629</v>
      </c>
      <c r="I233" s="74" t="s">
        <v>147</v>
      </c>
      <c r="J233" s="74"/>
      <c r="K233" s="84">
        <v>2.9599999978314107</v>
      </c>
      <c r="L233" s="87" t="s">
        <v>151</v>
      </c>
      <c r="M233" s="88">
        <v>3.2500000000000001E-2</v>
      </c>
      <c r="N233" s="88">
        <v>0.19949999972267077</v>
      </c>
      <c r="O233" s="84">
        <v>385.13843000000003</v>
      </c>
      <c r="P233" s="86">
        <v>62.26</v>
      </c>
      <c r="Q233" s="74"/>
      <c r="R233" s="84">
        <v>0.23978718699999998</v>
      </c>
      <c r="S233" s="85">
        <v>5.2638413870771996E-7</v>
      </c>
      <c r="T233" s="85">
        <f t="shared" si="4"/>
        <v>2.1492260285777435E-4</v>
      </c>
      <c r="U233" s="85">
        <f>R233/'סכום נכסי הקרן'!$C$42</f>
        <v>3.8059150303682243E-5</v>
      </c>
    </row>
    <row r="234" spans="2:21">
      <c r="B234" s="77" t="s">
        <v>852</v>
      </c>
      <c r="C234" s="74" t="s">
        <v>853</v>
      </c>
      <c r="D234" s="87" t="s">
        <v>107</v>
      </c>
      <c r="E234" s="87" t="s">
        <v>325</v>
      </c>
      <c r="F234" s="74" t="s">
        <v>850</v>
      </c>
      <c r="G234" s="87" t="s">
        <v>851</v>
      </c>
      <c r="H234" s="74" t="s">
        <v>629</v>
      </c>
      <c r="I234" s="74" t="s">
        <v>147</v>
      </c>
      <c r="J234" s="74"/>
      <c r="K234" s="84">
        <v>4.6900000015246013</v>
      </c>
      <c r="L234" s="87" t="s">
        <v>151</v>
      </c>
      <c r="M234" s="88">
        <v>2.1600000000000001E-2</v>
      </c>
      <c r="N234" s="88">
        <v>0.13360000005747927</v>
      </c>
      <c r="O234" s="84">
        <v>1946.25</v>
      </c>
      <c r="P234" s="86">
        <v>58.64</v>
      </c>
      <c r="Q234" s="74"/>
      <c r="R234" s="84">
        <v>1.141280954</v>
      </c>
      <c r="S234" s="85">
        <v>8.4981289925378025E-6</v>
      </c>
      <c r="T234" s="85">
        <f t="shared" si="4"/>
        <v>1.0229365309068154E-3</v>
      </c>
      <c r="U234" s="85">
        <f>R234/'סכום נכסי הקרן'!$C$42</f>
        <v>1.8114472216155514E-4</v>
      </c>
    </row>
    <row r="235" spans="2:21">
      <c r="B235" s="77" t="s">
        <v>854</v>
      </c>
      <c r="C235" s="74" t="s">
        <v>855</v>
      </c>
      <c r="D235" s="87" t="s">
        <v>107</v>
      </c>
      <c r="E235" s="87" t="s">
        <v>325</v>
      </c>
      <c r="F235" s="74" t="s">
        <v>808</v>
      </c>
      <c r="G235" s="87" t="s">
        <v>138</v>
      </c>
      <c r="H235" s="74" t="s">
        <v>629</v>
      </c>
      <c r="I235" s="74" t="s">
        <v>147</v>
      </c>
      <c r="J235" s="74"/>
      <c r="K235" s="84">
        <v>2.0499999996297693</v>
      </c>
      <c r="L235" s="87" t="s">
        <v>151</v>
      </c>
      <c r="M235" s="88">
        <v>2.4E-2</v>
      </c>
      <c r="N235" s="88">
        <v>5.8099999989386718E-2</v>
      </c>
      <c r="O235" s="84">
        <v>865.24987299999998</v>
      </c>
      <c r="P235" s="86">
        <v>93.65</v>
      </c>
      <c r="Q235" s="74"/>
      <c r="R235" s="84">
        <v>0.81030650600000009</v>
      </c>
      <c r="S235" s="85">
        <v>2.8929455810058347E-6</v>
      </c>
      <c r="T235" s="85">
        <f t="shared" si="4"/>
        <v>7.2628227371510372E-4</v>
      </c>
      <c r="U235" s="85">
        <f>R235/'סכום נכסי הקרן'!$C$42</f>
        <v>1.2861228112203346E-4</v>
      </c>
    </row>
    <row r="236" spans="2:21">
      <c r="B236" s="77" t="s">
        <v>856</v>
      </c>
      <c r="C236" s="74" t="s">
        <v>857</v>
      </c>
      <c r="D236" s="87" t="s">
        <v>107</v>
      </c>
      <c r="E236" s="87" t="s">
        <v>325</v>
      </c>
      <c r="F236" s="74" t="s">
        <v>858</v>
      </c>
      <c r="G236" s="87" t="s">
        <v>859</v>
      </c>
      <c r="H236" s="74" t="s">
        <v>633</v>
      </c>
      <c r="I236" s="74" t="s">
        <v>329</v>
      </c>
      <c r="J236" s="74"/>
      <c r="K236" s="84">
        <v>4.8999999987497755</v>
      </c>
      <c r="L236" s="87" t="s">
        <v>151</v>
      </c>
      <c r="M236" s="88">
        <v>2.6200000000000001E-2</v>
      </c>
      <c r="N236" s="88">
        <v>1.8499999994641893E-2</v>
      </c>
      <c r="O236" s="84">
        <v>1072.0907299999999</v>
      </c>
      <c r="P236" s="86">
        <v>104.45</v>
      </c>
      <c r="Q236" s="74"/>
      <c r="R236" s="84">
        <v>1.119798756</v>
      </c>
      <c r="S236" s="85">
        <v>2.2238353920607156E-6</v>
      </c>
      <c r="T236" s="85">
        <f t="shared" si="4"/>
        <v>1.0036819161501644E-3</v>
      </c>
      <c r="U236" s="85">
        <f>R236/'סכום נכסי הקרן'!$C$42</f>
        <v>1.7773505622917376E-4</v>
      </c>
    </row>
    <row r="237" spans="2:21">
      <c r="B237" s="77" t="s">
        <v>860</v>
      </c>
      <c r="C237" s="74" t="s">
        <v>861</v>
      </c>
      <c r="D237" s="87" t="s">
        <v>107</v>
      </c>
      <c r="E237" s="87" t="s">
        <v>325</v>
      </c>
      <c r="F237" s="74" t="s">
        <v>858</v>
      </c>
      <c r="G237" s="87" t="s">
        <v>859</v>
      </c>
      <c r="H237" s="74" t="s">
        <v>633</v>
      </c>
      <c r="I237" s="74" t="s">
        <v>329</v>
      </c>
      <c r="J237" s="74"/>
      <c r="K237" s="84">
        <v>2.8899999994915935</v>
      </c>
      <c r="L237" s="87" t="s">
        <v>151</v>
      </c>
      <c r="M237" s="88">
        <v>3.3500000000000002E-2</v>
      </c>
      <c r="N237" s="88">
        <v>1.469999999322124E-2</v>
      </c>
      <c r="O237" s="84">
        <v>1101.457594</v>
      </c>
      <c r="P237" s="86">
        <v>105.47</v>
      </c>
      <c r="Q237" s="84">
        <v>1.8449414999999997E-2</v>
      </c>
      <c r="R237" s="84">
        <v>1.1801567399999999</v>
      </c>
      <c r="S237" s="85">
        <v>2.6714747642026549E-6</v>
      </c>
      <c r="T237" s="85">
        <f t="shared" si="4"/>
        <v>1.0577811163068761E-3</v>
      </c>
      <c r="U237" s="85">
        <f>R237/'סכום נכסי הקרן'!$C$42</f>
        <v>1.8731510766487974E-4</v>
      </c>
    </row>
    <row r="238" spans="2:21">
      <c r="B238" s="77" t="s">
        <v>862</v>
      </c>
      <c r="C238" s="74" t="s">
        <v>863</v>
      </c>
      <c r="D238" s="87" t="s">
        <v>107</v>
      </c>
      <c r="E238" s="87" t="s">
        <v>325</v>
      </c>
      <c r="F238" s="74" t="s">
        <v>628</v>
      </c>
      <c r="G238" s="87" t="s">
        <v>335</v>
      </c>
      <c r="H238" s="74" t="s">
        <v>651</v>
      </c>
      <c r="I238" s="74" t="s">
        <v>147</v>
      </c>
      <c r="J238" s="74"/>
      <c r="K238" s="84">
        <v>0.44000000173214848</v>
      </c>
      <c r="L238" s="87" t="s">
        <v>151</v>
      </c>
      <c r="M238" s="88">
        <v>2.6200000000000001E-2</v>
      </c>
      <c r="N238" s="88">
        <v>3.2699999922053323E-2</v>
      </c>
      <c r="O238" s="84">
        <v>184.92660100000001</v>
      </c>
      <c r="P238" s="86">
        <v>99.9</v>
      </c>
      <c r="Q238" s="74"/>
      <c r="R238" s="84">
        <v>0.184741672</v>
      </c>
      <c r="S238" s="85">
        <v>1.9157819596386542E-6</v>
      </c>
      <c r="T238" s="85">
        <f t="shared" si="4"/>
        <v>1.6558499851177292E-4</v>
      </c>
      <c r="U238" s="85">
        <f>R238/'סכום נכסי הקרן'!$C$42</f>
        <v>2.9322296783111959E-5</v>
      </c>
    </row>
    <row r="239" spans="2:21">
      <c r="B239" s="77" t="s">
        <v>864</v>
      </c>
      <c r="C239" s="74" t="s">
        <v>865</v>
      </c>
      <c r="D239" s="87" t="s">
        <v>107</v>
      </c>
      <c r="E239" s="87" t="s">
        <v>325</v>
      </c>
      <c r="F239" s="74" t="s">
        <v>866</v>
      </c>
      <c r="G239" s="87" t="s">
        <v>1335</v>
      </c>
      <c r="H239" s="74" t="s">
        <v>651</v>
      </c>
      <c r="I239" s="74" t="s">
        <v>147</v>
      </c>
      <c r="J239" s="74"/>
      <c r="K239" s="84">
        <v>3.3899999993090795</v>
      </c>
      <c r="L239" s="87" t="s">
        <v>151</v>
      </c>
      <c r="M239" s="88">
        <v>3.95E-2</v>
      </c>
      <c r="N239" s="88">
        <v>0.12149999996682213</v>
      </c>
      <c r="O239" s="84">
        <v>1878.9430540000001</v>
      </c>
      <c r="P239" s="86">
        <v>77.8</v>
      </c>
      <c r="Q239" s="74"/>
      <c r="R239" s="84">
        <v>1.4618177590000001</v>
      </c>
      <c r="S239" s="85">
        <v>3.2005352908461749E-6</v>
      </c>
      <c r="T239" s="85">
        <f t="shared" si="4"/>
        <v>1.3102354700378494E-3</v>
      </c>
      <c r="U239" s="85">
        <f>R239/'סכום נכסי הקרן'!$C$42</f>
        <v>2.3202049493317156E-4</v>
      </c>
    </row>
    <row r="240" spans="2:21">
      <c r="B240" s="77" t="s">
        <v>867</v>
      </c>
      <c r="C240" s="74" t="s">
        <v>868</v>
      </c>
      <c r="D240" s="87" t="s">
        <v>107</v>
      </c>
      <c r="E240" s="87" t="s">
        <v>325</v>
      </c>
      <c r="F240" s="74" t="s">
        <v>866</v>
      </c>
      <c r="G240" s="87" t="s">
        <v>1335</v>
      </c>
      <c r="H240" s="74" t="s">
        <v>651</v>
      </c>
      <c r="I240" s="74" t="s">
        <v>147</v>
      </c>
      <c r="J240" s="74"/>
      <c r="K240" s="84">
        <v>3.9199999997641277</v>
      </c>
      <c r="L240" s="87" t="s">
        <v>151</v>
      </c>
      <c r="M240" s="88">
        <v>0.03</v>
      </c>
      <c r="N240" s="88">
        <v>4.2299999999410323E-2</v>
      </c>
      <c r="O240" s="84">
        <v>3179.7017409999999</v>
      </c>
      <c r="P240" s="86">
        <v>96</v>
      </c>
      <c r="Q240" s="74"/>
      <c r="R240" s="84">
        <v>3.052513566</v>
      </c>
      <c r="S240" s="85">
        <v>3.8765551759913877E-6</v>
      </c>
      <c r="T240" s="85">
        <f t="shared" si="4"/>
        <v>2.7359850585485478E-3</v>
      </c>
      <c r="U240" s="85">
        <f>R240/'סכום נכסי הקרן'!$C$42</f>
        <v>4.8449658243175057E-4</v>
      </c>
    </row>
    <row r="241" spans="2:21">
      <c r="B241" s="77" t="s">
        <v>869</v>
      </c>
      <c r="C241" s="74" t="s">
        <v>870</v>
      </c>
      <c r="D241" s="87" t="s">
        <v>107</v>
      </c>
      <c r="E241" s="87" t="s">
        <v>325</v>
      </c>
      <c r="F241" s="74" t="s">
        <v>871</v>
      </c>
      <c r="G241" s="87" t="s">
        <v>461</v>
      </c>
      <c r="H241" s="74" t="s">
        <v>651</v>
      </c>
      <c r="I241" s="74" t="s">
        <v>147</v>
      </c>
      <c r="J241" s="74"/>
      <c r="K241" s="84">
        <v>2.1899998749487843</v>
      </c>
      <c r="L241" s="87" t="s">
        <v>151</v>
      </c>
      <c r="M241" s="88">
        <v>4.3499999999999997E-2</v>
      </c>
      <c r="N241" s="88">
        <v>9.4999992644046131E-3</v>
      </c>
      <c r="O241" s="84">
        <v>5.0071560000000002</v>
      </c>
      <c r="P241" s="86">
        <v>108.6</v>
      </c>
      <c r="Q241" s="74"/>
      <c r="R241" s="84">
        <v>5.4377719999999996E-3</v>
      </c>
      <c r="S241" s="85">
        <v>2.8980790044856028E-8</v>
      </c>
      <c r="T241" s="85">
        <f t="shared" si="4"/>
        <v>4.8739055935758785E-6</v>
      </c>
      <c r="U241" s="85">
        <f>R241/'סכום נכסי הקרן'!$C$42</f>
        <v>8.6308607417440867E-7</v>
      </c>
    </row>
    <row r="242" spans="2:21">
      <c r="B242" s="77" t="s">
        <v>872</v>
      </c>
      <c r="C242" s="74" t="s">
        <v>873</v>
      </c>
      <c r="D242" s="87" t="s">
        <v>107</v>
      </c>
      <c r="E242" s="87" t="s">
        <v>325</v>
      </c>
      <c r="F242" s="74" t="s">
        <v>871</v>
      </c>
      <c r="G242" s="87" t="s">
        <v>461</v>
      </c>
      <c r="H242" s="74" t="s">
        <v>651</v>
      </c>
      <c r="I242" s="74" t="s">
        <v>147</v>
      </c>
      <c r="J242" s="74"/>
      <c r="K242" s="84">
        <v>5.1300000005054276</v>
      </c>
      <c r="L242" s="87" t="s">
        <v>151</v>
      </c>
      <c r="M242" s="88">
        <v>3.27E-2</v>
      </c>
      <c r="N242" s="88">
        <v>3.1900000003719189E-2</v>
      </c>
      <c r="O242" s="84">
        <v>1030.4803649999999</v>
      </c>
      <c r="P242" s="86">
        <v>101.76</v>
      </c>
      <c r="Q242" s="74"/>
      <c r="R242" s="84">
        <v>1.048616819</v>
      </c>
      <c r="S242" s="85">
        <v>4.6209881838565014E-6</v>
      </c>
      <c r="T242" s="85">
        <f t="shared" si="4"/>
        <v>9.3988114610944436E-4</v>
      </c>
      <c r="U242" s="85">
        <f>R242/'סכום נכסי הקרן'!$C$42</f>
        <v>1.6643702119617493E-4</v>
      </c>
    </row>
    <row r="243" spans="2:21">
      <c r="B243" s="77" t="s">
        <v>874</v>
      </c>
      <c r="C243" s="74" t="s">
        <v>875</v>
      </c>
      <c r="D243" s="87" t="s">
        <v>107</v>
      </c>
      <c r="E243" s="87" t="s">
        <v>325</v>
      </c>
      <c r="F243" s="74" t="s">
        <v>876</v>
      </c>
      <c r="G243" s="87" t="s">
        <v>177</v>
      </c>
      <c r="H243" s="74" t="s">
        <v>651</v>
      </c>
      <c r="I243" s="74" t="s">
        <v>147</v>
      </c>
      <c r="J243" s="74"/>
      <c r="K243" s="84">
        <v>5.6100000092221531</v>
      </c>
      <c r="L243" s="87" t="s">
        <v>151</v>
      </c>
      <c r="M243" s="88">
        <v>2.0499999999999997E-2</v>
      </c>
      <c r="N243" s="88">
        <v>3.0400000054692899E-2</v>
      </c>
      <c r="O243" s="84">
        <v>361.52450100000004</v>
      </c>
      <c r="P243" s="86">
        <v>95.08</v>
      </c>
      <c r="Q243" s="74"/>
      <c r="R243" s="84">
        <v>0.343737503</v>
      </c>
      <c r="S243" s="85">
        <v>8.4571486953714589E-7</v>
      </c>
      <c r="T243" s="85">
        <f t="shared" si="4"/>
        <v>3.0809385509239918E-4</v>
      </c>
      <c r="U243" s="85">
        <f>R243/'סכום נכסי הקרן'!$C$42</f>
        <v>5.4558199941222997E-5</v>
      </c>
    </row>
    <row r="244" spans="2:21">
      <c r="B244" s="77" t="s">
        <v>877</v>
      </c>
      <c r="C244" s="74" t="s">
        <v>878</v>
      </c>
      <c r="D244" s="87" t="s">
        <v>107</v>
      </c>
      <c r="E244" s="87" t="s">
        <v>325</v>
      </c>
      <c r="F244" s="74" t="s">
        <v>674</v>
      </c>
      <c r="G244" s="87" t="s">
        <v>178</v>
      </c>
      <c r="H244" s="74" t="s">
        <v>659</v>
      </c>
      <c r="I244" s="74" t="s">
        <v>329</v>
      </c>
      <c r="J244" s="74"/>
      <c r="K244" s="84">
        <v>2.6899999997788004</v>
      </c>
      <c r="L244" s="87" t="s">
        <v>151</v>
      </c>
      <c r="M244" s="88">
        <v>4.1399999999999999E-2</v>
      </c>
      <c r="N244" s="88">
        <v>3.5300000005055975E-2</v>
      </c>
      <c r="O244" s="84">
        <v>1232.6686259999999</v>
      </c>
      <c r="P244" s="86">
        <v>102.69</v>
      </c>
      <c r="Q244" s="74"/>
      <c r="R244" s="84">
        <v>1.2658274120000002</v>
      </c>
      <c r="S244" s="85">
        <v>1.9164387704320861E-6</v>
      </c>
      <c r="T244" s="85">
        <f t="shared" si="4"/>
        <v>1.1345682209273357E-3</v>
      </c>
      <c r="U244" s="85">
        <f>R244/'סכום נכסי הקרן'!$C$42</f>
        <v>2.0091280245023734E-4</v>
      </c>
    </row>
    <row r="245" spans="2:21">
      <c r="B245" s="77" t="s">
        <v>879</v>
      </c>
      <c r="C245" s="74" t="s">
        <v>880</v>
      </c>
      <c r="D245" s="87" t="s">
        <v>107</v>
      </c>
      <c r="E245" s="87" t="s">
        <v>325</v>
      </c>
      <c r="F245" s="74" t="s">
        <v>674</v>
      </c>
      <c r="G245" s="87" t="s">
        <v>178</v>
      </c>
      <c r="H245" s="74" t="s">
        <v>659</v>
      </c>
      <c r="I245" s="74" t="s">
        <v>329</v>
      </c>
      <c r="J245" s="74"/>
      <c r="K245" s="84">
        <v>5.0600000003175438</v>
      </c>
      <c r="L245" s="87" t="s">
        <v>151</v>
      </c>
      <c r="M245" s="88">
        <v>2.5000000000000001E-2</v>
      </c>
      <c r="N245" s="88">
        <v>4.130000000323019E-2</v>
      </c>
      <c r="O245" s="84">
        <v>3936.0417000000002</v>
      </c>
      <c r="P245" s="86">
        <v>92.81</v>
      </c>
      <c r="Q245" s="74"/>
      <c r="R245" s="84">
        <v>3.6530402140000002</v>
      </c>
      <c r="S245" s="85">
        <v>6.5276638701075526E-6</v>
      </c>
      <c r="T245" s="85">
        <f t="shared" si="4"/>
        <v>3.2742404669729125E-3</v>
      </c>
      <c r="U245" s="85">
        <f>R245/'סכום נכסי הקרן'!$C$42</f>
        <v>5.7981249252497206E-4</v>
      </c>
    </row>
    <row r="246" spans="2:21">
      <c r="B246" s="77" t="s">
        <v>881</v>
      </c>
      <c r="C246" s="74" t="s">
        <v>882</v>
      </c>
      <c r="D246" s="87" t="s">
        <v>107</v>
      </c>
      <c r="E246" s="87" t="s">
        <v>325</v>
      </c>
      <c r="F246" s="74" t="s">
        <v>674</v>
      </c>
      <c r="G246" s="87" t="s">
        <v>178</v>
      </c>
      <c r="H246" s="74" t="s">
        <v>659</v>
      </c>
      <c r="I246" s="74" t="s">
        <v>329</v>
      </c>
      <c r="J246" s="74"/>
      <c r="K246" s="84">
        <v>3.6400000002339263</v>
      </c>
      <c r="L246" s="87" t="s">
        <v>151</v>
      </c>
      <c r="M246" s="88">
        <v>3.5499999999999997E-2</v>
      </c>
      <c r="N246" s="88">
        <v>3.9300000003216477E-2</v>
      </c>
      <c r="O246" s="84">
        <v>1716.636524</v>
      </c>
      <c r="P246" s="86">
        <v>99.61</v>
      </c>
      <c r="Q246" s="74"/>
      <c r="R246" s="84">
        <v>1.7099415650000001</v>
      </c>
      <c r="S246" s="85">
        <v>2.4156408559117635E-6</v>
      </c>
      <c r="T246" s="85">
        <f t="shared" si="4"/>
        <v>1.5326302313413275E-3</v>
      </c>
      <c r="U246" s="85">
        <f>R246/'סכום נכסי הקרן'!$C$42</f>
        <v>2.7140283785408707E-4</v>
      </c>
    </row>
    <row r="247" spans="2:21">
      <c r="B247" s="77" t="s">
        <v>883</v>
      </c>
      <c r="C247" s="74" t="s">
        <v>884</v>
      </c>
      <c r="D247" s="87" t="s">
        <v>107</v>
      </c>
      <c r="E247" s="87" t="s">
        <v>325</v>
      </c>
      <c r="F247" s="74" t="s">
        <v>885</v>
      </c>
      <c r="G247" s="87" t="s">
        <v>465</v>
      </c>
      <c r="H247" s="74" t="s">
        <v>678</v>
      </c>
      <c r="I247" s="74" t="s">
        <v>147</v>
      </c>
      <c r="J247" s="74"/>
      <c r="K247" s="84">
        <v>5.0999999999999996</v>
      </c>
      <c r="L247" s="87" t="s">
        <v>151</v>
      </c>
      <c r="M247" s="88">
        <v>4.4500000000000005E-2</v>
      </c>
      <c r="N247" s="88">
        <v>0.03</v>
      </c>
      <c r="O247" s="84">
        <v>2157.4836329999998</v>
      </c>
      <c r="P247" s="86">
        <v>108.72</v>
      </c>
      <c r="Q247" s="74"/>
      <c r="R247" s="84">
        <v>2.3456162300000001</v>
      </c>
      <c r="S247" s="85">
        <v>7.5406960665753264E-6</v>
      </c>
      <c r="T247" s="85">
        <f t="shared" si="4"/>
        <v>2.102389004868054E-3</v>
      </c>
      <c r="U247" s="85">
        <f>R247/'סכום נכסי הקרן'!$C$42</f>
        <v>3.7229745996530879E-4</v>
      </c>
    </row>
    <row r="248" spans="2:21">
      <c r="B248" s="77" t="s">
        <v>886</v>
      </c>
      <c r="C248" s="74" t="s">
        <v>887</v>
      </c>
      <c r="D248" s="87" t="s">
        <v>107</v>
      </c>
      <c r="E248" s="87" t="s">
        <v>325</v>
      </c>
      <c r="F248" s="74" t="s">
        <v>888</v>
      </c>
      <c r="G248" s="87" t="s">
        <v>177</v>
      </c>
      <c r="H248" s="74" t="s">
        <v>678</v>
      </c>
      <c r="I248" s="74" t="s">
        <v>147</v>
      </c>
      <c r="J248" s="74"/>
      <c r="K248" s="84">
        <v>4.369999996388513</v>
      </c>
      <c r="L248" s="87" t="s">
        <v>151</v>
      </c>
      <c r="M248" s="88">
        <v>3.4500000000000003E-2</v>
      </c>
      <c r="N248" s="88">
        <v>2.6599999975544266E-2</v>
      </c>
      <c r="O248" s="84">
        <v>338.78206399999993</v>
      </c>
      <c r="P248" s="86">
        <v>103.8</v>
      </c>
      <c r="Q248" s="74"/>
      <c r="R248" s="84">
        <v>0.35165577100000001</v>
      </c>
      <c r="S248" s="85">
        <v>1.526045333333333E-6</v>
      </c>
      <c r="T248" s="85">
        <f t="shared" si="4"/>
        <v>3.1519104318646285E-4</v>
      </c>
      <c r="U248" s="85">
        <f>R248/'סכום נכסי הקרן'!$C$42</f>
        <v>5.58149916644473E-5</v>
      </c>
    </row>
    <row r="249" spans="2:21">
      <c r="B249" s="77" t="s">
        <v>889</v>
      </c>
      <c r="C249" s="74" t="s">
        <v>890</v>
      </c>
      <c r="D249" s="87" t="s">
        <v>107</v>
      </c>
      <c r="E249" s="87" t="s">
        <v>325</v>
      </c>
      <c r="F249" s="74" t="s">
        <v>684</v>
      </c>
      <c r="G249" s="87" t="s">
        <v>465</v>
      </c>
      <c r="H249" s="74" t="s">
        <v>685</v>
      </c>
      <c r="I249" s="74" t="s">
        <v>329</v>
      </c>
      <c r="J249" s="74"/>
      <c r="K249" s="84">
        <v>1.2000000006563687</v>
      </c>
      <c r="L249" s="87" t="s">
        <v>151</v>
      </c>
      <c r="M249" s="88">
        <v>0.06</v>
      </c>
      <c r="N249" s="88">
        <v>6.1600000018378322E-2</v>
      </c>
      <c r="O249" s="84">
        <v>1201.999065</v>
      </c>
      <c r="P249" s="86">
        <v>101.4</v>
      </c>
      <c r="Q249" s="74"/>
      <c r="R249" s="84">
        <v>1.2188270110000001</v>
      </c>
      <c r="S249" s="85">
        <v>4.3940898677619195E-6</v>
      </c>
      <c r="T249" s="85">
        <f t="shared" si="4"/>
        <v>1.0924414974578321E-3</v>
      </c>
      <c r="U249" s="85">
        <f>R249/'סכום נכסי הקרן'!$C$42</f>
        <v>1.9345287371771362E-4</v>
      </c>
    </row>
    <row r="250" spans="2:21">
      <c r="B250" s="77" t="s">
        <v>891</v>
      </c>
      <c r="C250" s="74" t="s">
        <v>892</v>
      </c>
      <c r="D250" s="87" t="s">
        <v>107</v>
      </c>
      <c r="E250" s="87" t="s">
        <v>325</v>
      </c>
      <c r="F250" s="74" t="s">
        <v>684</v>
      </c>
      <c r="G250" s="87" t="s">
        <v>465</v>
      </c>
      <c r="H250" s="74" t="s">
        <v>685</v>
      </c>
      <c r="I250" s="74" t="s">
        <v>329</v>
      </c>
      <c r="J250" s="74"/>
      <c r="K250" s="84">
        <v>2.5100000044339734</v>
      </c>
      <c r="L250" s="87" t="s">
        <v>151</v>
      </c>
      <c r="M250" s="88">
        <v>5.9000000000000004E-2</v>
      </c>
      <c r="N250" s="88">
        <v>4.2300000017614414E-2</v>
      </c>
      <c r="O250" s="84">
        <v>155.62707</v>
      </c>
      <c r="P250" s="86">
        <v>105.79</v>
      </c>
      <c r="Q250" s="74"/>
      <c r="R250" s="84">
        <v>0.16463787700000002</v>
      </c>
      <c r="S250" s="85">
        <v>1.841998680170019E-7</v>
      </c>
      <c r="T250" s="85">
        <f t="shared" si="4"/>
        <v>1.47565854108035E-4</v>
      </c>
      <c r="U250" s="85">
        <f>R250/'סכום נכסי הקרן'!$C$42</f>
        <v>2.6131411710593824E-5</v>
      </c>
    </row>
    <row r="251" spans="2:21">
      <c r="B251" s="77" t="s">
        <v>893</v>
      </c>
      <c r="C251" s="74" t="s">
        <v>894</v>
      </c>
      <c r="D251" s="87" t="s">
        <v>107</v>
      </c>
      <c r="E251" s="87" t="s">
        <v>325</v>
      </c>
      <c r="F251" s="74" t="s">
        <v>684</v>
      </c>
      <c r="G251" s="87" t="s">
        <v>465</v>
      </c>
      <c r="H251" s="74" t="s">
        <v>685</v>
      </c>
      <c r="I251" s="74" t="s">
        <v>329</v>
      </c>
      <c r="J251" s="74"/>
      <c r="K251" s="84">
        <v>5.2999999932559021</v>
      </c>
      <c r="L251" s="87" t="s">
        <v>151</v>
      </c>
      <c r="M251" s="88">
        <v>2.7000000000000003E-2</v>
      </c>
      <c r="N251" s="88">
        <v>5.6299999951506724E-2</v>
      </c>
      <c r="O251" s="84">
        <v>362.07369399999993</v>
      </c>
      <c r="P251" s="86">
        <v>86</v>
      </c>
      <c r="Q251" s="74"/>
      <c r="R251" s="84">
        <v>0.31138337700000002</v>
      </c>
      <c r="S251" s="85">
        <v>5.1715947837513561E-7</v>
      </c>
      <c r="T251" s="85">
        <f t="shared" si="4"/>
        <v>2.7909467018971131E-4</v>
      </c>
      <c r="U251" s="85">
        <f>R251/'סכום נכסי הקרן'!$C$42</f>
        <v>4.9422935793942799E-5</v>
      </c>
    </row>
    <row r="252" spans="2:21">
      <c r="B252" s="77" t="s">
        <v>895</v>
      </c>
      <c r="C252" s="74" t="s">
        <v>896</v>
      </c>
      <c r="D252" s="87" t="s">
        <v>107</v>
      </c>
      <c r="E252" s="87" t="s">
        <v>325</v>
      </c>
      <c r="F252" s="74" t="s">
        <v>897</v>
      </c>
      <c r="G252" s="87" t="s">
        <v>1335</v>
      </c>
      <c r="H252" s="74" t="s">
        <v>678</v>
      </c>
      <c r="I252" s="74" t="s">
        <v>147</v>
      </c>
      <c r="J252" s="74"/>
      <c r="K252" s="84">
        <v>2.8700000001743975</v>
      </c>
      <c r="L252" s="87" t="s">
        <v>151</v>
      </c>
      <c r="M252" s="88">
        <v>4.5999999999999999E-2</v>
      </c>
      <c r="N252" s="88">
        <v>0.13419999999883736</v>
      </c>
      <c r="O252" s="84">
        <v>1087.090565</v>
      </c>
      <c r="P252" s="86">
        <v>79.12</v>
      </c>
      <c r="Q252" s="74"/>
      <c r="R252" s="84">
        <v>0.86010605499999981</v>
      </c>
      <c r="S252" s="85">
        <v>4.5495536401758728E-6</v>
      </c>
      <c r="T252" s="85">
        <f t="shared" si="4"/>
        <v>7.7091788926291545E-4</v>
      </c>
      <c r="U252" s="85">
        <f>R252/'סכום נכסי הקרן'!$C$42</f>
        <v>1.3651649211912303E-4</v>
      </c>
    </row>
    <row r="253" spans="2:21">
      <c r="B253" s="77" t="s">
        <v>898</v>
      </c>
      <c r="C253" s="74" t="s">
        <v>899</v>
      </c>
      <c r="D253" s="87" t="s">
        <v>107</v>
      </c>
      <c r="E253" s="87" t="s">
        <v>325</v>
      </c>
      <c r="F253" s="74" t="s">
        <v>900</v>
      </c>
      <c r="G253" s="87" t="s">
        <v>465</v>
      </c>
      <c r="H253" s="74" t="s">
        <v>901</v>
      </c>
      <c r="I253" s="74" t="s">
        <v>329</v>
      </c>
      <c r="J253" s="74"/>
      <c r="K253" s="84">
        <v>0.65999999739434989</v>
      </c>
      <c r="L253" s="87" t="s">
        <v>151</v>
      </c>
      <c r="M253" s="88">
        <v>4.7E-2</v>
      </c>
      <c r="N253" s="88">
        <v>7.0400000156339002E-2</v>
      </c>
      <c r="O253" s="84">
        <v>99.663567999999998</v>
      </c>
      <c r="P253" s="86">
        <v>100.12</v>
      </c>
      <c r="Q253" s="74"/>
      <c r="R253" s="84">
        <v>9.9783161000000009E-2</v>
      </c>
      <c r="S253" s="85">
        <v>4.5242395409645551E-6</v>
      </c>
      <c r="T253" s="85">
        <f t="shared" si="4"/>
        <v>8.9436207796609091E-5</v>
      </c>
      <c r="U253" s="85">
        <f>R253/'סכום נכסי הקרן'!$C$42</f>
        <v>1.5837636571780315E-5</v>
      </c>
    </row>
    <row r="254" spans="2:21">
      <c r="B254" s="77" t="s">
        <v>905</v>
      </c>
      <c r="C254" s="74" t="s">
        <v>906</v>
      </c>
      <c r="D254" s="87" t="s">
        <v>107</v>
      </c>
      <c r="E254" s="87" t="s">
        <v>325</v>
      </c>
      <c r="F254" s="74" t="s">
        <v>907</v>
      </c>
      <c r="G254" s="87" t="s">
        <v>1335</v>
      </c>
      <c r="H254" s="74" t="s">
        <v>908</v>
      </c>
      <c r="I254" s="74" t="s">
        <v>329</v>
      </c>
      <c r="J254" s="74"/>
      <c r="K254" s="84">
        <v>0.50000000014641943</v>
      </c>
      <c r="L254" s="87" t="s">
        <v>151</v>
      </c>
      <c r="M254" s="88">
        <v>6.0999999999999999E-2</v>
      </c>
      <c r="N254" s="88">
        <v>0.37580000002664832</v>
      </c>
      <c r="O254" s="84">
        <v>3880.5096990000002</v>
      </c>
      <c r="P254" s="86">
        <v>88</v>
      </c>
      <c r="Q254" s="74"/>
      <c r="R254" s="84">
        <v>3.4148484049999999</v>
      </c>
      <c r="S254" s="85">
        <v>5.7268443019480523E-6</v>
      </c>
      <c r="T254" s="85">
        <f t="shared" si="4"/>
        <v>3.0607478103795395E-3</v>
      </c>
      <c r="U254" s="85">
        <f>R254/'סכום נכסי הקרן'!$C$42</f>
        <v>5.4200656146896034E-4</v>
      </c>
    </row>
    <row r="255" spans="2:21">
      <c r="B255" s="77" t="s">
        <v>909</v>
      </c>
      <c r="C255" s="74" t="s">
        <v>910</v>
      </c>
      <c r="D255" s="87" t="s">
        <v>107</v>
      </c>
      <c r="E255" s="87" t="s">
        <v>325</v>
      </c>
      <c r="F255" s="74" t="s">
        <v>888</v>
      </c>
      <c r="G255" s="87" t="s">
        <v>177</v>
      </c>
      <c r="H255" s="74" t="s">
        <v>698</v>
      </c>
      <c r="I255" s="74"/>
      <c r="J255" s="74"/>
      <c r="K255" s="84">
        <v>3.7100000096239643</v>
      </c>
      <c r="L255" s="87" t="s">
        <v>151</v>
      </c>
      <c r="M255" s="88">
        <v>4.2500000000000003E-2</v>
      </c>
      <c r="N255" s="88">
        <v>4.1200000114198235E-2</v>
      </c>
      <c r="O255" s="84">
        <v>215.12255500000001</v>
      </c>
      <c r="P255" s="86">
        <v>100.95</v>
      </c>
      <c r="Q255" s="74"/>
      <c r="R255" s="84">
        <v>0.21716622100000002</v>
      </c>
      <c r="S255" s="85">
        <v>1.780447382578109E-6</v>
      </c>
      <c r="T255" s="85">
        <f>R255/$R$11</f>
        <v>1.9464730394500463E-4</v>
      </c>
      <c r="U255" s="85">
        <f>R255/'סכום נכסי הקרן'!$C$42</f>
        <v>3.4468738506539453E-5</v>
      </c>
    </row>
    <row r="256" spans="2:21">
      <c r="B256" s="7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84"/>
      <c r="P256" s="86"/>
      <c r="Q256" s="74"/>
      <c r="R256" s="74"/>
      <c r="S256" s="74"/>
      <c r="T256" s="85"/>
      <c r="U256" s="74"/>
    </row>
    <row r="257" spans="2:21">
      <c r="B257" s="92" t="s">
        <v>41</v>
      </c>
      <c r="C257" s="72"/>
      <c r="D257" s="72"/>
      <c r="E257" s="72"/>
      <c r="F257" s="72"/>
      <c r="G257" s="72"/>
      <c r="H257" s="72"/>
      <c r="I257" s="72"/>
      <c r="J257" s="72"/>
      <c r="K257" s="81">
        <v>3.579461926874131</v>
      </c>
      <c r="L257" s="72"/>
      <c r="M257" s="72"/>
      <c r="N257" s="94">
        <v>8.2053673381440775E-2</v>
      </c>
      <c r="O257" s="81"/>
      <c r="P257" s="83"/>
      <c r="Q257" s="72"/>
      <c r="R257" s="81">
        <f>SUM(R258:R263)</f>
        <v>28.052922018</v>
      </c>
      <c r="S257" s="72"/>
      <c r="T257" s="82">
        <f t="shared" ref="T257:T263" si="5">R257/$R$11</f>
        <v>2.514399160900423E-2</v>
      </c>
      <c r="U257" s="82">
        <f>R257/'סכום נכסי הקרן'!$C$42</f>
        <v>4.4525747555499663E-3</v>
      </c>
    </row>
    <row r="258" spans="2:21">
      <c r="B258" s="77" t="s">
        <v>911</v>
      </c>
      <c r="C258" s="74" t="s">
        <v>912</v>
      </c>
      <c r="D258" s="87" t="s">
        <v>107</v>
      </c>
      <c r="E258" s="87" t="s">
        <v>325</v>
      </c>
      <c r="F258" s="74" t="s">
        <v>913</v>
      </c>
      <c r="G258" s="87" t="s">
        <v>133</v>
      </c>
      <c r="H258" s="74" t="s">
        <v>429</v>
      </c>
      <c r="I258" s="74" t="s">
        <v>329</v>
      </c>
      <c r="J258" s="74"/>
      <c r="K258" s="84">
        <v>2.5299999998869311</v>
      </c>
      <c r="L258" s="87" t="s">
        <v>151</v>
      </c>
      <c r="M258" s="88">
        <v>3.49E-2</v>
      </c>
      <c r="N258" s="88">
        <v>5.179999999792706E-2</v>
      </c>
      <c r="O258" s="84">
        <v>13259.28997</v>
      </c>
      <c r="P258" s="86">
        <v>96.05</v>
      </c>
      <c r="Q258" s="74"/>
      <c r="R258" s="84">
        <v>12.735547448</v>
      </c>
      <c r="S258" s="85">
        <v>6.5803691801468299E-6</v>
      </c>
      <c r="T258" s="85">
        <f t="shared" si="5"/>
        <v>1.1414942727289452E-2</v>
      </c>
      <c r="U258" s="85">
        <f>R258/'סכום נכסי הקרן'!$C$42</f>
        <v>2.0213928883660863E-3</v>
      </c>
    </row>
    <row r="259" spans="2:21">
      <c r="B259" s="77" t="s">
        <v>914</v>
      </c>
      <c r="C259" s="74" t="s">
        <v>915</v>
      </c>
      <c r="D259" s="87" t="s">
        <v>107</v>
      </c>
      <c r="E259" s="87" t="s">
        <v>325</v>
      </c>
      <c r="F259" s="74" t="s">
        <v>916</v>
      </c>
      <c r="G259" s="87" t="s">
        <v>133</v>
      </c>
      <c r="H259" s="74" t="s">
        <v>629</v>
      </c>
      <c r="I259" s="74" t="s">
        <v>147</v>
      </c>
      <c r="J259" s="74"/>
      <c r="K259" s="84">
        <v>1.6800000061402356</v>
      </c>
      <c r="L259" s="87" t="s">
        <v>151</v>
      </c>
      <c r="M259" s="88">
        <v>4.4999999999999998E-2</v>
      </c>
      <c r="N259" s="88">
        <v>0.15240000052959529</v>
      </c>
      <c r="O259" s="84">
        <v>130.500227</v>
      </c>
      <c r="P259" s="86">
        <v>79.87</v>
      </c>
      <c r="Q259" s="74"/>
      <c r="R259" s="84">
        <v>0.10423052699999999</v>
      </c>
      <c r="S259" s="85">
        <v>8.5376126652156014E-8</v>
      </c>
      <c r="T259" s="85">
        <f t="shared" si="5"/>
        <v>9.3422406928179712E-5</v>
      </c>
      <c r="U259" s="85">
        <f>R259/'סכום נכסי הקרן'!$C$42</f>
        <v>1.6543524877019432E-5</v>
      </c>
    </row>
    <row r="260" spans="2:21">
      <c r="B260" s="77" t="s">
        <v>917</v>
      </c>
      <c r="C260" s="74" t="s">
        <v>918</v>
      </c>
      <c r="D260" s="87" t="s">
        <v>107</v>
      </c>
      <c r="E260" s="87" t="s">
        <v>325</v>
      </c>
      <c r="F260" s="74" t="s">
        <v>919</v>
      </c>
      <c r="G260" s="87" t="s">
        <v>133</v>
      </c>
      <c r="H260" s="74" t="s">
        <v>629</v>
      </c>
      <c r="I260" s="74" t="s">
        <v>147</v>
      </c>
      <c r="J260" s="74"/>
      <c r="K260" s="84">
        <v>4.629999999583692</v>
      </c>
      <c r="L260" s="87" t="s">
        <v>151</v>
      </c>
      <c r="M260" s="88">
        <v>4.6900000000000004E-2</v>
      </c>
      <c r="N260" s="88">
        <v>0.11599999998770003</v>
      </c>
      <c r="O260" s="84">
        <v>5698.3975399999999</v>
      </c>
      <c r="P260" s="86">
        <v>74.19</v>
      </c>
      <c r="Q260" s="74"/>
      <c r="R260" s="84">
        <v>4.2276410520000001</v>
      </c>
      <c r="S260" s="85">
        <v>2.8946228459760119E-6</v>
      </c>
      <c r="T260" s="85">
        <f t="shared" si="5"/>
        <v>3.7892584262403453E-3</v>
      </c>
      <c r="U260" s="85">
        <f>R260/'סכום נכסי הקרן'!$C$42</f>
        <v>6.7101344421745669E-4</v>
      </c>
    </row>
    <row r="261" spans="2:21">
      <c r="B261" s="77" t="s">
        <v>920</v>
      </c>
      <c r="C261" s="74" t="s">
        <v>921</v>
      </c>
      <c r="D261" s="87" t="s">
        <v>107</v>
      </c>
      <c r="E261" s="87" t="s">
        <v>325</v>
      </c>
      <c r="F261" s="74" t="s">
        <v>919</v>
      </c>
      <c r="G261" s="87" t="s">
        <v>133</v>
      </c>
      <c r="H261" s="74" t="s">
        <v>629</v>
      </c>
      <c r="I261" s="74" t="s">
        <v>147</v>
      </c>
      <c r="J261" s="74"/>
      <c r="K261" s="84">
        <v>4.9299999999135027</v>
      </c>
      <c r="L261" s="87" t="s">
        <v>151</v>
      </c>
      <c r="M261" s="88">
        <v>4.6900000000000004E-2</v>
      </c>
      <c r="N261" s="88">
        <v>0.11039999999915841</v>
      </c>
      <c r="O261" s="84">
        <v>11234.626603999999</v>
      </c>
      <c r="P261" s="86">
        <v>76.150000000000006</v>
      </c>
      <c r="Q261" s="74"/>
      <c r="R261" s="84">
        <v>8.5551675180000011</v>
      </c>
      <c r="S261" s="85">
        <v>6.9649153520466044E-6</v>
      </c>
      <c r="T261" s="85">
        <f t="shared" si="5"/>
        <v>7.668044710215669E-3</v>
      </c>
      <c r="U261" s="85">
        <f>R261/'סכום נכסי הקרן'!$C$42</f>
        <v>1.3578807546574298E-3</v>
      </c>
    </row>
    <row r="262" spans="2:21">
      <c r="B262" s="77" t="s">
        <v>922</v>
      </c>
      <c r="C262" s="74" t="s">
        <v>923</v>
      </c>
      <c r="D262" s="87" t="s">
        <v>107</v>
      </c>
      <c r="E262" s="87" t="s">
        <v>325</v>
      </c>
      <c r="F262" s="74" t="s">
        <v>684</v>
      </c>
      <c r="G262" s="87" t="s">
        <v>465</v>
      </c>
      <c r="H262" s="74" t="s">
        <v>685</v>
      </c>
      <c r="I262" s="74" t="s">
        <v>329</v>
      </c>
      <c r="J262" s="74"/>
      <c r="K262" s="84">
        <v>2.0500000003738332</v>
      </c>
      <c r="L262" s="87" t="s">
        <v>151</v>
      </c>
      <c r="M262" s="88">
        <v>6.7000000000000004E-2</v>
      </c>
      <c r="N262" s="88">
        <v>7.7200000013050177E-2</v>
      </c>
      <c r="O262" s="84">
        <v>1606.161822</v>
      </c>
      <c r="P262" s="86">
        <v>91.6</v>
      </c>
      <c r="Q262" s="74"/>
      <c r="R262" s="84">
        <v>1.4712441890000001</v>
      </c>
      <c r="S262" s="85">
        <v>1.4038867943180479E-6</v>
      </c>
      <c r="T262" s="85">
        <f t="shared" si="5"/>
        <v>1.3186844322055262E-3</v>
      </c>
      <c r="U262" s="85">
        <f>R262/'סכום נכסי הקרן'!$C$42</f>
        <v>2.3351666293399613E-4</v>
      </c>
    </row>
    <row r="263" spans="2:21">
      <c r="B263" s="77" t="s">
        <v>924</v>
      </c>
      <c r="C263" s="74" t="s">
        <v>925</v>
      </c>
      <c r="D263" s="87" t="s">
        <v>107</v>
      </c>
      <c r="E263" s="87" t="s">
        <v>325</v>
      </c>
      <c r="F263" s="74" t="s">
        <v>684</v>
      </c>
      <c r="G263" s="87" t="s">
        <v>465</v>
      </c>
      <c r="H263" s="74" t="s">
        <v>685</v>
      </c>
      <c r="I263" s="74" t="s">
        <v>329</v>
      </c>
      <c r="J263" s="74"/>
      <c r="K263" s="84">
        <v>3.3900000002502368</v>
      </c>
      <c r="L263" s="87" t="s">
        <v>151</v>
      </c>
      <c r="M263" s="88">
        <v>4.7E-2</v>
      </c>
      <c r="N263" s="88">
        <v>8.1100000007924167E-2</v>
      </c>
      <c r="O263" s="84">
        <v>1097.6096190000001</v>
      </c>
      <c r="P263" s="86">
        <v>87.38</v>
      </c>
      <c r="Q263" s="74"/>
      <c r="R263" s="84">
        <v>0.95909128399999999</v>
      </c>
      <c r="S263" s="85">
        <v>1.5344176666179711E-6</v>
      </c>
      <c r="T263" s="85">
        <f t="shared" si="5"/>
        <v>8.5963890612505858E-4</v>
      </c>
      <c r="U263" s="85">
        <f>R263/'סכום נכסי הקרן'!$C$42</f>
        <v>1.5222748049797838E-4</v>
      </c>
    </row>
    <row r="264" spans="2:21">
      <c r="B264" s="73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84"/>
      <c r="P264" s="86"/>
      <c r="Q264" s="74"/>
      <c r="R264" s="74"/>
      <c r="S264" s="74"/>
      <c r="T264" s="85"/>
      <c r="U264" s="74"/>
    </row>
    <row r="265" spans="2:21">
      <c r="B265" s="71" t="s">
        <v>216</v>
      </c>
      <c r="C265" s="72"/>
      <c r="D265" s="72"/>
      <c r="E265" s="72"/>
      <c r="F265" s="72"/>
      <c r="G265" s="72"/>
      <c r="H265" s="72"/>
      <c r="I265" s="72"/>
      <c r="J265" s="72"/>
      <c r="K265" s="81">
        <v>8.2204070639837319</v>
      </c>
      <c r="L265" s="72"/>
      <c r="M265" s="72"/>
      <c r="N265" s="94">
        <v>5.7293181960360283E-2</v>
      </c>
      <c r="O265" s="81"/>
      <c r="P265" s="83"/>
      <c r="Q265" s="72"/>
      <c r="R265" s="81">
        <f>R266+R274</f>
        <v>158.402244478</v>
      </c>
      <c r="S265" s="72"/>
      <c r="T265" s="82">
        <f t="shared" ref="T265:T272" si="6">R265/$R$11</f>
        <v>0.14197682164612604</v>
      </c>
      <c r="U265" s="82">
        <f>R265/'סכום נכסי הקרן'!$C$42</f>
        <v>2.514168878852073E-2</v>
      </c>
    </row>
    <row r="266" spans="2:21">
      <c r="B266" s="92" t="s">
        <v>55</v>
      </c>
      <c r="C266" s="72"/>
      <c r="D266" s="72"/>
      <c r="E266" s="72"/>
      <c r="F266" s="72"/>
      <c r="G266" s="72"/>
      <c r="H266" s="72"/>
      <c r="I266" s="72"/>
      <c r="J266" s="72"/>
      <c r="K266" s="81">
        <v>7.0087164989130191</v>
      </c>
      <c r="L266" s="72"/>
      <c r="M266" s="72"/>
      <c r="N266" s="94">
        <v>5.5859874482725697E-2</v>
      </c>
      <c r="O266" s="81"/>
      <c r="P266" s="83"/>
      <c r="Q266" s="72"/>
      <c r="R266" s="81">
        <f>SUM(R267:R272)</f>
        <v>18.093574802999999</v>
      </c>
      <c r="S266" s="72"/>
      <c r="T266" s="82">
        <f t="shared" si="6"/>
        <v>1.6217372747538015E-2</v>
      </c>
      <c r="U266" s="82">
        <f>R266/'סכום נכסי הקרן'!$C$42</f>
        <v>2.871821849923511E-3</v>
      </c>
    </row>
    <row r="267" spans="2:21">
      <c r="B267" s="77" t="s">
        <v>926</v>
      </c>
      <c r="C267" s="74" t="s">
        <v>927</v>
      </c>
      <c r="D267" s="87" t="s">
        <v>27</v>
      </c>
      <c r="E267" s="87" t="s">
        <v>928</v>
      </c>
      <c r="F267" s="74" t="s">
        <v>929</v>
      </c>
      <c r="G267" s="87" t="s">
        <v>930</v>
      </c>
      <c r="H267" s="74" t="s">
        <v>931</v>
      </c>
      <c r="I267" s="74" t="s">
        <v>932</v>
      </c>
      <c r="J267" s="74"/>
      <c r="K267" s="84">
        <v>3.4199999999201554</v>
      </c>
      <c r="L267" s="87" t="s">
        <v>150</v>
      </c>
      <c r="M267" s="88">
        <v>5.0819999999999997E-2</v>
      </c>
      <c r="N267" s="88">
        <v>4.3899999998403126E-2</v>
      </c>
      <c r="O267" s="84">
        <v>685.52369799999997</v>
      </c>
      <c r="P267" s="86">
        <v>102.4956</v>
      </c>
      <c r="Q267" s="74"/>
      <c r="R267" s="84">
        <v>2.5048821600000002</v>
      </c>
      <c r="S267" s="85">
        <v>2.1422615562499998E-6</v>
      </c>
      <c r="T267" s="85">
        <f t="shared" si="6"/>
        <v>2.2451399526998246E-3</v>
      </c>
      <c r="U267" s="85">
        <f>R267/'סכום נכסי הקרן'!$C$42</f>
        <v>3.9757623338086142E-4</v>
      </c>
    </row>
    <row r="268" spans="2:21">
      <c r="B268" s="77" t="s">
        <v>933</v>
      </c>
      <c r="C268" s="74" t="s">
        <v>934</v>
      </c>
      <c r="D268" s="87" t="s">
        <v>27</v>
      </c>
      <c r="E268" s="87" t="s">
        <v>928</v>
      </c>
      <c r="F268" s="74" t="s">
        <v>929</v>
      </c>
      <c r="G268" s="87" t="s">
        <v>930</v>
      </c>
      <c r="H268" s="74" t="s">
        <v>931</v>
      </c>
      <c r="I268" s="74" t="s">
        <v>932</v>
      </c>
      <c r="J268" s="74"/>
      <c r="K268" s="84">
        <v>4.9200000003056088</v>
      </c>
      <c r="L268" s="87" t="s">
        <v>150</v>
      </c>
      <c r="M268" s="88">
        <v>5.4120000000000001E-2</v>
      </c>
      <c r="N268" s="88">
        <v>6.4700000003056091E-2</v>
      </c>
      <c r="O268" s="84">
        <v>952.5967720000001</v>
      </c>
      <c r="P268" s="86">
        <v>96.352999999999994</v>
      </c>
      <c r="Q268" s="74"/>
      <c r="R268" s="84">
        <v>3.2721551</v>
      </c>
      <c r="S268" s="85">
        <v>2.9768649125000002E-6</v>
      </c>
      <c r="T268" s="85">
        <f t="shared" si="6"/>
        <v>2.9328509994420216E-3</v>
      </c>
      <c r="U268" s="85">
        <f>R268/'סכום נכסי הקרן'!$C$42</f>
        <v>5.1935820393881357E-4</v>
      </c>
    </row>
    <row r="269" spans="2:21">
      <c r="B269" s="77" t="s">
        <v>935</v>
      </c>
      <c r="C269" s="74" t="s">
        <v>936</v>
      </c>
      <c r="D269" s="87" t="s">
        <v>27</v>
      </c>
      <c r="E269" s="87" t="s">
        <v>928</v>
      </c>
      <c r="F269" s="74" t="s">
        <v>747</v>
      </c>
      <c r="G269" s="87" t="s">
        <v>521</v>
      </c>
      <c r="H269" s="74" t="s">
        <v>931</v>
      </c>
      <c r="I269" s="74" t="s">
        <v>322</v>
      </c>
      <c r="J269" s="74"/>
      <c r="K269" s="84">
        <v>10.959999999248156</v>
      </c>
      <c r="L269" s="87" t="s">
        <v>150</v>
      </c>
      <c r="M269" s="88">
        <v>6.3750000000000001E-2</v>
      </c>
      <c r="N269" s="88">
        <v>5.4799999997087442E-2</v>
      </c>
      <c r="O269" s="84">
        <v>1477.38</v>
      </c>
      <c r="P269" s="86">
        <v>112.125</v>
      </c>
      <c r="Q269" s="74"/>
      <c r="R269" s="84">
        <v>5.9054664389999996</v>
      </c>
      <c r="S269" s="85">
        <v>2.4623000000000001E-6</v>
      </c>
      <c r="T269" s="85">
        <f t="shared" si="6"/>
        <v>5.2931027468082013E-3</v>
      </c>
      <c r="U269" s="85">
        <f>R269/'סכום נכסי הקרן'!$C$42</f>
        <v>9.3731878515782485E-4</v>
      </c>
    </row>
    <row r="270" spans="2:21">
      <c r="B270" s="77" t="s">
        <v>902</v>
      </c>
      <c r="C270" s="74" t="s">
        <v>1340</v>
      </c>
      <c r="D270" s="87" t="s">
        <v>27</v>
      </c>
      <c r="E270" s="87" t="s">
        <v>325</v>
      </c>
      <c r="F270" s="74" t="s">
        <v>348</v>
      </c>
      <c r="G270" s="87" t="s">
        <v>335</v>
      </c>
      <c r="H270" s="74" t="s">
        <v>903</v>
      </c>
      <c r="I270" s="74" t="s">
        <v>904</v>
      </c>
      <c r="J270" s="74"/>
      <c r="K270" s="84">
        <v>5.2900000001188054</v>
      </c>
      <c r="L270" s="87" t="s">
        <v>150</v>
      </c>
      <c r="M270" s="88">
        <v>3.2750000000000001E-2</v>
      </c>
      <c r="N270" s="88">
        <v>4.920000000302413E-2</v>
      </c>
      <c r="O270" s="84">
        <v>1145.658944</v>
      </c>
      <c r="P270" s="86">
        <v>90.677899999999994</v>
      </c>
      <c r="Q270" s="74"/>
      <c r="R270" s="84">
        <v>3.7035352640000001</v>
      </c>
      <c r="S270" s="85">
        <v>1.5275452586666666E-6</v>
      </c>
      <c r="T270" s="85">
        <f>R270/$R$11</f>
        <v>3.3194994639744223E-3</v>
      </c>
      <c r="U270" s="85">
        <f>R270/'סכום נכסי הקרן'!$C$42</f>
        <v>5.8782709381199557E-4</v>
      </c>
    </row>
    <row r="271" spans="2:21">
      <c r="B271" s="77" t="s">
        <v>937</v>
      </c>
      <c r="C271" s="74" t="s">
        <v>938</v>
      </c>
      <c r="D271" s="87" t="s">
        <v>27</v>
      </c>
      <c r="E271" s="87" t="s">
        <v>928</v>
      </c>
      <c r="F271" s="74" t="s">
        <v>939</v>
      </c>
      <c r="G271" s="87" t="s">
        <v>940</v>
      </c>
      <c r="H271" s="74" t="s">
        <v>941</v>
      </c>
      <c r="I271" s="74" t="s">
        <v>322</v>
      </c>
      <c r="J271" s="74"/>
      <c r="K271" s="84">
        <v>4.169999999641802</v>
      </c>
      <c r="L271" s="87" t="s">
        <v>152</v>
      </c>
      <c r="M271" s="88">
        <v>0.06</v>
      </c>
      <c r="N271" s="88">
        <v>6.3699999992965523E-2</v>
      </c>
      <c r="O271" s="84">
        <v>595.87660000000005</v>
      </c>
      <c r="P271" s="86">
        <v>99.701300000000003</v>
      </c>
      <c r="Q271" s="74"/>
      <c r="R271" s="84">
        <v>2.3171561989999998</v>
      </c>
      <c r="S271" s="85">
        <v>5.9587660000000001E-7</v>
      </c>
      <c r="T271" s="85">
        <f t="shared" si="6"/>
        <v>2.0768801191913015E-3</v>
      </c>
      <c r="U271" s="85">
        <f>R271/'סכום נכסי הקרן'!$C$42</f>
        <v>3.6778026865484707E-4</v>
      </c>
    </row>
    <row r="272" spans="2:21">
      <c r="B272" s="77" t="s">
        <v>942</v>
      </c>
      <c r="C272" s="74" t="s">
        <v>943</v>
      </c>
      <c r="D272" s="87" t="s">
        <v>27</v>
      </c>
      <c r="E272" s="87" t="s">
        <v>928</v>
      </c>
      <c r="F272" s="74" t="s">
        <v>944</v>
      </c>
      <c r="G272" s="87" t="s">
        <v>945</v>
      </c>
      <c r="H272" s="74" t="s">
        <v>698</v>
      </c>
      <c r="I272" s="74"/>
      <c r="J272" s="74"/>
      <c r="K272" s="84">
        <v>4.6199999989241238</v>
      </c>
      <c r="L272" s="87" t="s">
        <v>150</v>
      </c>
      <c r="M272" s="88">
        <v>0</v>
      </c>
      <c r="N272" s="88">
        <v>2.8000000005123218E-2</v>
      </c>
      <c r="O272" s="84">
        <v>125.57729999999999</v>
      </c>
      <c r="P272" s="86">
        <v>87.2</v>
      </c>
      <c r="Q272" s="74"/>
      <c r="R272" s="84">
        <v>0.390379641</v>
      </c>
      <c r="S272" s="85">
        <v>2.1839530434782607E-7</v>
      </c>
      <c r="T272" s="85">
        <f t="shared" si="6"/>
        <v>3.4989946542224348E-4</v>
      </c>
      <c r="U272" s="85">
        <f>R272/'סכום נכסי הקרן'!$C$42</f>
        <v>6.1961264979168868E-5</v>
      </c>
    </row>
    <row r="273" spans="2:21"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84"/>
      <c r="P273" s="86"/>
      <c r="Q273" s="74"/>
      <c r="R273" s="74"/>
      <c r="S273" s="74"/>
      <c r="T273" s="85"/>
      <c r="U273" s="74"/>
    </row>
    <row r="274" spans="2:21">
      <c r="B274" s="92" t="s">
        <v>54</v>
      </c>
      <c r="C274" s="72"/>
      <c r="D274" s="72"/>
      <c r="E274" s="72"/>
      <c r="F274" s="72"/>
      <c r="G274" s="72"/>
      <c r="H274" s="72"/>
      <c r="I274" s="72"/>
      <c r="J274" s="72"/>
      <c r="K274" s="81">
        <v>8.3540734973312389</v>
      </c>
      <c r="L274" s="72"/>
      <c r="M274" s="72"/>
      <c r="N274" s="94">
        <v>5.7451295841864806E-2</v>
      </c>
      <c r="O274" s="81"/>
      <c r="P274" s="83"/>
      <c r="Q274" s="72"/>
      <c r="R274" s="81">
        <f>SUM(R275:R352)</f>
        <v>140.308669675</v>
      </c>
      <c r="S274" s="72"/>
      <c r="T274" s="82">
        <f t="shared" ref="T274:T343" si="7">R274/$R$11</f>
        <v>0.12575944889858803</v>
      </c>
      <c r="U274" s="82">
        <f>R274/'סכום נכסי הקרן'!$C$42</f>
        <v>2.226986693859722E-2</v>
      </c>
    </row>
    <row r="275" spans="2:21" s="114" customFormat="1">
      <c r="B275" s="77" t="s">
        <v>1119</v>
      </c>
      <c r="C275" s="74" t="s">
        <v>1120</v>
      </c>
      <c r="D275" s="87" t="s">
        <v>27</v>
      </c>
      <c r="E275" s="87" t="s">
        <v>928</v>
      </c>
      <c r="F275" s="74"/>
      <c r="G275" s="87" t="s">
        <v>1104</v>
      </c>
      <c r="H275" s="74" t="s">
        <v>321</v>
      </c>
      <c r="I275" s="74" t="s">
        <v>932</v>
      </c>
      <c r="J275" s="74"/>
      <c r="K275" s="84">
        <v>18.53</v>
      </c>
      <c r="L275" s="87" t="s">
        <v>150</v>
      </c>
      <c r="M275" s="88">
        <v>4.2500000000000003E-2</v>
      </c>
      <c r="N275" s="88">
        <v>0.03</v>
      </c>
      <c r="O275" s="84">
        <v>517.08299999999997</v>
      </c>
      <c r="P275" s="86">
        <v>122.9</v>
      </c>
      <c r="Q275" s="74"/>
      <c r="R275" s="84">
        <v>2.2655402119999999</v>
      </c>
      <c r="S275" s="85">
        <v>6.8944399999999996E-7</v>
      </c>
      <c r="T275" s="85">
        <f>R275/$R$11</f>
        <v>2.0306164200591496E-3</v>
      </c>
      <c r="U275" s="85">
        <f>R275/'סכום נכסי הקרן'!$C$42</f>
        <v>3.5958775164889918E-4</v>
      </c>
    </row>
    <row r="276" spans="2:21">
      <c r="B276" s="77" t="s">
        <v>946</v>
      </c>
      <c r="C276" s="74" t="s">
        <v>947</v>
      </c>
      <c r="D276" s="87" t="s">
        <v>27</v>
      </c>
      <c r="E276" s="87" t="s">
        <v>928</v>
      </c>
      <c r="F276" s="74"/>
      <c r="G276" s="87" t="s">
        <v>948</v>
      </c>
      <c r="H276" s="74" t="s">
        <v>321</v>
      </c>
      <c r="I276" s="74" t="s">
        <v>322</v>
      </c>
      <c r="J276" s="74"/>
      <c r="K276" s="84">
        <v>17.959999999274061</v>
      </c>
      <c r="L276" s="87" t="s">
        <v>150</v>
      </c>
      <c r="M276" s="88">
        <v>4.7500000000000001E-2</v>
      </c>
      <c r="N276" s="88">
        <v>3.0399999998617259E-2</v>
      </c>
      <c r="O276" s="84">
        <v>246.23</v>
      </c>
      <c r="P276" s="86">
        <v>131.81899999999999</v>
      </c>
      <c r="Q276" s="74"/>
      <c r="R276" s="84">
        <v>1.157120054</v>
      </c>
      <c r="S276" s="85">
        <v>1.0943555555555554E-7</v>
      </c>
      <c r="T276" s="85">
        <f t="shared" si="7"/>
        <v>1.0371332052225477E-3</v>
      </c>
      <c r="U276" s="85">
        <f>R276/'סכום נכסי הקרן'!$C$42</f>
        <v>1.8365871256745224E-4</v>
      </c>
    </row>
    <row r="277" spans="2:21">
      <c r="B277" s="77" t="s">
        <v>949</v>
      </c>
      <c r="C277" s="74" t="s">
        <v>950</v>
      </c>
      <c r="D277" s="87" t="s">
        <v>27</v>
      </c>
      <c r="E277" s="87" t="s">
        <v>928</v>
      </c>
      <c r="F277" s="74"/>
      <c r="G277" s="87" t="s">
        <v>948</v>
      </c>
      <c r="H277" s="74" t="s">
        <v>321</v>
      </c>
      <c r="I277" s="74" t="s">
        <v>322</v>
      </c>
      <c r="J277" s="74"/>
      <c r="K277" s="84">
        <v>20.739999998737364</v>
      </c>
      <c r="L277" s="87" t="s">
        <v>150</v>
      </c>
      <c r="M277" s="88">
        <v>4.9500000000000002E-2</v>
      </c>
      <c r="N277" s="88">
        <v>3.2199999996556448E-2</v>
      </c>
      <c r="O277" s="84">
        <v>541.70600000000002</v>
      </c>
      <c r="P277" s="86">
        <v>135.3357</v>
      </c>
      <c r="Q277" s="74"/>
      <c r="R277" s="84">
        <v>2.6135794949999998</v>
      </c>
      <c r="S277" s="85">
        <v>5.4170599999999999E-7</v>
      </c>
      <c r="T277" s="85">
        <f t="shared" si="7"/>
        <v>2.342565984733402E-3</v>
      </c>
      <c r="U277" s="85">
        <f>R277/'סכום נכסי הקרן'!$C$42</f>
        <v>4.1482873240773679E-4</v>
      </c>
    </row>
    <row r="278" spans="2:21" s="114" customFormat="1">
      <c r="B278" s="77" t="s">
        <v>1113</v>
      </c>
      <c r="C278" s="74" t="s">
        <v>1114</v>
      </c>
      <c r="D278" s="87" t="s">
        <v>27</v>
      </c>
      <c r="E278" s="87" t="s">
        <v>928</v>
      </c>
      <c r="F278" s="74"/>
      <c r="G278" s="87" t="s">
        <v>966</v>
      </c>
      <c r="H278" s="74" t="s">
        <v>954</v>
      </c>
      <c r="I278" s="74" t="s">
        <v>932</v>
      </c>
      <c r="J278" s="74"/>
      <c r="K278" s="84">
        <v>8.61</v>
      </c>
      <c r="L278" s="87" t="s">
        <v>150</v>
      </c>
      <c r="M278" s="88">
        <v>3.3750000000000002E-2</v>
      </c>
      <c r="N278" s="88">
        <v>3.1030000000000002E-2</v>
      </c>
      <c r="O278" s="84">
        <v>541.70600000000002</v>
      </c>
      <c r="P278" s="86">
        <v>101.26600000000001</v>
      </c>
      <c r="Q278" s="74"/>
      <c r="R278" s="84">
        <v>1.9556306529999998</v>
      </c>
      <c r="S278" s="117">
        <f>541.71/1000000000</f>
        <v>5.4171E-7</v>
      </c>
      <c r="T278" s="85">
        <f>R278/$R$11</f>
        <v>1.7528427412229033E-3</v>
      </c>
      <c r="U278" s="85">
        <f>R278/'סכום נכסי הקרן'!$C$42</f>
        <v>3.1039874103454599E-4</v>
      </c>
    </row>
    <row r="279" spans="2:21" s="114" customFormat="1">
      <c r="B279" s="77" t="s">
        <v>951</v>
      </c>
      <c r="C279" s="74" t="s">
        <v>952</v>
      </c>
      <c r="D279" s="87" t="s">
        <v>27</v>
      </c>
      <c r="E279" s="87" t="s">
        <v>928</v>
      </c>
      <c r="F279" s="74"/>
      <c r="G279" s="87" t="s">
        <v>953</v>
      </c>
      <c r="H279" s="74" t="s">
        <v>954</v>
      </c>
      <c r="I279" s="74" t="s">
        <v>322</v>
      </c>
      <c r="J279" s="74"/>
      <c r="K279" s="84">
        <v>18.94999999697939</v>
      </c>
      <c r="L279" s="87" t="s">
        <v>150</v>
      </c>
      <c r="M279" s="88">
        <v>4.2000000000000003E-2</v>
      </c>
      <c r="N279" s="88">
        <v>2.7199999994675532E-2</v>
      </c>
      <c r="O279" s="84">
        <v>640.19799999999998</v>
      </c>
      <c r="P279" s="86">
        <v>128.3733</v>
      </c>
      <c r="Q279" s="74"/>
      <c r="R279" s="84">
        <v>2.929872123</v>
      </c>
      <c r="S279" s="85">
        <v>5.1215840000000002E-7</v>
      </c>
      <c r="T279" s="85">
        <f t="shared" si="7"/>
        <v>2.6260608441751026E-3</v>
      </c>
      <c r="U279" s="85">
        <f>R279/'סכום נכסי הקרן'!$C$42</f>
        <v>4.6503086714064337E-4</v>
      </c>
    </row>
    <row r="280" spans="2:21" s="114" customFormat="1">
      <c r="B280" s="77" t="s">
        <v>955</v>
      </c>
      <c r="C280" s="74" t="s">
        <v>956</v>
      </c>
      <c r="D280" s="87" t="s">
        <v>27</v>
      </c>
      <c r="E280" s="87" t="s">
        <v>928</v>
      </c>
      <c r="F280" s="74"/>
      <c r="G280" s="87" t="s">
        <v>957</v>
      </c>
      <c r="H280" s="74" t="s">
        <v>954</v>
      </c>
      <c r="I280" s="74" t="s">
        <v>322</v>
      </c>
      <c r="J280" s="74"/>
      <c r="K280" s="84">
        <v>17.950000001619475</v>
      </c>
      <c r="L280" s="87" t="s">
        <v>150</v>
      </c>
      <c r="M280" s="88">
        <v>4.7E-2</v>
      </c>
      <c r="N280" s="88">
        <v>3.0800000001363768E-2</v>
      </c>
      <c r="O280" s="84">
        <v>640.19799999999998</v>
      </c>
      <c r="P280" s="86">
        <v>128.51240000000001</v>
      </c>
      <c r="Q280" s="74"/>
      <c r="R280" s="84">
        <v>2.933045795</v>
      </c>
      <c r="S280" s="85">
        <v>3.6582742857142857E-7</v>
      </c>
      <c r="T280" s="85">
        <f t="shared" si="7"/>
        <v>2.6289054242187261E-3</v>
      </c>
      <c r="U280" s="85">
        <f>R280/'סכום נכסי הקרן'!$C$42</f>
        <v>4.6553459405438617E-4</v>
      </c>
    </row>
    <row r="281" spans="2:21" s="114" customFormat="1">
      <c r="B281" s="77" t="s">
        <v>994</v>
      </c>
      <c r="C281" s="74" t="s">
        <v>995</v>
      </c>
      <c r="D281" s="87" t="s">
        <v>27</v>
      </c>
      <c r="E281" s="87" t="s">
        <v>928</v>
      </c>
      <c r="F281" s="74"/>
      <c r="G281" s="87" t="s">
        <v>966</v>
      </c>
      <c r="H281" s="115" t="s">
        <v>961</v>
      </c>
      <c r="I281" s="74" t="s">
        <v>932</v>
      </c>
      <c r="J281" s="74"/>
      <c r="K281" s="74">
        <v>8.51</v>
      </c>
      <c r="L281" s="87" t="s">
        <v>150</v>
      </c>
      <c r="M281" s="88">
        <v>3.6000000000000004E-2</v>
      </c>
      <c r="N281" s="116">
        <v>3.3769999999999994E-2</v>
      </c>
      <c r="O281" s="84">
        <v>492.46</v>
      </c>
      <c r="P281" s="86">
        <v>101.93</v>
      </c>
      <c r="Q281" s="74"/>
      <c r="R281" s="84">
        <v>1.789503364</v>
      </c>
      <c r="S281" s="117">
        <f>492.46/1000000000</f>
        <v>4.9246E-7</v>
      </c>
      <c r="T281" s="85">
        <f>R281/$R$11</f>
        <v>1.6039419187715948E-3</v>
      </c>
      <c r="U281" s="85">
        <f>R281/'סכום נכסי הקרן'!$C$42</f>
        <v>2.8403092905635946E-4</v>
      </c>
    </row>
    <row r="282" spans="2:21" s="114" customFormat="1">
      <c r="B282" s="77" t="s">
        <v>958</v>
      </c>
      <c r="C282" s="74" t="s">
        <v>959</v>
      </c>
      <c r="D282" s="87" t="s">
        <v>27</v>
      </c>
      <c r="E282" s="87" t="s">
        <v>928</v>
      </c>
      <c r="F282" s="74"/>
      <c r="G282" s="87" t="s">
        <v>960</v>
      </c>
      <c r="H282" s="74" t="s">
        <v>961</v>
      </c>
      <c r="I282" s="74" t="s">
        <v>322</v>
      </c>
      <c r="J282" s="74"/>
      <c r="K282" s="84">
        <v>8.2700000017373334</v>
      </c>
      <c r="L282" s="87" t="s">
        <v>150</v>
      </c>
      <c r="M282" s="88">
        <v>3.95E-2</v>
      </c>
      <c r="N282" s="88">
        <v>2.9600000003021452E-2</v>
      </c>
      <c r="O282" s="84">
        <v>344.72199999999998</v>
      </c>
      <c r="P282" s="86">
        <v>107.72490000000001</v>
      </c>
      <c r="Q282" s="74"/>
      <c r="R282" s="84">
        <v>1.32386771</v>
      </c>
      <c r="S282" s="85">
        <v>6.8944399999999996E-7</v>
      </c>
      <c r="T282" s="85">
        <f t="shared" si="7"/>
        <v>1.1865900661012434E-3</v>
      </c>
      <c r="U282" s="85">
        <f>R282/'סכום נכסי הקרן'!$C$42</f>
        <v>2.1012498952699096E-4</v>
      </c>
    </row>
    <row r="283" spans="2:21" s="114" customFormat="1">
      <c r="B283" s="77" t="s">
        <v>962</v>
      </c>
      <c r="C283" s="74" t="s">
        <v>963</v>
      </c>
      <c r="D283" s="87" t="s">
        <v>27</v>
      </c>
      <c r="E283" s="87" t="s">
        <v>928</v>
      </c>
      <c r="F283" s="74"/>
      <c r="G283" s="87" t="s">
        <v>957</v>
      </c>
      <c r="H283" s="74" t="s">
        <v>961</v>
      </c>
      <c r="I283" s="74" t="s">
        <v>322</v>
      </c>
      <c r="J283" s="74"/>
      <c r="K283" s="84">
        <v>14.300000003845716</v>
      </c>
      <c r="L283" s="87" t="s">
        <v>150</v>
      </c>
      <c r="M283" s="88">
        <v>3.7499999999999999E-2</v>
      </c>
      <c r="N283" s="88">
        <v>3.0300000005106607E-2</v>
      </c>
      <c r="O283" s="84">
        <v>406.27949999999998</v>
      </c>
      <c r="P283" s="86">
        <v>109.5137</v>
      </c>
      <c r="Q283" s="74"/>
      <c r="R283" s="84">
        <v>1.5861810729999999</v>
      </c>
      <c r="S283" s="85">
        <v>5.0784937499999999E-7</v>
      </c>
      <c r="T283" s="85">
        <f t="shared" si="7"/>
        <v>1.4217030070622471E-3</v>
      </c>
      <c r="U283" s="85">
        <f>R283/'סכום נכסי הקרן'!$C$42</f>
        <v>2.5175950650842315E-4</v>
      </c>
    </row>
    <row r="284" spans="2:21" s="114" customFormat="1">
      <c r="B284" s="77" t="s">
        <v>1127</v>
      </c>
      <c r="C284" s="74" t="s">
        <v>1128</v>
      </c>
      <c r="D284" s="87" t="s">
        <v>27</v>
      </c>
      <c r="E284" s="87" t="s">
        <v>928</v>
      </c>
      <c r="F284" s="74"/>
      <c r="G284" s="87" t="s">
        <v>945</v>
      </c>
      <c r="H284" s="115" t="s">
        <v>961</v>
      </c>
      <c r="I284" s="74" t="s">
        <v>322</v>
      </c>
      <c r="J284" s="74"/>
      <c r="K284" s="74">
        <v>20.92</v>
      </c>
      <c r="L284" s="87" t="s">
        <v>150</v>
      </c>
      <c r="M284" s="88">
        <v>3.85E-2</v>
      </c>
      <c r="N284" s="85">
        <v>3.7379999999999997E-2</v>
      </c>
      <c r="O284" s="84">
        <v>664.82100000000003</v>
      </c>
      <c r="P284" s="86">
        <v>101.96</v>
      </c>
      <c r="Q284" s="74"/>
      <c r="R284" s="84">
        <v>2.4165405679999998</v>
      </c>
      <c r="S284" s="117">
        <f>664.82/3500000000</f>
        <v>1.8994857142857144E-7</v>
      </c>
      <c r="T284" s="85">
        <f>R284/$R$11</f>
        <v>2.165958887477855E-3</v>
      </c>
      <c r="U284" s="85">
        <f>R284/'סכום נכסי הקרן'!$C$42</f>
        <v>3.8355460874753776E-4</v>
      </c>
    </row>
    <row r="285" spans="2:21" s="114" customFormat="1">
      <c r="B285" s="77" t="s">
        <v>964</v>
      </c>
      <c r="C285" s="74" t="s">
        <v>965</v>
      </c>
      <c r="D285" s="87" t="s">
        <v>27</v>
      </c>
      <c r="E285" s="87" t="s">
        <v>928</v>
      </c>
      <c r="F285" s="74"/>
      <c r="G285" s="87" t="s">
        <v>966</v>
      </c>
      <c r="H285" s="74" t="s">
        <v>961</v>
      </c>
      <c r="I285" s="74" t="s">
        <v>322</v>
      </c>
      <c r="J285" s="74"/>
      <c r="K285" s="84">
        <v>4.0099990850510405</v>
      </c>
      <c r="L285" s="87" t="s">
        <v>150</v>
      </c>
      <c r="M285" s="88">
        <v>4.4999999999999998E-2</v>
      </c>
      <c r="N285" s="88">
        <v>6.6599984315160704E-2</v>
      </c>
      <c r="O285" s="84">
        <v>0.32009900000000002</v>
      </c>
      <c r="P285" s="86">
        <v>93.861000000000004</v>
      </c>
      <c r="Q285" s="74"/>
      <c r="R285" s="84">
        <v>1.0710980000000001E-3</v>
      </c>
      <c r="S285" s="85">
        <v>6.4019800000000001E-10</v>
      </c>
      <c r="T285" s="85">
        <f t="shared" si="7"/>
        <v>9.6003115494138739E-7</v>
      </c>
      <c r="U285" s="85">
        <f>R285/'סכום נכסי הקרן'!$C$42</f>
        <v>1.7000524624350949E-7</v>
      </c>
    </row>
    <row r="286" spans="2:21" s="114" customFormat="1">
      <c r="B286" s="77" t="s">
        <v>967</v>
      </c>
      <c r="C286" s="74" t="s">
        <v>968</v>
      </c>
      <c r="D286" s="87" t="s">
        <v>27</v>
      </c>
      <c r="E286" s="87" t="s">
        <v>928</v>
      </c>
      <c r="F286" s="74"/>
      <c r="G286" s="87" t="s">
        <v>966</v>
      </c>
      <c r="H286" s="74" t="s">
        <v>961</v>
      </c>
      <c r="I286" s="74" t="s">
        <v>322</v>
      </c>
      <c r="J286" s="74"/>
      <c r="K286" s="84">
        <v>6.5599999977634642</v>
      </c>
      <c r="L286" s="87" t="s">
        <v>150</v>
      </c>
      <c r="M286" s="88">
        <v>5.1249999999999997E-2</v>
      </c>
      <c r="N286" s="88">
        <v>5.669999997848757E-2</v>
      </c>
      <c r="O286" s="84">
        <v>296.337805</v>
      </c>
      <c r="P286" s="86">
        <v>99.882599999999996</v>
      </c>
      <c r="Q286" s="74"/>
      <c r="R286" s="84">
        <v>1.055203981</v>
      </c>
      <c r="S286" s="85">
        <v>5.9267560999999999E-7</v>
      </c>
      <c r="T286" s="85">
        <f t="shared" si="7"/>
        <v>9.457852564174143E-4</v>
      </c>
      <c r="U286" s="85">
        <f>R286/'סכום נכסי הקרן'!$C$42</f>
        <v>1.6748253906462011E-4</v>
      </c>
    </row>
    <row r="287" spans="2:21" s="114" customFormat="1">
      <c r="B287" s="77" t="s">
        <v>983</v>
      </c>
      <c r="C287" s="74" t="s">
        <v>984</v>
      </c>
      <c r="D287" s="87" t="s">
        <v>27</v>
      </c>
      <c r="E287" s="87" t="s">
        <v>928</v>
      </c>
      <c r="F287" s="74"/>
      <c r="G287" s="87" t="s">
        <v>971</v>
      </c>
      <c r="H287" s="74" t="s">
        <v>972</v>
      </c>
      <c r="I287" s="74" t="s">
        <v>932</v>
      </c>
      <c r="J287" s="74"/>
      <c r="K287" s="84">
        <v>8.009999999725542</v>
      </c>
      <c r="L287" s="87" t="s">
        <v>150</v>
      </c>
      <c r="M287" s="88">
        <v>3.61E-2</v>
      </c>
      <c r="N287" s="88">
        <v>4.5499999998752455E-2</v>
      </c>
      <c r="O287" s="84">
        <v>738.69</v>
      </c>
      <c r="P287" s="86">
        <v>91.3155</v>
      </c>
      <c r="Q287" s="74"/>
      <c r="R287" s="84">
        <v>2.4047303659999999</v>
      </c>
      <c r="S287" s="85">
        <v>5.9095200000000009E-7</v>
      </c>
      <c r="T287" s="85">
        <f>R287/$R$11</f>
        <v>2.1553733370742964E-3</v>
      </c>
      <c r="U287" s="85">
        <f>R287/'סכום נכסי הקרן'!$C$42</f>
        <v>3.8168008718256837E-4</v>
      </c>
    </row>
    <row r="288" spans="2:21" s="114" customFormat="1">
      <c r="B288" s="77" t="s">
        <v>1121</v>
      </c>
      <c r="C288" s="74" t="s">
        <v>1122</v>
      </c>
      <c r="D288" s="87" t="s">
        <v>27</v>
      </c>
      <c r="E288" s="87" t="s">
        <v>928</v>
      </c>
      <c r="F288" s="74"/>
      <c r="G288" s="87" t="s">
        <v>1123</v>
      </c>
      <c r="H288" s="74" t="s">
        <v>972</v>
      </c>
      <c r="I288" s="74" t="s">
        <v>932</v>
      </c>
      <c r="J288" s="74"/>
      <c r="K288" s="84">
        <v>16.809999999999999</v>
      </c>
      <c r="L288" s="87" t="s">
        <v>150</v>
      </c>
      <c r="M288" s="88">
        <v>5.1249999999999997E-2</v>
      </c>
      <c r="N288" s="88">
        <v>3.9300000000000002E-2</v>
      </c>
      <c r="O288" s="84">
        <v>430.90249999999997</v>
      </c>
      <c r="P288" s="86">
        <v>118.6579</v>
      </c>
      <c r="Q288" s="74"/>
      <c r="R288" s="84">
        <v>1.8227846749999999</v>
      </c>
      <c r="S288" s="85">
        <v>3.4472199999999998E-7</v>
      </c>
      <c r="T288" s="85">
        <f>R288/$R$11</f>
        <v>1.6337721447988057E-3</v>
      </c>
      <c r="U288" s="85">
        <f>R288/'סכום נכסי הקרן'!$C$42</f>
        <v>2.8931335650171164E-4</v>
      </c>
    </row>
    <row r="289" spans="2:21" s="114" customFormat="1">
      <c r="B289" s="77" t="s">
        <v>1124</v>
      </c>
      <c r="C289" s="74" t="s">
        <v>1125</v>
      </c>
      <c r="D289" s="87" t="s">
        <v>27</v>
      </c>
      <c r="E289" s="87" t="s">
        <v>928</v>
      </c>
      <c r="F289" s="74"/>
      <c r="G289" s="87" t="s">
        <v>1126</v>
      </c>
      <c r="H289" s="74" t="s">
        <v>972</v>
      </c>
      <c r="I289" s="74" t="s">
        <v>932</v>
      </c>
      <c r="J289" s="74"/>
      <c r="K289" s="84">
        <v>17.93</v>
      </c>
      <c r="L289" s="87" t="s">
        <v>150</v>
      </c>
      <c r="M289" s="88">
        <v>4.2000000000000003E-2</v>
      </c>
      <c r="N289" s="88">
        <v>3.6000000000000004E-2</v>
      </c>
      <c r="O289" s="84">
        <v>787.93600000000004</v>
      </c>
      <c r="P289" s="86">
        <v>109.762</v>
      </c>
      <c r="Q289" s="74"/>
      <c r="R289" s="84">
        <v>3.083205623</v>
      </c>
      <c r="S289" s="85">
        <v>1.0505813333333334E-6</v>
      </c>
      <c r="T289" s="85">
        <f>R289/$R$11</f>
        <v>2.763494521668857E-3</v>
      </c>
      <c r="U289" s="85">
        <f>R289/'סכום נכסי הקרן'!$C$42</f>
        <v>4.8936804210024474E-4</v>
      </c>
    </row>
    <row r="290" spans="2:21" s="114" customFormat="1">
      <c r="B290" s="77" t="s">
        <v>969</v>
      </c>
      <c r="C290" s="74" t="s">
        <v>970</v>
      </c>
      <c r="D290" s="87" t="s">
        <v>27</v>
      </c>
      <c r="E290" s="87" t="s">
        <v>928</v>
      </c>
      <c r="F290" s="74"/>
      <c r="G290" s="87" t="s">
        <v>971</v>
      </c>
      <c r="H290" s="74" t="s">
        <v>972</v>
      </c>
      <c r="I290" s="74" t="s">
        <v>932</v>
      </c>
      <c r="J290" s="74"/>
      <c r="K290" s="84">
        <v>7.8100000006199259</v>
      </c>
      <c r="L290" s="87" t="s">
        <v>150</v>
      </c>
      <c r="M290" s="88">
        <v>3.9329999999999997E-2</v>
      </c>
      <c r="N290" s="88">
        <v>4.4800000003673637E-2</v>
      </c>
      <c r="O290" s="84">
        <v>643.89144999999996</v>
      </c>
      <c r="P290" s="86">
        <v>94.868700000000004</v>
      </c>
      <c r="Q290" s="74"/>
      <c r="R290" s="84">
        <v>2.1776842649999999</v>
      </c>
      <c r="S290" s="85">
        <v>4.2926096666666663E-7</v>
      </c>
      <c r="T290" s="85">
        <f t="shared" si="7"/>
        <v>1.9518706411790854E-3</v>
      </c>
      <c r="U290" s="85">
        <f>R290/'סכום נכסי הקרן'!$C$42</f>
        <v>3.4564320884918173E-4</v>
      </c>
    </row>
    <row r="291" spans="2:21" s="114" customFormat="1">
      <c r="B291" s="77" t="s">
        <v>973</v>
      </c>
      <c r="C291" s="74" t="s">
        <v>974</v>
      </c>
      <c r="D291" s="87" t="s">
        <v>27</v>
      </c>
      <c r="E291" s="87" t="s">
        <v>928</v>
      </c>
      <c r="F291" s="74"/>
      <c r="G291" s="87" t="s">
        <v>971</v>
      </c>
      <c r="H291" s="74" t="s">
        <v>972</v>
      </c>
      <c r="I291" s="74" t="s">
        <v>932</v>
      </c>
      <c r="J291" s="74"/>
      <c r="K291" s="84">
        <v>7.729999998354633</v>
      </c>
      <c r="L291" s="87" t="s">
        <v>150</v>
      </c>
      <c r="M291" s="88">
        <v>4.1100000000000005E-2</v>
      </c>
      <c r="N291" s="88">
        <v>4.6299999992839097E-2</v>
      </c>
      <c r="O291" s="84">
        <v>541.70600000000002</v>
      </c>
      <c r="P291" s="86">
        <v>94.728499999999997</v>
      </c>
      <c r="Q291" s="74"/>
      <c r="R291" s="84">
        <v>1.8293796369999999</v>
      </c>
      <c r="S291" s="85">
        <v>4.3336480000000001E-7</v>
      </c>
      <c r="T291" s="85">
        <f t="shared" si="7"/>
        <v>1.6396832462905969E-3</v>
      </c>
      <c r="U291" s="85">
        <f>R291/'סכום נכסי הקרן'!$C$42</f>
        <v>2.9036011239031996E-4</v>
      </c>
    </row>
    <row r="292" spans="2:21" s="114" customFormat="1">
      <c r="B292" s="77" t="s">
        <v>1115</v>
      </c>
      <c r="C292" s="74" t="s">
        <v>1116</v>
      </c>
      <c r="D292" s="87" t="s">
        <v>27</v>
      </c>
      <c r="E292" s="87" t="s">
        <v>928</v>
      </c>
      <c r="F292" s="74"/>
      <c r="G292" s="87" t="s">
        <v>953</v>
      </c>
      <c r="H292" s="115" t="s">
        <v>1341</v>
      </c>
      <c r="I292" s="74" t="s">
        <v>904</v>
      </c>
      <c r="J292" s="74"/>
      <c r="K292" s="118">
        <v>14.57</v>
      </c>
      <c r="L292" s="87" t="s">
        <v>152</v>
      </c>
      <c r="M292" s="88">
        <v>3.7000000000000005E-2</v>
      </c>
      <c r="N292" s="116">
        <v>3.5400000000000001E-2</v>
      </c>
      <c r="O292" s="84">
        <v>320.09899999999999</v>
      </c>
      <c r="P292" s="86">
        <v>102.59</v>
      </c>
      <c r="Q292" s="74"/>
      <c r="R292" s="84">
        <v>1.2808178170000002</v>
      </c>
      <c r="S292" s="117">
        <f>3.51/1750000000</f>
        <v>2.0057142857142854E-9</v>
      </c>
      <c r="T292" s="85">
        <f>R292/$R$11</f>
        <v>1.14800420514651E-3</v>
      </c>
      <c r="U292" s="85">
        <f>R292/'סכום נכסי הקרן'!$C$42</f>
        <v>2.0329208753275542E-4</v>
      </c>
    </row>
    <row r="293" spans="2:21" s="114" customFormat="1">
      <c r="B293" s="77" t="s">
        <v>975</v>
      </c>
      <c r="C293" s="74" t="s">
        <v>976</v>
      </c>
      <c r="D293" s="87" t="s">
        <v>27</v>
      </c>
      <c r="E293" s="87" t="s">
        <v>928</v>
      </c>
      <c r="F293" s="74"/>
      <c r="G293" s="87" t="s">
        <v>960</v>
      </c>
      <c r="H293" s="74" t="s">
        <v>903</v>
      </c>
      <c r="I293" s="74" t="s">
        <v>904</v>
      </c>
      <c r="J293" s="74"/>
      <c r="K293" s="84">
        <v>15.809999997728161</v>
      </c>
      <c r="L293" s="87" t="s">
        <v>150</v>
      </c>
      <c r="M293" s="88">
        <v>4.4500000000000005E-2</v>
      </c>
      <c r="N293" s="88">
        <v>3.8099999994110054E-2</v>
      </c>
      <c r="O293" s="84">
        <v>759.66879600000004</v>
      </c>
      <c r="P293" s="86">
        <v>109.70910000000001</v>
      </c>
      <c r="Q293" s="74"/>
      <c r="R293" s="84">
        <v>2.9711632750000003</v>
      </c>
      <c r="S293" s="85">
        <v>3.79834398E-7</v>
      </c>
      <c r="T293" s="85">
        <f t="shared" si="7"/>
        <v>2.6630703356907443E-3</v>
      </c>
      <c r="U293" s="85">
        <f>R293/'סכום נכסי הקרן'!$C$42</f>
        <v>4.7158462082465567E-4</v>
      </c>
    </row>
    <row r="294" spans="2:21" s="114" customFormat="1">
      <c r="B294" s="77" t="s">
        <v>977</v>
      </c>
      <c r="C294" s="74" t="s">
        <v>978</v>
      </c>
      <c r="D294" s="87" t="s">
        <v>27</v>
      </c>
      <c r="E294" s="87" t="s">
        <v>928</v>
      </c>
      <c r="F294" s="74"/>
      <c r="G294" s="87" t="s">
        <v>953</v>
      </c>
      <c r="H294" s="74" t="s">
        <v>979</v>
      </c>
      <c r="I294" s="74" t="s">
        <v>322</v>
      </c>
      <c r="J294" s="74"/>
      <c r="K294" s="84">
        <v>15.57000000249254</v>
      </c>
      <c r="L294" s="87" t="s">
        <v>150</v>
      </c>
      <c r="M294" s="88">
        <v>5.5500000000000001E-2</v>
      </c>
      <c r="N294" s="88">
        <v>4.3800000007627862E-2</v>
      </c>
      <c r="O294" s="84">
        <v>615.57500000000005</v>
      </c>
      <c r="P294" s="86">
        <v>118.2829</v>
      </c>
      <c r="Q294" s="74"/>
      <c r="R294" s="84">
        <v>2.5957480289999997</v>
      </c>
      <c r="S294" s="85">
        <v>1.5389375000000001E-7</v>
      </c>
      <c r="T294" s="85">
        <f t="shared" si="7"/>
        <v>2.3265835415785478E-3</v>
      </c>
      <c r="U294" s="85">
        <f>R294/'סכום נכסי הקרן'!$C$42</f>
        <v>4.119985126069223E-4</v>
      </c>
    </row>
    <row r="295" spans="2:21" s="114" customFormat="1">
      <c r="B295" s="77" t="s">
        <v>980</v>
      </c>
      <c r="C295" s="74" t="s">
        <v>981</v>
      </c>
      <c r="D295" s="87" t="s">
        <v>27</v>
      </c>
      <c r="E295" s="87" t="s">
        <v>928</v>
      </c>
      <c r="F295" s="74"/>
      <c r="G295" s="87" t="s">
        <v>982</v>
      </c>
      <c r="H295" s="74" t="s">
        <v>979</v>
      </c>
      <c r="I295" s="74" t="s">
        <v>932</v>
      </c>
      <c r="J295" s="74"/>
      <c r="K295" s="84">
        <v>16.72000000151921</v>
      </c>
      <c r="L295" s="87" t="s">
        <v>150</v>
      </c>
      <c r="M295" s="88">
        <v>4.5499999999999999E-2</v>
      </c>
      <c r="N295" s="88">
        <v>4.0100000002626673E-2</v>
      </c>
      <c r="O295" s="84">
        <v>738.69</v>
      </c>
      <c r="P295" s="86">
        <v>106.9804</v>
      </c>
      <c r="Q295" s="74"/>
      <c r="R295" s="84">
        <v>2.8172542260000002</v>
      </c>
      <c r="S295" s="85">
        <v>2.9613009214753552E-7</v>
      </c>
      <c r="T295" s="85">
        <f t="shared" si="7"/>
        <v>2.5251207903947952E-3</v>
      </c>
      <c r="U295" s="85">
        <f>R295/'סכום נכסי הקרן'!$C$42</f>
        <v>4.4715609442058305E-4</v>
      </c>
    </row>
    <row r="296" spans="2:21" s="114" customFormat="1">
      <c r="B296" s="77" t="s">
        <v>985</v>
      </c>
      <c r="C296" s="74" t="s">
        <v>986</v>
      </c>
      <c r="D296" s="87" t="s">
        <v>27</v>
      </c>
      <c r="E296" s="87" t="s">
        <v>928</v>
      </c>
      <c r="F296" s="74"/>
      <c r="G296" s="87" t="s">
        <v>971</v>
      </c>
      <c r="H296" s="74" t="s">
        <v>979</v>
      </c>
      <c r="I296" s="74" t="s">
        <v>322</v>
      </c>
      <c r="J296" s="74"/>
      <c r="K296" s="84">
        <v>3.040000085321886</v>
      </c>
      <c r="L296" s="87" t="s">
        <v>150</v>
      </c>
      <c r="M296" s="88">
        <v>6.5000000000000002E-2</v>
      </c>
      <c r="N296" s="88">
        <v>5.7800003602479638E-2</v>
      </c>
      <c r="O296" s="84">
        <v>1.157281</v>
      </c>
      <c r="P296" s="86">
        <v>102.2689</v>
      </c>
      <c r="Q296" s="74"/>
      <c r="R296" s="84">
        <v>4.2193159999999999E-3</v>
      </c>
      <c r="S296" s="85">
        <v>4.629124E-10</v>
      </c>
      <c r="T296" s="85">
        <f t="shared" si="7"/>
        <v>3.781796635361726E-6</v>
      </c>
      <c r="U296" s="85">
        <f>R296/'סכום נכסי הקרן'!$C$42</f>
        <v>6.6969208752063707E-7</v>
      </c>
    </row>
    <row r="297" spans="2:21" s="114" customFormat="1">
      <c r="B297" s="77" t="s">
        <v>987</v>
      </c>
      <c r="C297" s="74" t="s">
        <v>988</v>
      </c>
      <c r="D297" s="87" t="s">
        <v>27</v>
      </c>
      <c r="E297" s="87" t="s">
        <v>928</v>
      </c>
      <c r="F297" s="74"/>
      <c r="G297" s="87" t="s">
        <v>989</v>
      </c>
      <c r="H297" s="74" t="s">
        <v>979</v>
      </c>
      <c r="I297" s="74" t="s">
        <v>932</v>
      </c>
      <c r="J297" s="74"/>
      <c r="K297" s="84">
        <v>13.920000005643503</v>
      </c>
      <c r="L297" s="87" t="s">
        <v>150</v>
      </c>
      <c r="M297" s="88">
        <v>5.0999999999999997E-2</v>
      </c>
      <c r="N297" s="88">
        <v>5.050000001631625E-2</v>
      </c>
      <c r="O297" s="84">
        <v>295.476</v>
      </c>
      <c r="P297" s="86">
        <v>98.911500000000004</v>
      </c>
      <c r="Q297" s="74"/>
      <c r="R297" s="84">
        <v>1.041905986</v>
      </c>
      <c r="S297" s="85">
        <v>3.9396800000000002E-7</v>
      </c>
      <c r="T297" s="85">
        <f t="shared" si="7"/>
        <v>9.3386618878937768E-4</v>
      </c>
      <c r="U297" s="85">
        <f>R297/'סכום נכסי הקרן'!$C$42</f>
        <v>1.6537187420060211E-4</v>
      </c>
    </row>
    <row r="298" spans="2:21" s="114" customFormat="1">
      <c r="B298" s="77" t="s">
        <v>990</v>
      </c>
      <c r="C298" s="74" t="s">
        <v>991</v>
      </c>
      <c r="D298" s="87" t="s">
        <v>27</v>
      </c>
      <c r="E298" s="87" t="s">
        <v>928</v>
      </c>
      <c r="F298" s="74"/>
      <c r="G298" s="87" t="s">
        <v>966</v>
      </c>
      <c r="H298" s="74" t="s">
        <v>979</v>
      </c>
      <c r="I298" s="74" t="s">
        <v>322</v>
      </c>
      <c r="J298" s="74"/>
      <c r="K298" s="84">
        <v>6.2700000002321321</v>
      </c>
      <c r="L298" s="87" t="s">
        <v>150</v>
      </c>
      <c r="M298" s="88">
        <v>4.4999999999999998E-2</v>
      </c>
      <c r="N298" s="88">
        <v>7.6600000010832905E-2</v>
      </c>
      <c r="O298" s="84">
        <v>445.67630000000003</v>
      </c>
      <c r="P298" s="86">
        <v>81.34</v>
      </c>
      <c r="Q298" s="74"/>
      <c r="R298" s="84">
        <v>1.2923592100000001</v>
      </c>
      <c r="S298" s="85">
        <v>5.9423506666666671E-7</v>
      </c>
      <c r="T298" s="85">
        <f t="shared" si="7"/>
        <v>1.1583488205331714E-3</v>
      </c>
      <c r="U298" s="85">
        <f>R298/'סכום נכסי הקרן'!$C$42</f>
        <v>2.0512394358977178E-4</v>
      </c>
    </row>
    <row r="299" spans="2:21" s="114" customFormat="1">
      <c r="B299" s="77" t="s">
        <v>992</v>
      </c>
      <c r="C299" s="74" t="s">
        <v>993</v>
      </c>
      <c r="D299" s="87" t="s">
        <v>27</v>
      </c>
      <c r="E299" s="87" t="s">
        <v>928</v>
      </c>
      <c r="F299" s="74"/>
      <c r="G299" s="87" t="s">
        <v>966</v>
      </c>
      <c r="H299" s="74" t="s">
        <v>979</v>
      </c>
      <c r="I299" s="74" t="s">
        <v>322</v>
      </c>
      <c r="J299" s="74"/>
      <c r="K299" s="84">
        <v>4.6100000015853908</v>
      </c>
      <c r="L299" s="87" t="s">
        <v>150</v>
      </c>
      <c r="M299" s="88">
        <v>5.7500000000000002E-2</v>
      </c>
      <c r="N299" s="88">
        <v>5.6900000017933106E-2</v>
      </c>
      <c r="O299" s="84">
        <v>208.679925</v>
      </c>
      <c r="P299" s="86">
        <v>103.4387</v>
      </c>
      <c r="Q299" s="74"/>
      <c r="R299" s="84">
        <v>0.76952609800000005</v>
      </c>
      <c r="S299" s="85">
        <v>2.9811417857142857E-7</v>
      </c>
      <c r="T299" s="85">
        <f t="shared" si="7"/>
        <v>6.8973056491607599E-4</v>
      </c>
      <c r="U299" s="85">
        <f>R299/'סכום נכסי הקרן'!$C$42</f>
        <v>1.221395929983036E-4</v>
      </c>
    </row>
    <row r="300" spans="2:21" s="114" customFormat="1">
      <c r="B300" s="77" t="s">
        <v>996</v>
      </c>
      <c r="C300" s="74" t="s">
        <v>997</v>
      </c>
      <c r="D300" s="87" t="s">
        <v>27</v>
      </c>
      <c r="E300" s="87" t="s">
        <v>928</v>
      </c>
      <c r="F300" s="74"/>
      <c r="G300" s="87" t="s">
        <v>998</v>
      </c>
      <c r="H300" s="74" t="s">
        <v>931</v>
      </c>
      <c r="I300" s="74" t="s">
        <v>322</v>
      </c>
      <c r="J300" s="74"/>
      <c r="K300" s="84">
        <v>7.6400000009586027</v>
      </c>
      <c r="L300" s="87" t="s">
        <v>150</v>
      </c>
      <c r="M300" s="88">
        <v>4.2500000000000003E-2</v>
      </c>
      <c r="N300" s="88">
        <v>6.4100000006889965E-2</v>
      </c>
      <c r="O300" s="84">
        <v>541.70600000000002</v>
      </c>
      <c r="P300" s="86">
        <v>86.428600000000003</v>
      </c>
      <c r="Q300" s="74"/>
      <c r="R300" s="84">
        <v>1.669093685</v>
      </c>
      <c r="S300" s="85">
        <v>9.0284333333333332E-7</v>
      </c>
      <c r="T300" s="85">
        <f t="shared" si="7"/>
        <v>1.4960180470096349E-3</v>
      </c>
      <c r="U300" s="85">
        <f>R300/'סכום נכסי הקרן'!$C$42</f>
        <v>2.64919440538505E-4</v>
      </c>
    </row>
    <row r="301" spans="2:21" s="114" customFormat="1">
      <c r="B301" s="77" t="s">
        <v>999</v>
      </c>
      <c r="C301" s="74" t="s">
        <v>1000</v>
      </c>
      <c r="D301" s="87" t="s">
        <v>27</v>
      </c>
      <c r="E301" s="87" t="s">
        <v>928</v>
      </c>
      <c r="F301" s="74"/>
      <c r="G301" s="87" t="s">
        <v>998</v>
      </c>
      <c r="H301" s="74" t="s">
        <v>931</v>
      </c>
      <c r="I301" s="74" t="s">
        <v>322</v>
      </c>
      <c r="J301" s="74"/>
      <c r="K301" s="84">
        <v>5.3899999996403354</v>
      </c>
      <c r="L301" s="87" t="s">
        <v>150</v>
      </c>
      <c r="M301" s="88">
        <v>5.2499999999999998E-2</v>
      </c>
      <c r="N301" s="88">
        <v>6.1499999998287314E-2</v>
      </c>
      <c r="O301" s="84">
        <v>685.97215700000004</v>
      </c>
      <c r="P301" s="86">
        <v>95.502399999999994</v>
      </c>
      <c r="Q301" s="74"/>
      <c r="R301" s="84">
        <v>2.3355027559999999</v>
      </c>
      <c r="S301" s="85">
        <v>1.1432869283333334E-6</v>
      </c>
      <c r="T301" s="85">
        <f t="shared" si="7"/>
        <v>2.0933242413032913E-3</v>
      </c>
      <c r="U301" s="85">
        <f>R301/'סכום נכסי הקרן'!$C$42</f>
        <v>3.706922439741041E-4</v>
      </c>
    </row>
    <row r="302" spans="2:21" s="114" customFormat="1">
      <c r="B302" s="77" t="s">
        <v>1001</v>
      </c>
      <c r="C302" s="74" t="s">
        <v>1002</v>
      </c>
      <c r="D302" s="87" t="s">
        <v>27</v>
      </c>
      <c r="E302" s="87" t="s">
        <v>928</v>
      </c>
      <c r="F302" s="74"/>
      <c r="G302" s="87" t="s">
        <v>948</v>
      </c>
      <c r="H302" s="74" t="s">
        <v>931</v>
      </c>
      <c r="I302" s="74" t="s">
        <v>322</v>
      </c>
      <c r="J302" s="74"/>
      <c r="K302" s="84">
        <v>7.1399999997037096</v>
      </c>
      <c r="L302" s="87" t="s">
        <v>150</v>
      </c>
      <c r="M302" s="88">
        <v>4.7500000000000001E-2</v>
      </c>
      <c r="N302" s="88">
        <v>4.5799999997777834E-2</v>
      </c>
      <c r="O302" s="84">
        <v>738.69</v>
      </c>
      <c r="P302" s="86">
        <v>102.5301</v>
      </c>
      <c r="Q302" s="74"/>
      <c r="R302" s="84">
        <v>2.7000578200000001</v>
      </c>
      <c r="S302" s="85">
        <v>2.4623E-7</v>
      </c>
      <c r="T302" s="85">
        <f t="shared" si="7"/>
        <v>2.4200769932752413E-3</v>
      </c>
      <c r="U302" s="85">
        <f>R302/'סכום נכסי הקרן'!$C$42</f>
        <v>4.2855461830832787E-4</v>
      </c>
    </row>
    <row r="303" spans="2:21" s="114" customFormat="1">
      <c r="B303" s="77" t="s">
        <v>1003</v>
      </c>
      <c r="C303" s="74" t="s">
        <v>1004</v>
      </c>
      <c r="D303" s="87" t="s">
        <v>27</v>
      </c>
      <c r="E303" s="87" t="s">
        <v>928</v>
      </c>
      <c r="F303" s="74"/>
      <c r="G303" s="87" t="s">
        <v>1005</v>
      </c>
      <c r="H303" s="74" t="s">
        <v>931</v>
      </c>
      <c r="I303" s="74" t="s">
        <v>932</v>
      </c>
      <c r="J303" s="74"/>
      <c r="K303" s="74">
        <v>8.7899999999999991</v>
      </c>
      <c r="L303" s="87" t="s">
        <v>150</v>
      </c>
      <c r="M303" s="88">
        <v>3.3000000000000002E-2</v>
      </c>
      <c r="N303" s="88">
        <v>3.3300000000000003E-2</v>
      </c>
      <c r="O303" s="84">
        <v>418.59100000000001</v>
      </c>
      <c r="P303" s="86">
        <v>99.926000000000002</v>
      </c>
      <c r="Q303" s="74"/>
      <c r="R303" s="84">
        <v>1.4911726300000001</v>
      </c>
      <c r="S303" s="117">
        <f>418.59/750000000</f>
        <v>5.5811999999999992E-7</v>
      </c>
      <c r="T303" s="85">
        <f t="shared" si="7"/>
        <v>1.3365464058339069E-3</v>
      </c>
      <c r="U303" s="85">
        <f>R303/'סכום נכסי הקרן'!$C$42</f>
        <v>2.3667971572604153E-4</v>
      </c>
    </row>
    <row r="304" spans="2:21">
      <c r="B304" s="77" t="s">
        <v>1006</v>
      </c>
      <c r="C304" s="74" t="s">
        <v>1007</v>
      </c>
      <c r="D304" s="87" t="s">
        <v>27</v>
      </c>
      <c r="E304" s="87" t="s">
        <v>928</v>
      </c>
      <c r="F304" s="74"/>
      <c r="G304" s="87" t="s">
        <v>1008</v>
      </c>
      <c r="H304" s="74" t="s">
        <v>931</v>
      </c>
      <c r="I304" s="74" t="s">
        <v>322</v>
      </c>
      <c r="J304" s="74"/>
      <c r="K304" s="84">
        <v>7.5800000004639925</v>
      </c>
      <c r="L304" s="87" t="s">
        <v>150</v>
      </c>
      <c r="M304" s="88">
        <v>5.2999999999999999E-2</v>
      </c>
      <c r="N304" s="88">
        <v>5.3800000003039951E-2</v>
      </c>
      <c r="O304" s="84">
        <v>706.68010000000004</v>
      </c>
      <c r="P304" s="86">
        <v>99.235299999999995</v>
      </c>
      <c r="Q304" s="74"/>
      <c r="R304" s="84">
        <v>2.5000487979999999</v>
      </c>
      <c r="S304" s="85">
        <v>4.0381720000000003E-7</v>
      </c>
      <c r="T304" s="85">
        <f t="shared" si="7"/>
        <v>2.2408077831848876E-3</v>
      </c>
      <c r="U304" s="85">
        <f>R304/'סכום נכסי הקרן'!$C$42</f>
        <v>3.9680907958448232E-4</v>
      </c>
    </row>
    <row r="305" spans="2:21">
      <c r="B305" s="77" t="s">
        <v>1009</v>
      </c>
      <c r="C305" s="74" t="s">
        <v>1010</v>
      </c>
      <c r="D305" s="87" t="s">
        <v>27</v>
      </c>
      <c r="E305" s="87" t="s">
        <v>928</v>
      </c>
      <c r="F305" s="74"/>
      <c r="G305" s="87" t="s">
        <v>930</v>
      </c>
      <c r="H305" s="74" t="s">
        <v>931</v>
      </c>
      <c r="I305" s="74" t="s">
        <v>322</v>
      </c>
      <c r="J305" s="74"/>
      <c r="K305" s="84">
        <v>6.9099999998035138</v>
      </c>
      <c r="L305" s="87" t="s">
        <v>150</v>
      </c>
      <c r="M305" s="88">
        <v>5.2499999999999998E-2</v>
      </c>
      <c r="N305" s="88">
        <v>7.8799999999999995E-2</v>
      </c>
      <c r="O305" s="84">
        <v>833.63628800000004</v>
      </c>
      <c r="P305" s="86">
        <v>85.625200000000007</v>
      </c>
      <c r="Q305" s="74"/>
      <c r="R305" s="84">
        <v>2.5447082500000002</v>
      </c>
      <c r="S305" s="85">
        <v>5.5575752533333332E-7</v>
      </c>
      <c r="T305" s="85">
        <f t="shared" si="7"/>
        <v>2.2808363009139934E-3</v>
      </c>
      <c r="U305" s="85">
        <f>R305/'סכום נכסי הקרן'!$C$42</f>
        <v>4.0389745164227741E-4</v>
      </c>
    </row>
    <row r="306" spans="2:21">
      <c r="B306" s="77" t="s">
        <v>1011</v>
      </c>
      <c r="C306" s="74" t="s">
        <v>1012</v>
      </c>
      <c r="D306" s="87" t="s">
        <v>27</v>
      </c>
      <c r="E306" s="87" t="s">
        <v>928</v>
      </c>
      <c r="F306" s="74"/>
      <c r="G306" s="87" t="s">
        <v>1013</v>
      </c>
      <c r="H306" s="74" t="s">
        <v>931</v>
      </c>
      <c r="I306" s="74" t="s">
        <v>322</v>
      </c>
      <c r="J306" s="74"/>
      <c r="K306" s="84">
        <v>4.3000000012110675</v>
      </c>
      <c r="L306" s="87" t="s">
        <v>150</v>
      </c>
      <c r="M306" s="88">
        <v>4.1250000000000002E-2</v>
      </c>
      <c r="N306" s="88">
        <v>9.3500000017234408E-2</v>
      </c>
      <c r="O306" s="84">
        <v>369.34500000000003</v>
      </c>
      <c r="P306" s="86">
        <v>81.523600000000002</v>
      </c>
      <c r="Q306" s="74"/>
      <c r="R306" s="84">
        <v>1.0734331890000002</v>
      </c>
      <c r="S306" s="85">
        <v>7.8584042553191494E-7</v>
      </c>
      <c r="T306" s="85">
        <f t="shared" si="7"/>
        <v>9.6212419796142521E-4</v>
      </c>
      <c r="U306" s="85">
        <f>R306/'סכום נכסי הקרן'!$C$42</f>
        <v>1.703758886879638E-4</v>
      </c>
    </row>
    <row r="307" spans="2:21">
      <c r="B307" s="77" t="s">
        <v>1014</v>
      </c>
      <c r="C307" s="74" t="s">
        <v>1015</v>
      </c>
      <c r="D307" s="87" t="s">
        <v>27</v>
      </c>
      <c r="E307" s="87" t="s">
        <v>928</v>
      </c>
      <c r="F307" s="74"/>
      <c r="G307" s="87" t="s">
        <v>1013</v>
      </c>
      <c r="H307" s="74" t="s">
        <v>931</v>
      </c>
      <c r="I307" s="74" t="s">
        <v>322</v>
      </c>
      <c r="J307" s="74"/>
      <c r="K307" s="84">
        <v>4.4499999999512374</v>
      </c>
      <c r="L307" s="87" t="s">
        <v>150</v>
      </c>
      <c r="M307" s="88">
        <v>3.7499999999999999E-2</v>
      </c>
      <c r="N307" s="88">
        <v>5.119999999726934E-2</v>
      </c>
      <c r="O307" s="84">
        <v>615.57500000000005</v>
      </c>
      <c r="P307" s="86">
        <v>93.449799999999996</v>
      </c>
      <c r="Q307" s="74"/>
      <c r="R307" s="84">
        <v>2.050779838</v>
      </c>
      <c r="S307" s="85">
        <v>1.7099305555555557E-6</v>
      </c>
      <c r="T307" s="85">
        <f t="shared" si="7"/>
        <v>1.838125490296547E-3</v>
      </c>
      <c r="U307" s="85">
        <f>R307/'סכום נכסי הקרן'!$C$42</f>
        <v>3.2550087046228677E-4</v>
      </c>
    </row>
    <row r="308" spans="2:21">
      <c r="B308" s="77" t="s">
        <v>1016</v>
      </c>
      <c r="C308" s="74" t="s">
        <v>1017</v>
      </c>
      <c r="D308" s="87" t="s">
        <v>27</v>
      </c>
      <c r="E308" s="87" t="s">
        <v>928</v>
      </c>
      <c r="F308" s="74"/>
      <c r="G308" s="87" t="s">
        <v>1018</v>
      </c>
      <c r="H308" s="74" t="s">
        <v>1019</v>
      </c>
      <c r="I308" s="74" t="s">
        <v>904</v>
      </c>
      <c r="J308" s="74"/>
      <c r="K308" s="84">
        <v>8.0299999978606316</v>
      </c>
      <c r="L308" s="87" t="s">
        <v>152</v>
      </c>
      <c r="M308" s="88">
        <v>2.8750000000000001E-2</v>
      </c>
      <c r="N308" s="88">
        <v>3.389999999124569E-2</v>
      </c>
      <c r="O308" s="84">
        <v>507.23379999999997</v>
      </c>
      <c r="P308" s="86">
        <v>97.579400000000007</v>
      </c>
      <c r="Q308" s="74"/>
      <c r="R308" s="84">
        <v>1.9304767710000001</v>
      </c>
      <c r="S308" s="85">
        <v>5.0723379999999999E-7</v>
      </c>
      <c r="T308" s="85">
        <f t="shared" si="7"/>
        <v>1.7302971754691449E-3</v>
      </c>
      <c r="U308" s="85">
        <f>R308/'סכום נכסי הקרן'!$C$42</f>
        <v>3.0640630345797496E-4</v>
      </c>
    </row>
    <row r="309" spans="2:21">
      <c r="B309" s="77" t="s">
        <v>1020</v>
      </c>
      <c r="C309" s="74" t="s">
        <v>1021</v>
      </c>
      <c r="D309" s="87" t="s">
        <v>27</v>
      </c>
      <c r="E309" s="87" t="s">
        <v>928</v>
      </c>
      <c r="F309" s="74"/>
      <c r="G309" s="87" t="s">
        <v>953</v>
      </c>
      <c r="H309" s="74" t="s">
        <v>931</v>
      </c>
      <c r="I309" s="74" t="s">
        <v>322</v>
      </c>
      <c r="J309" s="74"/>
      <c r="K309" s="84">
        <v>15.550000003070922</v>
      </c>
      <c r="L309" s="87" t="s">
        <v>150</v>
      </c>
      <c r="M309" s="88">
        <v>4.2000000000000003E-2</v>
      </c>
      <c r="N309" s="88">
        <v>4.7400000009526128E-2</v>
      </c>
      <c r="O309" s="84">
        <v>492.46</v>
      </c>
      <c r="P309" s="86">
        <v>90.885999999999996</v>
      </c>
      <c r="Q309" s="74"/>
      <c r="R309" s="84">
        <v>1.5956127019999999</v>
      </c>
      <c r="S309" s="85">
        <v>2.7358888888888886E-7</v>
      </c>
      <c r="T309" s="85">
        <f t="shared" si="7"/>
        <v>1.4301566291228323E-3</v>
      </c>
      <c r="U309" s="85">
        <f>R309/'סכום נכסי הקרן'!$C$42</f>
        <v>2.5325649969730262E-4</v>
      </c>
    </row>
    <row r="310" spans="2:21">
      <c r="B310" s="77" t="s">
        <v>1022</v>
      </c>
      <c r="C310" s="74" t="s">
        <v>1023</v>
      </c>
      <c r="D310" s="87" t="s">
        <v>27</v>
      </c>
      <c r="E310" s="87" t="s">
        <v>928</v>
      </c>
      <c r="F310" s="74"/>
      <c r="G310" s="87" t="s">
        <v>1008</v>
      </c>
      <c r="H310" s="74" t="s">
        <v>931</v>
      </c>
      <c r="I310" s="74" t="s">
        <v>322</v>
      </c>
      <c r="J310" s="74"/>
      <c r="K310" s="84">
        <v>7.3199999993793128</v>
      </c>
      <c r="L310" s="87" t="s">
        <v>150</v>
      </c>
      <c r="M310" s="88">
        <v>4.5999999999999999E-2</v>
      </c>
      <c r="N310" s="88">
        <v>4.0399999996453217E-2</v>
      </c>
      <c r="O310" s="84">
        <v>478.64649700000001</v>
      </c>
      <c r="P310" s="86">
        <v>105.7478</v>
      </c>
      <c r="Q310" s="74"/>
      <c r="R310" s="84">
        <v>1.804453391</v>
      </c>
      <c r="S310" s="85">
        <v>5.9830812125000006E-7</v>
      </c>
      <c r="T310" s="85">
        <f t="shared" si="7"/>
        <v>1.6173417119625213E-3</v>
      </c>
      <c r="U310" s="85">
        <f>R310/'סכום נכסי הקרן'!$C$42</f>
        <v>2.8640380532116638E-4</v>
      </c>
    </row>
    <row r="311" spans="2:21">
      <c r="B311" s="77" t="s">
        <v>1024</v>
      </c>
      <c r="C311" s="74" t="s">
        <v>1025</v>
      </c>
      <c r="D311" s="87" t="s">
        <v>27</v>
      </c>
      <c r="E311" s="87" t="s">
        <v>928</v>
      </c>
      <c r="F311" s="74"/>
      <c r="G311" s="87" t="s">
        <v>948</v>
      </c>
      <c r="H311" s="74" t="s">
        <v>931</v>
      </c>
      <c r="I311" s="74" t="s">
        <v>322</v>
      </c>
      <c r="J311" s="74"/>
      <c r="K311" s="84">
        <v>7.4700000021960911</v>
      </c>
      <c r="L311" s="87" t="s">
        <v>150</v>
      </c>
      <c r="M311" s="88">
        <v>4.2999999999999997E-2</v>
      </c>
      <c r="N311" s="88">
        <v>3.8200000014248892E-2</v>
      </c>
      <c r="O311" s="84">
        <v>364.42039999999992</v>
      </c>
      <c r="P311" s="86">
        <v>104.7993</v>
      </c>
      <c r="Q311" s="74"/>
      <c r="R311" s="84">
        <v>1.361509683</v>
      </c>
      <c r="S311" s="85">
        <v>3.6442039999999989E-7</v>
      </c>
      <c r="T311" s="85">
        <f t="shared" si="7"/>
        <v>1.2203287779777125E-3</v>
      </c>
      <c r="U311" s="85">
        <f>R311/'סכום נכסי הקרן'!$C$42</f>
        <v>2.160995435724252E-4</v>
      </c>
    </row>
    <row r="312" spans="2:21">
      <c r="B312" s="77" t="s">
        <v>1026</v>
      </c>
      <c r="C312" s="74" t="s">
        <v>1027</v>
      </c>
      <c r="D312" s="87" t="s">
        <v>27</v>
      </c>
      <c r="E312" s="87" t="s">
        <v>928</v>
      </c>
      <c r="F312" s="74"/>
      <c r="G312" s="87" t="s">
        <v>1013</v>
      </c>
      <c r="H312" s="74" t="s">
        <v>931</v>
      </c>
      <c r="I312" s="74" t="s">
        <v>322</v>
      </c>
      <c r="J312" s="74"/>
      <c r="K312" s="84">
        <v>4.7599999996922264</v>
      </c>
      <c r="L312" s="87" t="s">
        <v>150</v>
      </c>
      <c r="M312" s="88">
        <v>3.7499999999999999E-2</v>
      </c>
      <c r="N312" s="88">
        <v>8.0199999993844528E-2</v>
      </c>
      <c r="O312" s="84">
        <v>1354.2650000000001</v>
      </c>
      <c r="P312" s="86">
        <v>80.758300000000006</v>
      </c>
      <c r="Q312" s="74"/>
      <c r="R312" s="84">
        <v>3.8989757699999998</v>
      </c>
      <c r="S312" s="85">
        <v>2.7085300000000004E-6</v>
      </c>
      <c r="T312" s="85">
        <f t="shared" si="7"/>
        <v>3.4946738875075711E-3</v>
      </c>
      <c r="U312" s="85">
        <f>R312/'סכום נכסי הקרן'!$C$42</f>
        <v>6.1884751523793983E-4</v>
      </c>
    </row>
    <row r="313" spans="2:21" s="114" customFormat="1">
      <c r="B313" s="77" t="s">
        <v>1028</v>
      </c>
      <c r="C313" s="74" t="s">
        <v>1029</v>
      </c>
      <c r="D313" s="87" t="s">
        <v>27</v>
      </c>
      <c r="E313" s="87" t="s">
        <v>928</v>
      </c>
      <c r="F313" s="74"/>
      <c r="G313" s="87" t="s">
        <v>1030</v>
      </c>
      <c r="H313" s="74" t="s">
        <v>931</v>
      </c>
      <c r="I313" s="74" t="s">
        <v>932</v>
      </c>
      <c r="J313" s="74"/>
      <c r="K313" s="118">
        <v>7.76</v>
      </c>
      <c r="L313" s="87" t="s">
        <v>150</v>
      </c>
      <c r="M313" s="88">
        <v>5.9500000000000004E-2</v>
      </c>
      <c r="N313" s="116">
        <v>5.1360000000000003E-2</v>
      </c>
      <c r="O313" s="84">
        <v>246.23</v>
      </c>
      <c r="P313" s="86">
        <v>105.812</v>
      </c>
      <c r="Q313" s="74"/>
      <c r="R313" s="84">
        <v>0.92882826400000007</v>
      </c>
      <c r="S313" s="117">
        <f>246.23/1250000000</f>
        <v>1.9698399999999999E-7</v>
      </c>
      <c r="T313" s="85">
        <f t="shared" si="7"/>
        <v>8.3251399127822455E-4</v>
      </c>
      <c r="U313" s="85">
        <f>R313/'סכום נכסי הקרן'!$C$42</f>
        <v>1.4742411781111666E-4</v>
      </c>
    </row>
    <row r="314" spans="2:21">
      <c r="B314" s="77" t="s">
        <v>1031</v>
      </c>
      <c r="C314" s="74" t="s">
        <v>1032</v>
      </c>
      <c r="D314" s="87" t="s">
        <v>27</v>
      </c>
      <c r="E314" s="87" t="s">
        <v>928</v>
      </c>
      <c r="F314" s="74"/>
      <c r="G314" s="87" t="s">
        <v>1033</v>
      </c>
      <c r="H314" s="74" t="s">
        <v>931</v>
      </c>
      <c r="I314" s="74" t="s">
        <v>932</v>
      </c>
      <c r="J314" s="74"/>
      <c r="K314" s="84">
        <v>5.6799999990500414</v>
      </c>
      <c r="L314" s="87" t="s">
        <v>150</v>
      </c>
      <c r="M314" s="88">
        <v>5.2999999999999999E-2</v>
      </c>
      <c r="N314" s="88">
        <v>0.10639999997857544</v>
      </c>
      <c r="O314" s="84">
        <v>762.08185000000003</v>
      </c>
      <c r="P314" s="86">
        <v>72.843800000000002</v>
      </c>
      <c r="Q314" s="74"/>
      <c r="R314" s="84">
        <v>1.9790371410000001</v>
      </c>
      <c r="S314" s="85">
        <v>5.080545666666667E-7</v>
      </c>
      <c r="T314" s="85">
        <f t="shared" si="7"/>
        <v>1.7738221079174185E-3</v>
      </c>
      <c r="U314" s="85">
        <f>R314/'סכום נכסי הקרן'!$C$42</f>
        <v>3.141138313027902E-4</v>
      </c>
    </row>
    <row r="315" spans="2:21">
      <c r="B315" s="77" t="s">
        <v>1034</v>
      </c>
      <c r="C315" s="74" t="s">
        <v>1035</v>
      </c>
      <c r="D315" s="87" t="s">
        <v>27</v>
      </c>
      <c r="E315" s="87" t="s">
        <v>928</v>
      </c>
      <c r="F315" s="74"/>
      <c r="G315" s="87" t="s">
        <v>1033</v>
      </c>
      <c r="H315" s="74" t="s">
        <v>931</v>
      </c>
      <c r="I315" s="74" t="s">
        <v>932</v>
      </c>
      <c r="J315" s="74"/>
      <c r="K315" s="84">
        <v>5.2299999964755735</v>
      </c>
      <c r="L315" s="87" t="s">
        <v>150</v>
      </c>
      <c r="M315" s="88">
        <v>5.8749999999999997E-2</v>
      </c>
      <c r="N315" s="88">
        <v>9.9899999924476568E-2</v>
      </c>
      <c r="O315" s="84">
        <v>172.36099999999999</v>
      </c>
      <c r="P315" s="86">
        <v>80.807400000000001</v>
      </c>
      <c r="Q315" s="74"/>
      <c r="R315" s="84">
        <v>0.49653462500000001</v>
      </c>
      <c r="S315" s="85">
        <v>1.4363416666666665E-7</v>
      </c>
      <c r="T315" s="85">
        <f t="shared" si="7"/>
        <v>4.4504677397132534E-4</v>
      </c>
      <c r="U315" s="85">
        <f>R315/'סכום נכסי הקרן'!$C$42</f>
        <v>7.8810240698380199E-5</v>
      </c>
    </row>
    <row r="316" spans="2:21">
      <c r="B316" s="77" t="s">
        <v>1036</v>
      </c>
      <c r="C316" s="74" t="s">
        <v>1037</v>
      </c>
      <c r="D316" s="87" t="s">
        <v>27</v>
      </c>
      <c r="E316" s="87" t="s">
        <v>928</v>
      </c>
      <c r="F316" s="74"/>
      <c r="G316" s="87" t="s">
        <v>1038</v>
      </c>
      <c r="H316" s="74" t="s">
        <v>931</v>
      </c>
      <c r="I316" s="74" t="s">
        <v>322</v>
      </c>
      <c r="J316" s="74"/>
      <c r="K316" s="84">
        <v>6.7299999991527493</v>
      </c>
      <c r="L316" s="87" t="s">
        <v>152</v>
      </c>
      <c r="M316" s="88">
        <v>4.6249999999999999E-2</v>
      </c>
      <c r="N316" s="88">
        <v>5.7799999991889575E-2</v>
      </c>
      <c r="O316" s="84">
        <v>741.15229999999997</v>
      </c>
      <c r="P316" s="86">
        <v>95.543000000000006</v>
      </c>
      <c r="Q316" s="74"/>
      <c r="R316" s="84">
        <v>2.7618764580000001</v>
      </c>
      <c r="S316" s="85">
        <v>4.9410153333333331E-7</v>
      </c>
      <c r="T316" s="85">
        <f t="shared" si="7"/>
        <v>2.4754853858182614E-3</v>
      </c>
      <c r="U316" s="85">
        <f>R316/'סכום נכסי הקרן'!$C$42</f>
        <v>4.3836650552651739E-4</v>
      </c>
    </row>
    <row r="317" spans="2:21">
      <c r="B317" s="77" t="s">
        <v>1039</v>
      </c>
      <c r="C317" s="74" t="s">
        <v>1040</v>
      </c>
      <c r="D317" s="87" t="s">
        <v>27</v>
      </c>
      <c r="E317" s="87" t="s">
        <v>928</v>
      </c>
      <c r="F317" s="74"/>
      <c r="G317" s="87" t="s">
        <v>1018</v>
      </c>
      <c r="H317" s="74" t="s">
        <v>1041</v>
      </c>
      <c r="I317" s="74" t="s">
        <v>932</v>
      </c>
      <c r="J317" s="74"/>
      <c r="K317" s="84">
        <v>6.7699999988310697</v>
      </c>
      <c r="L317" s="87" t="s">
        <v>152</v>
      </c>
      <c r="M317" s="88">
        <v>3.125E-2</v>
      </c>
      <c r="N317" s="88">
        <v>4.3099999991074299E-2</v>
      </c>
      <c r="O317" s="84">
        <v>738.69</v>
      </c>
      <c r="P317" s="86">
        <v>92.938400000000001</v>
      </c>
      <c r="Q317" s="74"/>
      <c r="R317" s="84">
        <v>2.6776586689999995</v>
      </c>
      <c r="S317" s="85">
        <v>9.8492000000000001E-7</v>
      </c>
      <c r="T317" s="85">
        <f t="shared" si="7"/>
        <v>2.4000005083931512E-3</v>
      </c>
      <c r="U317" s="85">
        <f>R317/'סכום נכסי הקרן'!$C$42</f>
        <v>4.2499941310637562E-4</v>
      </c>
    </row>
    <row r="318" spans="2:21">
      <c r="B318" s="77" t="s">
        <v>1042</v>
      </c>
      <c r="C318" s="74" t="s">
        <v>1043</v>
      </c>
      <c r="D318" s="87" t="s">
        <v>27</v>
      </c>
      <c r="E318" s="87" t="s">
        <v>928</v>
      </c>
      <c r="F318" s="74"/>
      <c r="G318" s="87" t="s">
        <v>930</v>
      </c>
      <c r="H318" s="74" t="s">
        <v>1044</v>
      </c>
      <c r="I318" s="74" t="s">
        <v>904</v>
      </c>
      <c r="J318" s="74"/>
      <c r="K318" s="84">
        <v>7.7700000029901535</v>
      </c>
      <c r="L318" s="87" t="s">
        <v>150</v>
      </c>
      <c r="M318" s="88">
        <v>3.7000000000000005E-2</v>
      </c>
      <c r="N318" s="88">
        <v>7.2800000031716647E-2</v>
      </c>
      <c r="O318" s="84">
        <v>381.65649999999999</v>
      </c>
      <c r="P318" s="86">
        <v>76.934100000000001</v>
      </c>
      <c r="Q318" s="74"/>
      <c r="R318" s="84">
        <v>1.0467689310000001</v>
      </c>
      <c r="S318" s="85">
        <v>2.5443766666666665E-7</v>
      </c>
      <c r="T318" s="85">
        <f t="shared" si="7"/>
        <v>9.3822487371341507E-4</v>
      </c>
      <c r="U318" s="85">
        <f>R318/'סכום נכסי הקרן'!$C$42</f>
        <v>1.661437234265307E-4</v>
      </c>
    </row>
    <row r="319" spans="2:21">
      <c r="B319" s="77" t="s">
        <v>1045</v>
      </c>
      <c r="C319" s="74" t="s">
        <v>1046</v>
      </c>
      <c r="D319" s="87" t="s">
        <v>27</v>
      </c>
      <c r="E319" s="87" t="s">
        <v>928</v>
      </c>
      <c r="F319" s="74"/>
      <c r="G319" s="87" t="s">
        <v>930</v>
      </c>
      <c r="H319" s="74" t="s">
        <v>1044</v>
      </c>
      <c r="I319" s="74" t="s">
        <v>904</v>
      </c>
      <c r="J319" s="74"/>
      <c r="K319" s="84">
        <v>3.6300000004415045</v>
      </c>
      <c r="L319" s="87" t="s">
        <v>150</v>
      </c>
      <c r="M319" s="88">
        <v>7.0000000000000007E-2</v>
      </c>
      <c r="N319" s="88">
        <v>0.10830000000805633</v>
      </c>
      <c r="O319" s="84">
        <v>711.30922399999997</v>
      </c>
      <c r="P319" s="86">
        <v>86.64</v>
      </c>
      <c r="Q319" s="74"/>
      <c r="R319" s="84">
        <v>2.197032181</v>
      </c>
      <c r="S319" s="85">
        <v>5.6907924763786767E-7</v>
      </c>
      <c r="T319" s="85">
        <f t="shared" si="7"/>
        <v>1.9692122869885155E-3</v>
      </c>
      <c r="U319" s="85">
        <f>R319/'סכום נכסי הקרן'!$C$42</f>
        <v>3.4871412040338011E-4</v>
      </c>
    </row>
    <row r="320" spans="2:21">
      <c r="B320" s="77" t="s">
        <v>1047</v>
      </c>
      <c r="C320" s="74" t="s">
        <v>1048</v>
      </c>
      <c r="D320" s="87" t="s">
        <v>27</v>
      </c>
      <c r="E320" s="87" t="s">
        <v>928</v>
      </c>
      <c r="F320" s="74"/>
      <c r="G320" s="87" t="s">
        <v>930</v>
      </c>
      <c r="H320" s="74" t="s">
        <v>1044</v>
      </c>
      <c r="I320" s="74" t="s">
        <v>904</v>
      </c>
      <c r="J320" s="74"/>
      <c r="K320" s="84">
        <v>5.9799999991875268</v>
      </c>
      <c r="L320" s="87" t="s">
        <v>150</v>
      </c>
      <c r="M320" s="88">
        <v>5.1249999999999997E-2</v>
      </c>
      <c r="N320" s="88">
        <v>7.0299999988568687E-2</v>
      </c>
      <c r="O320" s="84">
        <v>332.41050000000001</v>
      </c>
      <c r="P320" s="86">
        <v>89.321299999999994</v>
      </c>
      <c r="Q320" s="74"/>
      <c r="R320" s="84">
        <v>1.058495607</v>
      </c>
      <c r="S320" s="85">
        <v>2.2160700000000001E-7</v>
      </c>
      <c r="T320" s="85">
        <f t="shared" si="7"/>
        <v>9.487355592939159E-4</v>
      </c>
      <c r="U320" s="85">
        <f>R320/'סכום נכסי הקרן'!$C$42</f>
        <v>1.6800498770019924E-4</v>
      </c>
    </row>
    <row r="321" spans="2:21">
      <c r="B321" s="77" t="s">
        <v>1049</v>
      </c>
      <c r="C321" s="74" t="s">
        <v>1050</v>
      </c>
      <c r="D321" s="87" t="s">
        <v>27</v>
      </c>
      <c r="E321" s="87" t="s">
        <v>928</v>
      </c>
      <c r="F321" s="74"/>
      <c r="G321" s="87" t="s">
        <v>960</v>
      </c>
      <c r="H321" s="74" t="s">
        <v>1041</v>
      </c>
      <c r="I321" s="74" t="s">
        <v>322</v>
      </c>
      <c r="J321" s="74"/>
      <c r="K321" s="84">
        <v>6.4700000029066187</v>
      </c>
      <c r="L321" s="87" t="s">
        <v>150</v>
      </c>
      <c r="M321" s="88">
        <v>4.6249999999999999E-2</v>
      </c>
      <c r="N321" s="88">
        <v>4.5900000025461088E-2</v>
      </c>
      <c r="O321" s="84">
        <v>123.11499999999999</v>
      </c>
      <c r="P321" s="86">
        <v>101.1186</v>
      </c>
      <c r="Q321" s="74"/>
      <c r="R321" s="84">
        <v>0.44381449300000003</v>
      </c>
      <c r="S321" s="85">
        <v>3.5175714285714283E-8</v>
      </c>
      <c r="T321" s="85">
        <f t="shared" si="7"/>
        <v>3.9779342347247054E-4</v>
      </c>
      <c r="U321" s="85">
        <f>R321/'סכום נכסי הקרן'!$C$42</f>
        <v>7.0442473208710417E-5</v>
      </c>
    </row>
    <row r="322" spans="2:21">
      <c r="B322" s="77" t="s">
        <v>1051</v>
      </c>
      <c r="C322" s="74" t="s">
        <v>1052</v>
      </c>
      <c r="D322" s="87" t="s">
        <v>27</v>
      </c>
      <c r="E322" s="87" t="s">
        <v>928</v>
      </c>
      <c r="F322" s="74"/>
      <c r="G322" s="87" t="s">
        <v>945</v>
      </c>
      <c r="H322" s="74" t="s">
        <v>1044</v>
      </c>
      <c r="I322" s="74" t="s">
        <v>904</v>
      </c>
      <c r="J322" s="74"/>
      <c r="K322" s="84">
        <v>6.3100000016763369</v>
      </c>
      <c r="L322" s="87" t="s">
        <v>150</v>
      </c>
      <c r="M322" s="88">
        <v>4.4999999999999998E-2</v>
      </c>
      <c r="N322" s="88">
        <v>4.0800000008983241E-2</v>
      </c>
      <c r="O322" s="84">
        <v>344.72199999999998</v>
      </c>
      <c r="P322" s="86">
        <v>101.45099999999999</v>
      </c>
      <c r="Q322" s="74"/>
      <c r="R322" s="84">
        <v>1.246765761</v>
      </c>
      <c r="S322" s="85">
        <v>4.5962933333333331E-7</v>
      </c>
      <c r="T322" s="85">
        <f t="shared" si="7"/>
        <v>1.1174831560456723E-3</v>
      </c>
      <c r="U322" s="85">
        <f>R322/'סכום נכסי הקרן'!$C$42</f>
        <v>1.9788732702962891E-4</v>
      </c>
    </row>
    <row r="323" spans="2:21">
      <c r="B323" s="77" t="s">
        <v>1053</v>
      </c>
      <c r="C323" s="74" t="s">
        <v>1054</v>
      </c>
      <c r="D323" s="87" t="s">
        <v>27</v>
      </c>
      <c r="E323" s="87" t="s">
        <v>928</v>
      </c>
      <c r="F323" s="74"/>
      <c r="G323" s="87" t="s">
        <v>1033</v>
      </c>
      <c r="H323" s="74" t="s">
        <v>1044</v>
      </c>
      <c r="I323" s="74" t="s">
        <v>904</v>
      </c>
      <c r="J323" s="74"/>
      <c r="K323" s="84">
        <v>5.3699999994435306</v>
      </c>
      <c r="L323" s="87" t="s">
        <v>150</v>
      </c>
      <c r="M323" s="88">
        <v>0.06</v>
      </c>
      <c r="N323" s="88">
        <v>0.11619999998484098</v>
      </c>
      <c r="O323" s="84">
        <v>775.87073000000009</v>
      </c>
      <c r="P323" s="86">
        <v>75.364699999999999</v>
      </c>
      <c r="Q323" s="74"/>
      <c r="R323" s="84">
        <v>2.084570968</v>
      </c>
      <c r="S323" s="85">
        <v>1.0344943066666667E-6</v>
      </c>
      <c r="T323" s="85">
        <f t="shared" si="7"/>
        <v>1.8684126699576747E-3</v>
      </c>
      <c r="U323" s="85">
        <f>R323/'סכום נכסי הקרן'!$C$42</f>
        <v>3.3086421665142764E-4</v>
      </c>
    </row>
    <row r="324" spans="2:21">
      <c r="B324" s="77" t="s">
        <v>1055</v>
      </c>
      <c r="C324" s="74" t="s">
        <v>1056</v>
      </c>
      <c r="D324" s="87" t="s">
        <v>27</v>
      </c>
      <c r="E324" s="87" t="s">
        <v>928</v>
      </c>
      <c r="F324" s="74"/>
      <c r="G324" s="87" t="s">
        <v>930</v>
      </c>
      <c r="H324" s="74" t="s">
        <v>1041</v>
      </c>
      <c r="I324" s="74" t="s">
        <v>322</v>
      </c>
      <c r="J324" s="74"/>
      <c r="K324" s="84">
        <v>6.340000001591366</v>
      </c>
      <c r="L324" s="87" t="s">
        <v>150</v>
      </c>
      <c r="M324" s="88">
        <v>5.1249999999999997E-2</v>
      </c>
      <c r="N324" s="88">
        <v>0.10540000002555829</v>
      </c>
      <c r="O324" s="84">
        <v>804.35954100000004</v>
      </c>
      <c r="P324" s="86">
        <v>72.316000000000003</v>
      </c>
      <c r="Q324" s="74"/>
      <c r="R324" s="84">
        <v>2.0736907050000002</v>
      </c>
      <c r="S324" s="85">
        <v>1.4624718927272727E-6</v>
      </c>
      <c r="T324" s="85">
        <f t="shared" si="7"/>
        <v>1.8586606291043114E-3</v>
      </c>
      <c r="U324" s="85">
        <f>R324/'סכום נכסי הקרן'!$C$42</f>
        <v>3.2913729550088018E-4</v>
      </c>
    </row>
    <row r="325" spans="2:21">
      <c r="B325" s="77" t="s">
        <v>1062</v>
      </c>
      <c r="C325" s="74" t="s">
        <v>1063</v>
      </c>
      <c r="D325" s="87" t="s">
        <v>27</v>
      </c>
      <c r="E325" s="87" t="s">
        <v>928</v>
      </c>
      <c r="F325" s="74"/>
      <c r="G325" s="87" t="s">
        <v>971</v>
      </c>
      <c r="H325" s="74" t="s">
        <v>1041</v>
      </c>
      <c r="I325" s="74" t="s">
        <v>932</v>
      </c>
      <c r="J325" s="74"/>
      <c r="K325" s="84">
        <v>4.1700000003171587</v>
      </c>
      <c r="L325" s="87" t="s">
        <v>150</v>
      </c>
      <c r="M325" s="88">
        <v>3.7539999999999997E-2</v>
      </c>
      <c r="N325" s="88">
        <v>5.6600000004347562E-2</v>
      </c>
      <c r="O325" s="84">
        <v>844.56889999999999</v>
      </c>
      <c r="P325" s="86">
        <v>93.200699999999998</v>
      </c>
      <c r="Q325" s="74"/>
      <c r="R325" s="84">
        <v>2.8061699829999998</v>
      </c>
      <c r="S325" s="85">
        <v>1.1260918666666666E-6</v>
      </c>
      <c r="T325" s="85">
        <f t="shared" si="7"/>
        <v>2.51518592112145E-3</v>
      </c>
      <c r="U325" s="85">
        <f>R325/'סכום נכסי הקרן'!$C$42</f>
        <v>4.4539679745556402E-4</v>
      </c>
    </row>
    <row r="326" spans="2:21">
      <c r="B326" s="77" t="s">
        <v>1064</v>
      </c>
      <c r="C326" s="74" t="s">
        <v>1065</v>
      </c>
      <c r="D326" s="87" t="s">
        <v>27</v>
      </c>
      <c r="E326" s="87" t="s">
        <v>928</v>
      </c>
      <c r="F326" s="74"/>
      <c r="G326" s="87" t="s">
        <v>1008</v>
      </c>
      <c r="H326" s="74" t="s">
        <v>1041</v>
      </c>
      <c r="I326" s="74" t="s">
        <v>932</v>
      </c>
      <c r="J326" s="74"/>
      <c r="K326" s="84">
        <v>6.0300000017063757</v>
      </c>
      <c r="L326" s="87" t="s">
        <v>150</v>
      </c>
      <c r="M326" s="88">
        <v>4.8750000000000002E-2</v>
      </c>
      <c r="N326" s="88">
        <v>5.0200000009261378E-2</v>
      </c>
      <c r="O326" s="84">
        <v>443.214</v>
      </c>
      <c r="P326" s="86">
        <v>99.771000000000001</v>
      </c>
      <c r="Q326" s="74"/>
      <c r="R326" s="84">
        <v>1.5764395770000001</v>
      </c>
      <c r="S326" s="85">
        <v>6.4194280053184551E-7</v>
      </c>
      <c r="T326" s="85">
        <f t="shared" si="7"/>
        <v>1.4129716494686968E-3</v>
      </c>
      <c r="U326" s="85">
        <f>R326/'סכום נכסי הקרן'!$C$42</f>
        <v>2.5021333106391657E-4</v>
      </c>
    </row>
    <row r="327" spans="2:21">
      <c r="B327" s="77" t="s">
        <v>1066</v>
      </c>
      <c r="C327" s="74" t="s">
        <v>1067</v>
      </c>
      <c r="D327" s="87" t="s">
        <v>27</v>
      </c>
      <c r="E327" s="87" t="s">
        <v>928</v>
      </c>
      <c r="F327" s="74"/>
      <c r="G327" s="87" t="s">
        <v>1059</v>
      </c>
      <c r="H327" s="74" t="s">
        <v>1041</v>
      </c>
      <c r="I327" s="74" t="s">
        <v>932</v>
      </c>
      <c r="J327" s="74"/>
      <c r="K327" s="84">
        <v>3.679999999873989</v>
      </c>
      <c r="L327" s="87" t="s">
        <v>152</v>
      </c>
      <c r="M327" s="88">
        <v>4.2500000000000003E-2</v>
      </c>
      <c r="N327" s="88">
        <v>4.4100000000630052E-2</v>
      </c>
      <c r="O327" s="84">
        <v>246.23</v>
      </c>
      <c r="P327" s="86">
        <v>99.159400000000005</v>
      </c>
      <c r="Q327" s="74"/>
      <c r="R327" s="84">
        <v>0.95229783400000001</v>
      </c>
      <c r="S327" s="85">
        <v>8.2076666666666664E-7</v>
      </c>
      <c r="T327" s="85">
        <f t="shared" si="7"/>
        <v>8.5354989872374093E-4</v>
      </c>
      <c r="U327" s="85">
        <f>R327/'סכום נכסי הקרן'!$C$42</f>
        <v>1.5114922048806989E-4</v>
      </c>
    </row>
    <row r="328" spans="2:21">
      <c r="B328" s="77" t="s">
        <v>1068</v>
      </c>
      <c r="C328" s="74" t="s">
        <v>1069</v>
      </c>
      <c r="D328" s="87" t="s">
        <v>27</v>
      </c>
      <c r="E328" s="87" t="s">
        <v>928</v>
      </c>
      <c r="F328" s="74"/>
      <c r="G328" s="87" t="s">
        <v>1033</v>
      </c>
      <c r="H328" s="74" t="s">
        <v>1041</v>
      </c>
      <c r="I328" s="74" t="s">
        <v>322</v>
      </c>
      <c r="J328" s="74"/>
      <c r="K328" s="84">
        <v>2.3400000001279051</v>
      </c>
      <c r="L328" s="87" t="s">
        <v>150</v>
      </c>
      <c r="M328" s="88">
        <v>4.7500000000000001E-2</v>
      </c>
      <c r="N328" s="88">
        <v>5.8000000002325552E-2</v>
      </c>
      <c r="O328" s="84">
        <v>992.20840799999996</v>
      </c>
      <c r="P328" s="86">
        <v>97.252700000000004</v>
      </c>
      <c r="Q328" s="74"/>
      <c r="R328" s="84">
        <v>3.4400456340000001</v>
      </c>
      <c r="S328" s="85">
        <v>1.1024537866666667E-6</v>
      </c>
      <c r="T328" s="85">
        <f t="shared" si="7"/>
        <v>3.0833322282929265E-3</v>
      </c>
      <c r="U328" s="85">
        <f>R328/'סכום נכסי הקרן'!$C$42</f>
        <v>5.460058791045073E-4</v>
      </c>
    </row>
    <row r="329" spans="2:21">
      <c r="B329" s="77" t="s">
        <v>1070</v>
      </c>
      <c r="C329" s="74" t="s">
        <v>1071</v>
      </c>
      <c r="D329" s="87" t="s">
        <v>27</v>
      </c>
      <c r="E329" s="87" t="s">
        <v>928</v>
      </c>
      <c r="F329" s="74"/>
      <c r="G329" s="87" t="s">
        <v>945</v>
      </c>
      <c r="H329" s="74" t="s">
        <v>1044</v>
      </c>
      <c r="I329" s="74" t="s">
        <v>904</v>
      </c>
      <c r="J329" s="74"/>
      <c r="K329" s="84">
        <v>1.0500000000575482</v>
      </c>
      <c r="L329" s="87" t="s">
        <v>150</v>
      </c>
      <c r="M329" s="88">
        <v>4.6249999999999999E-2</v>
      </c>
      <c r="N329" s="88">
        <v>4.4599999998388651E-2</v>
      </c>
      <c r="O329" s="84">
        <v>723.57147799999996</v>
      </c>
      <c r="P329" s="86">
        <v>101.0461</v>
      </c>
      <c r="Q329" s="74"/>
      <c r="R329" s="84">
        <v>2.6065163769999997</v>
      </c>
      <c r="S329" s="85">
        <v>9.6476197066666656E-7</v>
      </c>
      <c r="T329" s="85">
        <f t="shared" si="7"/>
        <v>2.336235272388661E-3</v>
      </c>
      <c r="U329" s="85">
        <f>R329/'סכום נכסי הקרן'!$C$42</f>
        <v>4.1370767054893677E-4</v>
      </c>
    </row>
    <row r="330" spans="2:21">
      <c r="B330" s="77" t="s">
        <v>1072</v>
      </c>
      <c r="C330" s="74" t="s">
        <v>1073</v>
      </c>
      <c r="D330" s="87" t="s">
        <v>27</v>
      </c>
      <c r="E330" s="87" t="s">
        <v>928</v>
      </c>
      <c r="F330" s="74"/>
      <c r="G330" s="87" t="s">
        <v>982</v>
      </c>
      <c r="H330" s="74" t="s">
        <v>1041</v>
      </c>
      <c r="I330" s="74" t="s">
        <v>322</v>
      </c>
      <c r="J330" s="74"/>
      <c r="K330" s="84">
        <v>3.7499999996573576</v>
      </c>
      <c r="L330" s="87" t="s">
        <v>150</v>
      </c>
      <c r="M330" s="88">
        <v>6.2539999999999998E-2</v>
      </c>
      <c r="N330" s="88">
        <v>6.6699999993695386E-2</v>
      </c>
      <c r="O330" s="84">
        <v>812.55899999999997</v>
      </c>
      <c r="P330" s="86">
        <v>100.7499</v>
      </c>
      <c r="Q330" s="74"/>
      <c r="R330" s="84">
        <v>2.918495252</v>
      </c>
      <c r="S330" s="85">
        <v>6.2504538461538462E-7</v>
      </c>
      <c r="T330" s="85">
        <f t="shared" si="7"/>
        <v>2.6158636907813431E-3</v>
      </c>
      <c r="U330" s="85">
        <f>R330/'סכום נכסי הקרן'!$C$42</f>
        <v>4.6322512410327832E-4</v>
      </c>
    </row>
    <row r="331" spans="2:21">
      <c r="B331" s="77" t="s">
        <v>1074</v>
      </c>
      <c r="C331" s="74" t="s">
        <v>1075</v>
      </c>
      <c r="D331" s="87" t="s">
        <v>27</v>
      </c>
      <c r="E331" s="87" t="s">
        <v>928</v>
      </c>
      <c r="F331" s="74"/>
      <c r="G331" s="87" t="s">
        <v>930</v>
      </c>
      <c r="H331" s="74" t="s">
        <v>1076</v>
      </c>
      <c r="I331" s="74" t="s">
        <v>322</v>
      </c>
      <c r="J331" s="74"/>
      <c r="K331" s="84">
        <v>7.5700000008298165</v>
      </c>
      <c r="L331" s="87" t="s">
        <v>150</v>
      </c>
      <c r="M331" s="88">
        <v>4.4999999999999998E-2</v>
      </c>
      <c r="N331" s="88">
        <v>7.6900000007943156E-2</v>
      </c>
      <c r="O331" s="84">
        <v>790.39830000000006</v>
      </c>
      <c r="P331" s="86">
        <v>79.974999999999994</v>
      </c>
      <c r="Q331" s="74"/>
      <c r="R331" s="84">
        <v>2.253511509</v>
      </c>
      <c r="S331" s="85">
        <v>5.2693220000000001E-7</v>
      </c>
      <c r="T331" s="85">
        <f t="shared" si="7"/>
        <v>2.0198350259817296E-3</v>
      </c>
      <c r="U331" s="85">
        <f>R331/'סכום נכסי הקרן'!$C$42</f>
        <v>3.5767854948858793E-4</v>
      </c>
    </row>
    <row r="332" spans="2:21">
      <c r="B332" s="77" t="s">
        <v>1060</v>
      </c>
      <c r="C332" s="74" t="s">
        <v>1061</v>
      </c>
      <c r="D332" s="87" t="s">
        <v>27</v>
      </c>
      <c r="E332" s="87" t="s">
        <v>928</v>
      </c>
      <c r="F332" s="74"/>
      <c r="G332" s="87" t="s">
        <v>930</v>
      </c>
      <c r="H332" s="74" t="s">
        <v>1076</v>
      </c>
      <c r="I332" s="74" t="s">
        <v>322</v>
      </c>
      <c r="J332" s="74"/>
      <c r="K332" s="84">
        <v>5.2899999991302007</v>
      </c>
      <c r="L332" s="87" t="s">
        <v>150</v>
      </c>
      <c r="M332" s="88">
        <v>6.4899999999999999E-2</v>
      </c>
      <c r="N332" s="88">
        <v>0.12179999998260403</v>
      </c>
      <c r="O332" s="84">
        <v>713.205195</v>
      </c>
      <c r="P332" s="86">
        <v>74.608900000000006</v>
      </c>
      <c r="Q332" s="74"/>
      <c r="R332" s="84">
        <v>1.8969873849999996</v>
      </c>
      <c r="S332" s="85">
        <v>3.0215053824938676E-7</v>
      </c>
      <c r="T332" s="85">
        <f>R332/$R$11</f>
        <v>1.7002804506504462E-3</v>
      </c>
      <c r="U332" s="85">
        <f>R332/'סכום נכסי הקרן'!$C$42</f>
        <v>3.0109085023756558E-4</v>
      </c>
    </row>
    <row r="333" spans="2:21">
      <c r="B333" s="77" t="s">
        <v>1077</v>
      </c>
      <c r="C333" s="74" t="s">
        <v>1078</v>
      </c>
      <c r="D333" s="87" t="s">
        <v>27</v>
      </c>
      <c r="E333" s="87" t="s">
        <v>928</v>
      </c>
      <c r="F333" s="74"/>
      <c r="G333" s="87" t="s">
        <v>1033</v>
      </c>
      <c r="H333" s="74" t="s">
        <v>1076</v>
      </c>
      <c r="I333" s="74" t="s">
        <v>932</v>
      </c>
      <c r="J333" s="74"/>
      <c r="K333" s="84">
        <v>6.6699999976510096</v>
      </c>
      <c r="L333" s="87" t="s">
        <v>152</v>
      </c>
      <c r="M333" s="88">
        <v>0.03</v>
      </c>
      <c r="N333" s="88">
        <v>4.0299999984340064E-2</v>
      </c>
      <c r="O333" s="84">
        <v>251.15459999999999</v>
      </c>
      <c r="P333" s="86">
        <v>93.871399999999994</v>
      </c>
      <c r="Q333" s="74"/>
      <c r="R333" s="84">
        <v>0.91954394800000006</v>
      </c>
      <c r="S333" s="85">
        <v>5.0230919999999996E-7</v>
      </c>
      <c r="T333" s="85">
        <f t="shared" si="7"/>
        <v>8.2419240668715938E-4</v>
      </c>
      <c r="U333" s="85">
        <f>R333/'סכום נכסי הקרן'!$C$42</f>
        <v>1.4595050622022342E-4</v>
      </c>
    </row>
    <row r="334" spans="2:21">
      <c r="B334" s="77" t="s">
        <v>1079</v>
      </c>
      <c r="C334" s="74" t="s">
        <v>1080</v>
      </c>
      <c r="D334" s="87" t="s">
        <v>27</v>
      </c>
      <c r="E334" s="87" t="s">
        <v>928</v>
      </c>
      <c r="F334" s="74"/>
      <c r="G334" s="87" t="s">
        <v>1033</v>
      </c>
      <c r="H334" s="74" t="s">
        <v>1076</v>
      </c>
      <c r="I334" s="74" t="s">
        <v>932</v>
      </c>
      <c r="J334" s="74"/>
      <c r="K334" s="84">
        <v>4.9400000002955649</v>
      </c>
      <c r="L334" s="87" t="s">
        <v>153</v>
      </c>
      <c r="M334" s="88">
        <v>0.06</v>
      </c>
      <c r="N334" s="88">
        <v>6.5700000007868423E-2</v>
      </c>
      <c r="O334" s="84">
        <v>583.56510000000003</v>
      </c>
      <c r="P334" s="86">
        <v>97.538300000000007</v>
      </c>
      <c r="Q334" s="74"/>
      <c r="R334" s="84">
        <v>2.5036816789999996</v>
      </c>
      <c r="S334" s="85">
        <v>4.6685208E-7</v>
      </c>
      <c r="T334" s="85">
        <f t="shared" si="7"/>
        <v>2.2440639548350957E-3</v>
      </c>
      <c r="U334" s="85">
        <f>R334/'סכום נכסי הקרן'!$C$42</f>
        <v>3.9738569239580144E-4</v>
      </c>
    </row>
    <row r="335" spans="2:21">
      <c r="B335" s="77" t="s">
        <v>1081</v>
      </c>
      <c r="C335" s="74" t="s">
        <v>1082</v>
      </c>
      <c r="D335" s="87" t="s">
        <v>27</v>
      </c>
      <c r="E335" s="87" t="s">
        <v>928</v>
      </c>
      <c r="F335" s="74"/>
      <c r="G335" s="87" t="s">
        <v>1033</v>
      </c>
      <c r="H335" s="74" t="s">
        <v>1076</v>
      </c>
      <c r="I335" s="74" t="s">
        <v>932</v>
      </c>
      <c r="J335" s="74"/>
      <c r="K335" s="84">
        <v>5.1400000010998665</v>
      </c>
      <c r="L335" s="87" t="s">
        <v>152</v>
      </c>
      <c r="M335" s="88">
        <v>0.05</v>
      </c>
      <c r="N335" s="88">
        <v>4.6100000004277254E-2</v>
      </c>
      <c r="O335" s="84">
        <v>246.23</v>
      </c>
      <c r="P335" s="86">
        <v>102.2456</v>
      </c>
      <c r="Q335" s="74"/>
      <c r="R335" s="84">
        <v>0.98193717800000002</v>
      </c>
      <c r="S335" s="85">
        <v>2.4623E-7</v>
      </c>
      <c r="T335" s="85">
        <f t="shared" si="7"/>
        <v>8.8011580926789759E-4</v>
      </c>
      <c r="U335" s="85">
        <f>R335/'סכום נכסי הקרן'!$C$42</f>
        <v>1.5585359298733335E-4</v>
      </c>
    </row>
    <row r="336" spans="2:21">
      <c r="B336" s="77" t="s">
        <v>1083</v>
      </c>
      <c r="C336" s="74" t="s">
        <v>1084</v>
      </c>
      <c r="D336" s="87" t="s">
        <v>27</v>
      </c>
      <c r="E336" s="87" t="s">
        <v>928</v>
      </c>
      <c r="F336" s="74"/>
      <c r="G336" s="87" t="s">
        <v>1013</v>
      </c>
      <c r="H336" s="74" t="s">
        <v>1085</v>
      </c>
      <c r="I336" s="74" t="s">
        <v>904</v>
      </c>
      <c r="J336" s="74"/>
      <c r="K336" s="84">
        <v>8.6799999985171628</v>
      </c>
      <c r="L336" s="87" t="s">
        <v>150</v>
      </c>
      <c r="M336" s="88">
        <v>3.6249999999999998E-2</v>
      </c>
      <c r="N336" s="88">
        <v>4.2799999994096109E-2</v>
      </c>
      <c r="O336" s="84">
        <v>861.80499999999995</v>
      </c>
      <c r="P336" s="86">
        <v>94.824799999999996</v>
      </c>
      <c r="Q336" s="74"/>
      <c r="R336" s="84">
        <v>2.9133355240000003</v>
      </c>
      <c r="S336" s="85">
        <v>2.1545124999999999E-6</v>
      </c>
      <c r="T336" s="85">
        <f t="shared" si="7"/>
        <v>2.6112389975870478E-3</v>
      </c>
      <c r="U336" s="85">
        <f>R336/'סכום נכסי הקרן'!$C$42</f>
        <v>4.6240616932118604E-4</v>
      </c>
    </row>
    <row r="337" spans="2:21">
      <c r="B337" s="77" t="s">
        <v>1086</v>
      </c>
      <c r="C337" s="74" t="s">
        <v>1087</v>
      </c>
      <c r="D337" s="87" t="s">
        <v>27</v>
      </c>
      <c r="E337" s="87" t="s">
        <v>928</v>
      </c>
      <c r="F337" s="74"/>
      <c r="G337" s="87" t="s">
        <v>1038</v>
      </c>
      <c r="H337" s="74" t="s">
        <v>1088</v>
      </c>
      <c r="I337" s="74" t="s">
        <v>904</v>
      </c>
      <c r="J337" s="74"/>
      <c r="K337" s="84">
        <v>4.0700000010106026</v>
      </c>
      <c r="L337" s="87" t="s">
        <v>150</v>
      </c>
      <c r="M337" s="88">
        <v>0.05</v>
      </c>
      <c r="N337" s="88">
        <v>5.8900000014836501E-2</v>
      </c>
      <c r="O337" s="84">
        <v>526.93219999999997</v>
      </c>
      <c r="P337" s="86">
        <v>99.0291</v>
      </c>
      <c r="Q337" s="74"/>
      <c r="R337" s="84">
        <v>1.8602750160000003</v>
      </c>
      <c r="S337" s="85">
        <v>5.2693220000000001E-7</v>
      </c>
      <c r="T337" s="85">
        <f t="shared" si="7"/>
        <v>1.6673749480617909E-3</v>
      </c>
      <c r="U337" s="85">
        <f>R337/'סכום נכסי הקרן'!$C$42</f>
        <v>2.9526384343517449E-4</v>
      </c>
    </row>
    <row r="338" spans="2:21">
      <c r="B338" s="77" t="s">
        <v>1089</v>
      </c>
      <c r="C338" s="74" t="s">
        <v>1090</v>
      </c>
      <c r="D338" s="87" t="s">
        <v>27</v>
      </c>
      <c r="E338" s="87" t="s">
        <v>928</v>
      </c>
      <c r="F338" s="74"/>
      <c r="G338" s="87" t="s">
        <v>982</v>
      </c>
      <c r="H338" s="74" t="s">
        <v>1088</v>
      </c>
      <c r="I338" s="74" t="s">
        <v>904</v>
      </c>
      <c r="J338" s="74"/>
      <c r="K338" s="84">
        <v>6.0199999993024127</v>
      </c>
      <c r="L338" s="87" t="s">
        <v>150</v>
      </c>
      <c r="M338" s="88">
        <v>0.04</v>
      </c>
      <c r="N338" s="88">
        <v>4.4699999993586689E-2</v>
      </c>
      <c r="O338" s="84">
        <v>763.31299999999999</v>
      </c>
      <c r="P338" s="86">
        <v>97.9833</v>
      </c>
      <c r="Q338" s="74"/>
      <c r="R338" s="84">
        <v>2.666333093</v>
      </c>
      <c r="S338" s="85">
        <v>6.106504E-7</v>
      </c>
      <c r="T338" s="85">
        <f t="shared" si="7"/>
        <v>2.3898493309960724E-3</v>
      </c>
      <c r="U338" s="85">
        <f>R338/'סכום נכסי הקרן'!$C$42</f>
        <v>4.2320181163878862E-4</v>
      </c>
    </row>
    <row r="339" spans="2:21">
      <c r="B339" s="77" t="s">
        <v>1091</v>
      </c>
      <c r="C339" s="74" t="s">
        <v>1092</v>
      </c>
      <c r="D339" s="87" t="s">
        <v>27</v>
      </c>
      <c r="E339" s="87" t="s">
        <v>928</v>
      </c>
      <c r="F339" s="74"/>
      <c r="G339" s="87" t="s">
        <v>960</v>
      </c>
      <c r="H339" s="74" t="s">
        <v>941</v>
      </c>
      <c r="I339" s="74" t="s">
        <v>932</v>
      </c>
      <c r="J339" s="74"/>
      <c r="K339" s="84">
        <v>6.6700000013450538</v>
      </c>
      <c r="L339" s="87" t="s">
        <v>150</v>
      </c>
      <c r="M339" s="88">
        <v>5.8749999999999997E-2</v>
      </c>
      <c r="N339" s="88">
        <v>5.3800000011722256E-2</v>
      </c>
      <c r="O339" s="84">
        <v>738.69</v>
      </c>
      <c r="P339" s="86">
        <v>101.0699</v>
      </c>
      <c r="Q339" s="74"/>
      <c r="R339" s="84">
        <v>2.6616035259999999</v>
      </c>
      <c r="S339" s="85">
        <v>7.3869000000000006E-7</v>
      </c>
      <c r="T339" s="85">
        <f t="shared" si="7"/>
        <v>2.3856101935227671E-3</v>
      </c>
      <c r="U339" s="85">
        <f>R339/'סכום נכסי הקרן'!$C$42</f>
        <v>4.2245113224020865E-4</v>
      </c>
    </row>
    <row r="340" spans="2:21">
      <c r="B340" s="77" t="s">
        <v>1057</v>
      </c>
      <c r="C340" s="74" t="s">
        <v>1058</v>
      </c>
      <c r="D340" s="87" t="s">
        <v>27</v>
      </c>
      <c r="E340" s="87" t="s">
        <v>928</v>
      </c>
      <c r="F340" s="74"/>
      <c r="G340" s="87" t="s">
        <v>1059</v>
      </c>
      <c r="H340" s="74" t="s">
        <v>1088</v>
      </c>
      <c r="I340" s="74" t="s">
        <v>904</v>
      </c>
      <c r="J340" s="74"/>
      <c r="K340" s="84">
        <v>3.9400000004972791</v>
      </c>
      <c r="L340" s="87" t="s">
        <v>152</v>
      </c>
      <c r="M340" s="88">
        <v>0.03</v>
      </c>
      <c r="N340" s="88">
        <v>6.7100000008893657E-2</v>
      </c>
      <c r="O340" s="84">
        <v>608.18809999999996</v>
      </c>
      <c r="P340" s="86">
        <v>88.165099999999995</v>
      </c>
      <c r="Q340" s="74"/>
      <c r="R340" s="84">
        <v>2.0913788339999999</v>
      </c>
      <c r="S340" s="85">
        <v>1.2163762E-6</v>
      </c>
      <c r="T340" s="85">
        <f>R340/$R$11</f>
        <v>1.8745145985007831E-3</v>
      </c>
      <c r="U340" s="85">
        <f>R340/'סכום נכסי הקרן'!$C$42</f>
        <v>3.319447647765505E-4</v>
      </c>
    </row>
    <row r="341" spans="2:21">
      <c r="B341" s="77" t="s">
        <v>1093</v>
      </c>
      <c r="C341" s="74" t="s">
        <v>1094</v>
      </c>
      <c r="D341" s="87" t="s">
        <v>27</v>
      </c>
      <c r="E341" s="87" t="s">
        <v>928</v>
      </c>
      <c r="F341" s="74"/>
      <c r="G341" s="87" t="s">
        <v>1013</v>
      </c>
      <c r="H341" s="74" t="s">
        <v>1088</v>
      </c>
      <c r="I341" s="74" t="s">
        <v>904</v>
      </c>
      <c r="J341" s="74"/>
      <c r="K341" s="84">
        <v>5.6600000019444723</v>
      </c>
      <c r="L341" s="87" t="s">
        <v>150</v>
      </c>
      <c r="M341" s="88">
        <v>6.5000000000000002E-2</v>
      </c>
      <c r="N341" s="88">
        <v>9.9400000036111602E-2</v>
      </c>
      <c r="O341" s="84">
        <v>49.246000000000002</v>
      </c>
      <c r="P341" s="86">
        <v>82.021199999999993</v>
      </c>
      <c r="Q341" s="74"/>
      <c r="R341" s="84">
        <v>0.14399799200000002</v>
      </c>
      <c r="S341" s="85">
        <v>6.5661333333333337E-8</v>
      </c>
      <c r="T341" s="85">
        <f t="shared" si="7"/>
        <v>1.2906620922548698E-4</v>
      </c>
      <c r="U341" s="85">
        <f>R341/'סכום נכסי הקרן'!$C$42</f>
        <v>2.285543814714518E-5</v>
      </c>
    </row>
    <row r="342" spans="2:21">
      <c r="B342" s="77" t="s">
        <v>1095</v>
      </c>
      <c r="C342" s="74" t="s">
        <v>1096</v>
      </c>
      <c r="D342" s="87" t="s">
        <v>27</v>
      </c>
      <c r="E342" s="87" t="s">
        <v>928</v>
      </c>
      <c r="F342" s="74"/>
      <c r="G342" s="87" t="s">
        <v>1013</v>
      </c>
      <c r="H342" s="74" t="s">
        <v>1088</v>
      </c>
      <c r="I342" s="74" t="s">
        <v>904</v>
      </c>
      <c r="J342" s="74"/>
      <c r="K342" s="84">
        <v>6.3799999995976027</v>
      </c>
      <c r="L342" s="87" t="s">
        <v>150</v>
      </c>
      <c r="M342" s="88">
        <v>6.8750000000000006E-2</v>
      </c>
      <c r="N342" s="88">
        <v>9.979999998865971E-2</v>
      </c>
      <c r="O342" s="84">
        <v>566.32899999999995</v>
      </c>
      <c r="P342" s="86">
        <v>81.238299999999995</v>
      </c>
      <c r="Q342" s="74"/>
      <c r="R342" s="84">
        <v>1.640170957</v>
      </c>
      <c r="S342" s="85">
        <v>7.5510533333333325E-7</v>
      </c>
      <c r="T342" s="85">
        <f t="shared" si="7"/>
        <v>1.4700944434123024E-3</v>
      </c>
      <c r="U342" s="85">
        <f>R342/'סכום נכסי הקרן'!$C$42</f>
        <v>2.6032880971324523E-4</v>
      </c>
    </row>
    <row r="343" spans="2:21">
      <c r="B343" s="77" t="s">
        <v>1097</v>
      </c>
      <c r="C343" s="74" t="s">
        <v>1098</v>
      </c>
      <c r="D343" s="87" t="s">
        <v>27</v>
      </c>
      <c r="E343" s="87" t="s">
        <v>928</v>
      </c>
      <c r="F343" s="74"/>
      <c r="G343" s="87" t="s">
        <v>1099</v>
      </c>
      <c r="H343" s="74" t="s">
        <v>1088</v>
      </c>
      <c r="I343" s="74" t="s">
        <v>904</v>
      </c>
      <c r="J343" s="74"/>
      <c r="K343" s="84">
        <v>3.0600000000213567</v>
      </c>
      <c r="L343" s="87" t="s">
        <v>150</v>
      </c>
      <c r="M343" s="88">
        <v>4.6249999999999999E-2</v>
      </c>
      <c r="N343" s="88">
        <v>4.1300000002242453E-2</v>
      </c>
      <c r="O343" s="84">
        <v>512.77397499999995</v>
      </c>
      <c r="P343" s="86">
        <v>102.45650000000001</v>
      </c>
      <c r="Q343" s="74"/>
      <c r="R343" s="84">
        <v>1.872945766</v>
      </c>
      <c r="S343" s="85">
        <v>3.4184931666666661E-7</v>
      </c>
      <c r="T343" s="85">
        <f t="shared" si="7"/>
        <v>1.6787318124723985E-3</v>
      </c>
      <c r="U343" s="85">
        <f>R343/'סכום נכסי הקרן'!$C$42</f>
        <v>2.9727495163800927E-4</v>
      </c>
    </row>
    <row r="344" spans="2:21">
      <c r="B344" s="77" t="s">
        <v>1100</v>
      </c>
      <c r="C344" s="74" t="s">
        <v>1101</v>
      </c>
      <c r="D344" s="87" t="s">
        <v>27</v>
      </c>
      <c r="E344" s="87" t="s">
        <v>928</v>
      </c>
      <c r="F344" s="74"/>
      <c r="G344" s="87" t="s">
        <v>1099</v>
      </c>
      <c r="H344" s="74" t="s">
        <v>1088</v>
      </c>
      <c r="I344" s="74" t="s">
        <v>904</v>
      </c>
      <c r="J344" s="74"/>
      <c r="K344" s="84">
        <v>1.0899999998562382</v>
      </c>
      <c r="L344" s="87" t="s">
        <v>150</v>
      </c>
      <c r="M344" s="88">
        <v>0</v>
      </c>
      <c r="N344" s="88">
        <v>4.5700000010063316E-2</v>
      </c>
      <c r="O344" s="84">
        <v>96.940751000000006</v>
      </c>
      <c r="P344" s="86">
        <v>100.6378</v>
      </c>
      <c r="Q344" s="74"/>
      <c r="R344" s="84">
        <v>0.34779794500000005</v>
      </c>
      <c r="S344" s="85">
        <v>1.9388150200000001E-7</v>
      </c>
      <c r="T344" s="85">
        <f t="shared" ref="T344:T348" si="8">R344/$R$11</f>
        <v>3.1173325206899005E-4</v>
      </c>
      <c r="U344" s="85">
        <f>R344/'סכום נכסי הקרן'!$C$42</f>
        <v>5.5202675462666876E-5</v>
      </c>
    </row>
    <row r="345" spans="2:21">
      <c r="B345" s="77" t="s">
        <v>1102</v>
      </c>
      <c r="C345" s="74" t="s">
        <v>1103</v>
      </c>
      <c r="D345" s="87" t="s">
        <v>27</v>
      </c>
      <c r="E345" s="87" t="s">
        <v>928</v>
      </c>
      <c r="F345" s="74"/>
      <c r="G345" s="87" t="s">
        <v>1104</v>
      </c>
      <c r="H345" s="74" t="s">
        <v>941</v>
      </c>
      <c r="I345" s="74" t="s">
        <v>932</v>
      </c>
      <c r="J345" s="74"/>
      <c r="K345" s="84">
        <v>8.3800000008454081</v>
      </c>
      <c r="L345" s="87" t="s">
        <v>150</v>
      </c>
      <c r="M345" s="88">
        <v>0.04</v>
      </c>
      <c r="N345" s="88">
        <v>5.2600000004176112E-2</v>
      </c>
      <c r="O345" s="84">
        <v>615.57500000000005</v>
      </c>
      <c r="P345" s="86">
        <v>89.474900000000005</v>
      </c>
      <c r="Q345" s="74"/>
      <c r="R345" s="84">
        <v>1.9635486929999999</v>
      </c>
      <c r="S345" s="85">
        <v>8.2076666666666674E-7</v>
      </c>
      <c r="T345" s="85">
        <f t="shared" si="8"/>
        <v>1.759939724959286E-3</v>
      </c>
      <c r="U345" s="85">
        <f>R345/'סכום נכסי הקרן'!$C$42</f>
        <v>3.1165549656948864E-4</v>
      </c>
    </row>
    <row r="346" spans="2:21">
      <c r="B346" s="77" t="s">
        <v>1105</v>
      </c>
      <c r="C346" s="74" t="s">
        <v>1106</v>
      </c>
      <c r="D346" s="87" t="s">
        <v>27</v>
      </c>
      <c r="E346" s="87" t="s">
        <v>928</v>
      </c>
      <c r="F346" s="74"/>
      <c r="G346" s="87" t="s">
        <v>957</v>
      </c>
      <c r="H346" s="74" t="s">
        <v>1107</v>
      </c>
      <c r="I346" s="74" t="s">
        <v>904</v>
      </c>
      <c r="J346" s="74"/>
      <c r="K346" s="84">
        <v>8.3299999972500451</v>
      </c>
      <c r="L346" s="87" t="s">
        <v>150</v>
      </c>
      <c r="M346" s="88">
        <v>4.4999999999999998E-2</v>
      </c>
      <c r="N346" s="88">
        <v>4.7499999975151003E-2</v>
      </c>
      <c r="O346" s="84">
        <v>172.36099999999999</v>
      </c>
      <c r="P346" s="86">
        <v>98.239000000000004</v>
      </c>
      <c r="Q346" s="74"/>
      <c r="R346" s="84">
        <v>0.60364620199999997</v>
      </c>
      <c r="S346" s="85">
        <v>6.2676727272727273E-8</v>
      </c>
      <c r="T346" s="85">
        <f t="shared" si="8"/>
        <v>5.4105148220054736E-4</v>
      </c>
      <c r="U346" s="85">
        <f>R346/'סכום נכסי הקרן'!$C$42</f>
        <v>9.5811047369119581E-5</v>
      </c>
    </row>
    <row r="347" spans="2:21">
      <c r="B347" s="77" t="s">
        <v>1108</v>
      </c>
      <c r="C347" s="74" t="s">
        <v>1109</v>
      </c>
      <c r="D347" s="87" t="s">
        <v>27</v>
      </c>
      <c r="E347" s="87" t="s">
        <v>928</v>
      </c>
      <c r="F347" s="74"/>
      <c r="G347" s="87" t="s">
        <v>957</v>
      </c>
      <c r="H347" s="74" t="s">
        <v>1107</v>
      </c>
      <c r="I347" s="74" t="s">
        <v>904</v>
      </c>
      <c r="J347" s="74"/>
      <c r="K347" s="84">
        <v>6.3200000004526524</v>
      </c>
      <c r="L347" s="87" t="s">
        <v>150</v>
      </c>
      <c r="M347" s="88">
        <v>4.7500000000000001E-2</v>
      </c>
      <c r="N347" s="88">
        <v>4.4900000002482281E-2</v>
      </c>
      <c r="O347" s="84">
        <v>787.93600000000004</v>
      </c>
      <c r="P347" s="86">
        <v>97.522599999999997</v>
      </c>
      <c r="Q347" s="74"/>
      <c r="R347" s="84">
        <v>2.7394029680000003</v>
      </c>
      <c r="S347" s="85">
        <v>2.5833967213114754E-7</v>
      </c>
      <c r="T347" s="85">
        <f t="shared" si="8"/>
        <v>2.4553422704728274E-3</v>
      </c>
      <c r="U347" s="85">
        <f>R347/'סכום נכסי הקרן'!$C$42</f>
        <v>4.3479950119880786E-4</v>
      </c>
    </row>
    <row r="348" spans="2:21">
      <c r="B348" s="77" t="s">
        <v>1110</v>
      </c>
      <c r="C348" s="74" t="s">
        <v>1111</v>
      </c>
      <c r="D348" s="87" t="s">
        <v>27</v>
      </c>
      <c r="E348" s="87" t="s">
        <v>928</v>
      </c>
      <c r="F348" s="74"/>
      <c r="G348" s="87" t="s">
        <v>930</v>
      </c>
      <c r="H348" s="74" t="s">
        <v>1112</v>
      </c>
      <c r="I348" s="74" t="s">
        <v>932</v>
      </c>
      <c r="J348" s="74"/>
      <c r="K348" s="84">
        <v>2.3500000003537909</v>
      </c>
      <c r="L348" s="87" t="s">
        <v>150</v>
      </c>
      <c r="M348" s="88">
        <v>7.7499999999999999E-2</v>
      </c>
      <c r="N348" s="88">
        <v>0.13920000003019017</v>
      </c>
      <c r="O348" s="84">
        <v>397.20592499999998</v>
      </c>
      <c r="P348" s="86">
        <v>89.823599999999999</v>
      </c>
      <c r="Q348" s="74"/>
      <c r="R348" s="84">
        <v>1.2719374729999999</v>
      </c>
      <c r="S348" s="85">
        <v>9.4572839285714279E-7</v>
      </c>
      <c r="T348" s="85">
        <f t="shared" si="8"/>
        <v>1.1400447029286018E-3</v>
      </c>
      <c r="U348" s="85">
        <f>R348/'סכום נכסי הקרן'!$C$42</f>
        <v>2.0188259459331652E-4</v>
      </c>
    </row>
    <row r="349" spans="2:21" s="114" customFormat="1">
      <c r="B349" s="77" t="s">
        <v>1117</v>
      </c>
      <c r="C349" s="74" t="s">
        <v>1118</v>
      </c>
      <c r="D349" s="87" t="s">
        <v>27</v>
      </c>
      <c r="E349" s="87" t="s">
        <v>928</v>
      </c>
      <c r="F349" s="74"/>
      <c r="G349" s="87" t="s">
        <v>1013</v>
      </c>
      <c r="H349" s="74" t="s">
        <v>698</v>
      </c>
      <c r="I349" s="74"/>
      <c r="J349" s="74"/>
      <c r="K349" s="119">
        <v>4.3</v>
      </c>
      <c r="L349" s="87" t="s">
        <v>150</v>
      </c>
      <c r="M349" s="88">
        <v>4.2500000000000003E-2</v>
      </c>
      <c r="N349" s="88">
        <v>9.5459999999999989E-2</v>
      </c>
      <c r="O349" s="84">
        <v>911.05100000000004</v>
      </c>
      <c r="P349" s="86">
        <v>80.293099999999995</v>
      </c>
      <c r="Q349" s="74"/>
      <c r="R349" s="84">
        <v>2.6078355950000001</v>
      </c>
      <c r="S349" s="85">
        <v>1.9180021052631579E-6</v>
      </c>
      <c r="T349" s="85">
        <f>R349/$R$11</f>
        <v>2.3374176948935672E-3</v>
      </c>
      <c r="U349" s="85">
        <f>R349/'סכום נכסי הקרן'!$C$42</f>
        <v>4.139170575340109E-4</v>
      </c>
    </row>
    <row r="356" spans="2:11">
      <c r="C356" s="1"/>
      <c r="D356" s="1"/>
      <c r="E356" s="1"/>
      <c r="F356" s="1"/>
    </row>
    <row r="357" spans="2:11">
      <c r="C357" s="1"/>
      <c r="D357" s="1"/>
      <c r="E357" s="1"/>
      <c r="F357" s="1"/>
    </row>
    <row r="358" spans="2:11">
      <c r="C358" s="1"/>
      <c r="D358" s="1"/>
      <c r="E358" s="1"/>
      <c r="F358" s="1"/>
    </row>
    <row r="359" spans="2:11">
      <c r="B359" s="89" t="s">
        <v>236</v>
      </c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 t="s">
        <v>99</v>
      </c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 t="s">
        <v>218</v>
      </c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 t="s">
        <v>226</v>
      </c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134" t="s">
        <v>232</v>
      </c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3:6">
      <c r="C785" s="1"/>
      <c r="D785" s="1"/>
      <c r="E785" s="1"/>
      <c r="F785" s="1"/>
    </row>
    <row r="786" spans="3:6">
      <c r="C786" s="1"/>
      <c r="D786" s="1"/>
      <c r="E786" s="1"/>
      <c r="F786" s="1"/>
    </row>
    <row r="787" spans="3:6">
      <c r="C787" s="1"/>
      <c r="D787" s="1"/>
      <c r="E787" s="1"/>
      <c r="F787" s="1"/>
    </row>
    <row r="788" spans="3:6">
      <c r="C788" s="1"/>
      <c r="D788" s="1"/>
      <c r="E788" s="1"/>
      <c r="F788" s="1"/>
    </row>
    <row r="789" spans="3:6">
      <c r="C789" s="1"/>
      <c r="D789" s="1"/>
      <c r="E789" s="1"/>
      <c r="F789" s="1"/>
    </row>
    <row r="790" spans="3:6">
      <c r="C790" s="1"/>
      <c r="D790" s="1"/>
      <c r="E790" s="1"/>
      <c r="F790" s="1"/>
    </row>
    <row r="791" spans="3:6">
      <c r="C791" s="1"/>
      <c r="D791" s="1"/>
      <c r="E791" s="1"/>
      <c r="F791" s="1"/>
    </row>
    <row r="792" spans="3:6">
      <c r="C792" s="1"/>
      <c r="D792" s="1"/>
      <c r="E792" s="1"/>
      <c r="F792" s="1"/>
    </row>
    <row r="793" spans="3:6">
      <c r="C793" s="1"/>
      <c r="D793" s="1"/>
      <c r="E793" s="1"/>
      <c r="F793" s="1"/>
    </row>
    <row r="794" spans="3:6">
      <c r="C794" s="1"/>
      <c r="D794" s="1"/>
      <c r="E794" s="1"/>
      <c r="F794" s="1"/>
    </row>
    <row r="795" spans="3:6">
      <c r="C795" s="1"/>
      <c r="D795" s="1"/>
      <c r="E795" s="1"/>
      <c r="F795" s="1"/>
    </row>
    <row r="796" spans="3:6">
      <c r="C796" s="1"/>
      <c r="D796" s="1"/>
      <c r="E796" s="1"/>
      <c r="F796" s="1"/>
    </row>
    <row r="797" spans="3:6">
      <c r="C797" s="1"/>
      <c r="D797" s="1"/>
      <c r="E797" s="1"/>
      <c r="F797" s="1"/>
    </row>
    <row r="798" spans="3:6">
      <c r="C798" s="1"/>
      <c r="D798" s="1"/>
      <c r="E798" s="1"/>
      <c r="F798" s="1"/>
    </row>
    <row r="799" spans="3:6">
      <c r="C799" s="1"/>
      <c r="D799" s="1"/>
      <c r="E799" s="1"/>
      <c r="F799" s="1"/>
    </row>
    <row r="800" spans="3:6">
      <c r="C800" s="1"/>
      <c r="D800" s="1"/>
      <c r="E800" s="1"/>
      <c r="F800" s="1"/>
    </row>
    <row r="801" spans="2:6">
      <c r="B801" s="42"/>
      <c r="C801" s="1"/>
      <c r="D801" s="1"/>
      <c r="E801" s="1"/>
      <c r="F801" s="1"/>
    </row>
    <row r="802" spans="2:6">
      <c r="B802" s="42"/>
      <c r="C802" s="1"/>
      <c r="D802" s="1"/>
      <c r="E802" s="1"/>
      <c r="F802" s="1"/>
    </row>
    <row r="803" spans="2:6">
      <c r="B803" s="3"/>
      <c r="C803" s="1"/>
      <c r="D803" s="1"/>
      <c r="E803" s="1"/>
      <c r="F803" s="1"/>
    </row>
    <row r="804" spans="2:6">
      <c r="C804" s="1"/>
      <c r="D804" s="1"/>
      <c r="E804" s="1"/>
      <c r="F804" s="1"/>
    </row>
    <row r="805" spans="2:6">
      <c r="C805" s="1"/>
      <c r="D805" s="1"/>
      <c r="E805" s="1"/>
      <c r="F805" s="1"/>
    </row>
    <row r="806" spans="2:6">
      <c r="C806" s="1"/>
      <c r="D806" s="1"/>
      <c r="E806" s="1"/>
      <c r="F806" s="1"/>
    </row>
    <row r="807" spans="2:6">
      <c r="C807" s="1"/>
      <c r="D807" s="1"/>
      <c r="E807" s="1"/>
      <c r="F807" s="1"/>
    </row>
    <row r="808" spans="2:6">
      <c r="C808" s="1"/>
      <c r="D808" s="1"/>
      <c r="E808" s="1"/>
      <c r="F808" s="1"/>
    </row>
    <row r="809" spans="2:6">
      <c r="C809" s="1"/>
      <c r="D809" s="1"/>
      <c r="E809" s="1"/>
      <c r="F809" s="1"/>
    </row>
    <row r="810" spans="2:6">
      <c r="C810" s="1"/>
      <c r="D810" s="1"/>
      <c r="E810" s="1"/>
      <c r="F810" s="1"/>
    </row>
    <row r="811" spans="2:6">
      <c r="C811" s="1"/>
      <c r="D811" s="1"/>
      <c r="E811" s="1"/>
      <c r="F811" s="1"/>
    </row>
    <row r="812" spans="2:6">
      <c r="C812" s="1"/>
      <c r="D812" s="1"/>
      <c r="E812" s="1"/>
      <c r="F812" s="1"/>
    </row>
    <row r="813" spans="2:6">
      <c r="C813" s="1"/>
      <c r="D813" s="1"/>
      <c r="E813" s="1"/>
      <c r="F813" s="1"/>
    </row>
    <row r="814" spans="2:6">
      <c r="C814" s="1"/>
      <c r="D814" s="1"/>
      <c r="E814" s="1"/>
      <c r="F814" s="1"/>
    </row>
    <row r="815" spans="2:6">
      <c r="C815" s="1"/>
      <c r="D815" s="1"/>
      <c r="E815" s="1"/>
      <c r="F815" s="1"/>
    </row>
    <row r="816" spans="2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  <row r="832" spans="3:6">
      <c r="C832" s="1"/>
      <c r="D832" s="1"/>
      <c r="E832" s="1"/>
      <c r="F832" s="1"/>
    </row>
    <row r="833" spans="3:6">
      <c r="C833" s="1"/>
      <c r="D833" s="1"/>
      <c r="E833" s="1"/>
      <c r="F833" s="1"/>
    </row>
    <row r="834" spans="3:6">
      <c r="C834" s="1"/>
      <c r="D834" s="1"/>
      <c r="E834" s="1"/>
      <c r="F834" s="1"/>
    </row>
    <row r="835" spans="3:6">
      <c r="C835" s="1"/>
      <c r="D835" s="1"/>
      <c r="E835" s="1"/>
      <c r="F835" s="1"/>
    </row>
  </sheetData>
  <sheetProtection sheet="1" objects="1" scenarios="1"/>
  <mergeCells count="3">
    <mergeCell ref="B6:U6"/>
    <mergeCell ref="B7:U7"/>
    <mergeCell ref="B363:K363"/>
  </mergeCells>
  <phoneticPr fontId="3" type="noConversion"/>
  <conditionalFormatting sqref="B12:B349">
    <cfRule type="cellIs" dxfId="8" priority="2" operator="equal">
      <formula>"NR3"</formula>
    </cfRule>
  </conditionalFormatting>
  <conditionalFormatting sqref="B12:B349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61:G833">
      <formula1>$BK$7:$BK$24</formula1>
    </dataValidation>
    <dataValidation allowBlank="1" showInputMessage="1" showErrorMessage="1" sqref="H2 B33 Q9 B35 B361 B363"/>
    <dataValidation type="list" allowBlank="1" showInputMessage="1" showErrorMessage="1" sqref="I364:I833 I356:I362 I12:I34 I36:I277 I279:I324 I325:I349">
      <formula1>$BM$7:$BM$10</formula1>
    </dataValidation>
    <dataValidation type="list" allowBlank="1" showInputMessage="1" showErrorMessage="1" sqref="E364:E827 E356:E362 E12:E34 E36:E324 E325:E349">
      <formula1>$BI$7:$BI$24</formula1>
    </dataValidation>
    <dataValidation type="list" allowBlank="1" showInputMessage="1" showErrorMessage="1" sqref="G364:G560 G356:G362 G12:G34 G36:G324 G325:G349">
      <formula1>$BK$7:$BK$29</formula1>
    </dataValidation>
    <dataValidation type="list" allowBlank="1" showInputMessage="1" showErrorMessage="1" sqref="L356:L833 L12:L324 L325:L349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166</v>
      </c>
      <c r="C1" s="68" t="s" vm="1">
        <v>243</v>
      </c>
    </row>
    <row r="2" spans="2:62">
      <c r="B2" s="47" t="s">
        <v>165</v>
      </c>
      <c r="C2" s="68" t="s">
        <v>244</v>
      </c>
    </row>
    <row r="3" spans="2:62">
      <c r="B3" s="47" t="s">
        <v>167</v>
      </c>
      <c r="C3" s="68" t="s">
        <v>245</v>
      </c>
    </row>
    <row r="4" spans="2:62">
      <c r="B4" s="47" t="s">
        <v>168</v>
      </c>
      <c r="C4" s="68">
        <v>12148</v>
      </c>
    </row>
    <row r="6" spans="2:62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BJ6" s="3"/>
    </row>
    <row r="7" spans="2:62" ht="26.25" customHeight="1">
      <c r="B7" s="125" t="s">
        <v>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F7" s="3"/>
      <c r="BJ7" s="3"/>
    </row>
    <row r="8" spans="2:62" s="3" customFormat="1" ht="78.75">
      <c r="B8" s="22" t="s">
        <v>102</v>
      </c>
      <c r="C8" s="30" t="s">
        <v>39</v>
      </c>
      <c r="D8" s="30" t="s">
        <v>106</v>
      </c>
      <c r="E8" s="30" t="s">
        <v>212</v>
      </c>
      <c r="F8" s="30" t="s">
        <v>104</v>
      </c>
      <c r="G8" s="30" t="s">
        <v>56</v>
      </c>
      <c r="H8" s="30" t="s">
        <v>90</v>
      </c>
      <c r="I8" s="13" t="s">
        <v>220</v>
      </c>
      <c r="J8" s="13" t="s">
        <v>219</v>
      </c>
      <c r="K8" s="30" t="s">
        <v>235</v>
      </c>
      <c r="L8" s="13" t="s">
        <v>52</v>
      </c>
      <c r="M8" s="13" t="s">
        <v>51</v>
      </c>
      <c r="N8" s="13" t="s">
        <v>169</v>
      </c>
      <c r="O8" s="14" t="s">
        <v>171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227</v>
      </c>
      <c r="J9" s="16"/>
      <c r="K9" s="16" t="s">
        <v>223</v>
      </c>
      <c r="L9" s="16" t="s">
        <v>223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BF11" s="1"/>
      <c r="BG11" s="3"/>
      <c r="BH11" s="1"/>
      <c r="BJ11" s="1"/>
    </row>
    <row r="12" spans="2:62" ht="20.25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BG12" s="4"/>
    </row>
    <row r="13" spans="2:62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2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2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2" ht="20.25">
      <c r="B16" s="89" t="s">
        <v>233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BF16" s="4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10" workbookViewId="0">
      <selection activeCell="G14" sqref="G14:G37"/>
    </sheetView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62.8554687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166</v>
      </c>
      <c r="C1" s="68" t="s" vm="1">
        <v>243</v>
      </c>
    </row>
    <row r="2" spans="2:63">
      <c r="B2" s="47" t="s">
        <v>165</v>
      </c>
      <c r="C2" s="68" t="s">
        <v>244</v>
      </c>
    </row>
    <row r="3" spans="2:63">
      <c r="B3" s="47" t="s">
        <v>167</v>
      </c>
      <c r="C3" s="68" t="s">
        <v>245</v>
      </c>
    </row>
    <row r="4" spans="2:63">
      <c r="B4" s="47" t="s">
        <v>168</v>
      </c>
      <c r="C4" s="68">
        <v>12148</v>
      </c>
    </row>
    <row r="6" spans="2:63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BK6" s="3"/>
    </row>
    <row r="7" spans="2:63" ht="26.25" customHeight="1">
      <c r="B7" s="125" t="s">
        <v>241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BH7" s="3"/>
      <c r="BK7" s="3"/>
    </row>
    <row r="8" spans="2:63" s="3" customFormat="1" ht="74.25" customHeight="1">
      <c r="B8" s="22" t="s">
        <v>102</v>
      </c>
      <c r="C8" s="30" t="s">
        <v>39</v>
      </c>
      <c r="D8" s="30" t="s">
        <v>106</v>
      </c>
      <c r="E8" s="30" t="s">
        <v>104</v>
      </c>
      <c r="F8" s="30" t="s">
        <v>56</v>
      </c>
      <c r="G8" s="30" t="s">
        <v>90</v>
      </c>
      <c r="H8" s="30" t="s">
        <v>220</v>
      </c>
      <c r="I8" s="30" t="s">
        <v>219</v>
      </c>
      <c r="J8" s="30" t="s">
        <v>235</v>
      </c>
      <c r="K8" s="30" t="s">
        <v>52</v>
      </c>
      <c r="L8" s="30" t="s">
        <v>51</v>
      </c>
      <c r="M8" s="30" t="s">
        <v>169</v>
      </c>
      <c r="N8" s="14" t="s">
        <v>171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227</v>
      </c>
      <c r="I9" s="32"/>
      <c r="J9" s="16" t="s">
        <v>223</v>
      </c>
      <c r="K9" s="16" t="s">
        <v>223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96" t="s">
        <v>238</v>
      </c>
      <c r="C11" s="72"/>
      <c r="D11" s="72"/>
      <c r="E11" s="72"/>
      <c r="F11" s="72"/>
      <c r="G11" s="72"/>
      <c r="H11" s="81"/>
      <c r="I11" s="83"/>
      <c r="J11" s="72"/>
      <c r="K11" s="81">
        <v>65.020860752000004</v>
      </c>
      <c r="L11" s="72"/>
      <c r="M11" s="82">
        <v>1</v>
      </c>
      <c r="N11" s="82">
        <f>K11/'סכום נכסי הקרן'!$C$42</f>
        <v>1.0320145722528377E-2</v>
      </c>
      <c r="O11" s="5"/>
      <c r="BH11" s="90"/>
      <c r="BI11" s="3"/>
      <c r="BK11" s="90"/>
    </row>
    <row r="12" spans="2:63" s="90" customFormat="1" ht="20.25">
      <c r="B12" s="71" t="s">
        <v>217</v>
      </c>
      <c r="C12" s="72"/>
      <c r="D12" s="72"/>
      <c r="E12" s="72"/>
      <c r="F12" s="72"/>
      <c r="G12" s="72"/>
      <c r="H12" s="81"/>
      <c r="I12" s="83"/>
      <c r="J12" s="72"/>
      <c r="K12" s="81">
        <v>34.26630883499999</v>
      </c>
      <c r="L12" s="72"/>
      <c r="M12" s="82">
        <v>0.52700484796252067</v>
      </c>
      <c r="N12" s="82">
        <f>K12/'סכום נכסי הקרן'!$C$42</f>
        <v>5.4387668274521253E-3</v>
      </c>
      <c r="BI12" s="4"/>
    </row>
    <row r="13" spans="2:63">
      <c r="B13" s="92" t="s">
        <v>239</v>
      </c>
      <c r="C13" s="72"/>
      <c r="D13" s="72"/>
      <c r="E13" s="72"/>
      <c r="F13" s="72"/>
      <c r="G13" s="72"/>
      <c r="H13" s="81"/>
      <c r="I13" s="83"/>
      <c r="J13" s="72"/>
      <c r="K13" s="81">
        <v>34.26630883499999</v>
      </c>
      <c r="L13" s="72"/>
      <c r="M13" s="82">
        <v>0.52700484796252067</v>
      </c>
      <c r="N13" s="82">
        <f>K13/'סכום נכסי הקרן'!$C$42</f>
        <v>5.4387668274521253E-3</v>
      </c>
    </row>
    <row r="14" spans="2:63">
      <c r="B14" s="77" t="s">
        <v>1129</v>
      </c>
      <c r="C14" s="74" t="s">
        <v>1130</v>
      </c>
      <c r="D14" s="87" t="s">
        <v>107</v>
      </c>
      <c r="E14" s="74" t="s">
        <v>1131</v>
      </c>
      <c r="F14" s="87" t="s">
        <v>1132</v>
      </c>
      <c r="G14" s="87" t="s">
        <v>151</v>
      </c>
      <c r="H14" s="84">
        <v>177.400688</v>
      </c>
      <c r="I14" s="86">
        <v>334.15</v>
      </c>
      <c r="J14" s="74"/>
      <c r="K14" s="84">
        <v>0.59278439699999996</v>
      </c>
      <c r="L14" s="85">
        <v>1.2140955093340862E-6</v>
      </c>
      <c r="M14" s="85">
        <v>9.1168340459375757E-3</v>
      </c>
      <c r="N14" s="85">
        <f>K14/'סכום נכסי הקרן'!$C$42</f>
        <v>9.4087055882183764E-5</v>
      </c>
    </row>
    <row r="15" spans="2:63">
      <c r="B15" s="77" t="s">
        <v>1133</v>
      </c>
      <c r="C15" s="74" t="s">
        <v>1134</v>
      </c>
      <c r="D15" s="87" t="s">
        <v>107</v>
      </c>
      <c r="E15" s="74" t="s">
        <v>1131</v>
      </c>
      <c r="F15" s="87" t="s">
        <v>1132</v>
      </c>
      <c r="G15" s="87" t="s">
        <v>151</v>
      </c>
      <c r="H15" s="84">
        <v>240.84691900000001</v>
      </c>
      <c r="I15" s="86">
        <v>309.06</v>
      </c>
      <c r="J15" s="74"/>
      <c r="K15" s="84">
        <v>0.74436148899999999</v>
      </c>
      <c r="L15" s="85">
        <v>8.9311138474417936E-6</v>
      </c>
      <c r="M15" s="85">
        <v>1.1448041142351439E-2</v>
      </c>
      <c r="N15" s="85">
        <f>K15/'סכום נכסי הקרן'!$C$42</f>
        <v>1.1814545282656708E-4</v>
      </c>
    </row>
    <row r="16" spans="2:63" ht="20.25">
      <c r="B16" s="77" t="s">
        <v>1135</v>
      </c>
      <c r="C16" s="74" t="s">
        <v>1136</v>
      </c>
      <c r="D16" s="87" t="s">
        <v>107</v>
      </c>
      <c r="E16" s="74" t="s">
        <v>1131</v>
      </c>
      <c r="F16" s="87" t="s">
        <v>1132</v>
      </c>
      <c r="G16" s="87" t="s">
        <v>151</v>
      </c>
      <c r="H16" s="84">
        <v>2180.9486769999999</v>
      </c>
      <c r="I16" s="86">
        <v>322.18</v>
      </c>
      <c r="J16" s="74"/>
      <c r="K16" s="84">
        <v>7.0265804469999997</v>
      </c>
      <c r="L16" s="85">
        <v>9.375321661486747E-6</v>
      </c>
      <c r="M16" s="85">
        <v>0.10806655534445329</v>
      </c>
      <c r="N16" s="85">
        <f>K16/'סכום נכסי הקרן'!$C$42</f>
        <v>1.1152625988864358E-3</v>
      </c>
      <c r="BH16" s="4"/>
    </row>
    <row r="17" spans="2:14">
      <c r="B17" s="77" t="s">
        <v>1137</v>
      </c>
      <c r="C17" s="74" t="s">
        <v>1138</v>
      </c>
      <c r="D17" s="87" t="s">
        <v>107</v>
      </c>
      <c r="E17" s="74" t="s">
        <v>1131</v>
      </c>
      <c r="F17" s="87" t="s">
        <v>1132</v>
      </c>
      <c r="G17" s="87" t="s">
        <v>151</v>
      </c>
      <c r="H17" s="84">
        <v>141.017101</v>
      </c>
      <c r="I17" s="86">
        <v>350</v>
      </c>
      <c r="J17" s="74"/>
      <c r="K17" s="84">
        <v>0.49355985299999999</v>
      </c>
      <c r="L17" s="85">
        <v>9.966611095766041E-7</v>
      </c>
      <c r="M17" s="85">
        <v>7.5907923594324056E-3</v>
      </c>
      <c r="N17" s="85">
        <f>K17/'סכום נכסי הקרן'!$C$42</f>
        <v>7.8338083298797433E-5</v>
      </c>
    </row>
    <row r="18" spans="2:14">
      <c r="B18" s="77" t="s">
        <v>1139</v>
      </c>
      <c r="C18" s="74" t="s">
        <v>1140</v>
      </c>
      <c r="D18" s="87" t="s">
        <v>107</v>
      </c>
      <c r="E18" s="74" t="s">
        <v>1141</v>
      </c>
      <c r="F18" s="87" t="s">
        <v>1132</v>
      </c>
      <c r="G18" s="87" t="s">
        <v>151</v>
      </c>
      <c r="H18" s="84">
        <v>1167.1309510000001</v>
      </c>
      <c r="I18" s="86">
        <v>322.83</v>
      </c>
      <c r="J18" s="74"/>
      <c r="K18" s="84">
        <v>3.7678488489999999</v>
      </c>
      <c r="L18" s="85">
        <v>3.0817635133819191E-6</v>
      </c>
      <c r="M18" s="85">
        <v>5.7948307749587938E-2</v>
      </c>
      <c r="N18" s="85">
        <f>K18/'סכום נכסי הקרן'!$C$42</f>
        <v>5.9803498034966798E-4</v>
      </c>
    </row>
    <row r="19" spans="2:14">
      <c r="B19" s="77" t="s">
        <v>1142</v>
      </c>
      <c r="C19" s="74" t="s">
        <v>1143</v>
      </c>
      <c r="D19" s="87" t="s">
        <v>107</v>
      </c>
      <c r="E19" s="74" t="s">
        <v>1141</v>
      </c>
      <c r="F19" s="87" t="s">
        <v>1132</v>
      </c>
      <c r="G19" s="87" t="s">
        <v>151</v>
      </c>
      <c r="H19" s="84">
        <v>372.72993300000002</v>
      </c>
      <c r="I19" s="86">
        <v>331.08</v>
      </c>
      <c r="J19" s="74"/>
      <c r="K19" s="84">
        <v>1.234034262</v>
      </c>
      <c r="L19" s="85">
        <v>1.5032616605593584E-6</v>
      </c>
      <c r="M19" s="85">
        <v>1.8979051457143958E-2</v>
      </c>
      <c r="N19" s="85">
        <f>K19/'סכום נכסי הקרן'!$C$42</f>
        <v>1.9586657671309018E-4</v>
      </c>
    </row>
    <row r="20" spans="2:14">
      <c r="B20" s="77" t="s">
        <v>1144</v>
      </c>
      <c r="C20" s="74" t="s">
        <v>1145</v>
      </c>
      <c r="D20" s="87" t="s">
        <v>107</v>
      </c>
      <c r="E20" s="74" t="s">
        <v>1141</v>
      </c>
      <c r="F20" s="87" t="s">
        <v>1132</v>
      </c>
      <c r="G20" s="87" t="s">
        <v>151</v>
      </c>
      <c r="H20" s="84">
        <v>123.23521099999999</v>
      </c>
      <c r="I20" s="86">
        <v>310.85000000000002</v>
      </c>
      <c r="J20" s="74"/>
      <c r="K20" s="84">
        <v>0.38307665400000007</v>
      </c>
      <c r="L20" s="85">
        <v>2.5326686361170651E-6</v>
      </c>
      <c r="M20" s="85">
        <v>5.8915961672841568E-3</v>
      </c>
      <c r="N20" s="85">
        <f>K20/'סכום נכסי הקרן'!$C$42</f>
        <v>6.0802130984662175E-5</v>
      </c>
    </row>
    <row r="21" spans="2:14">
      <c r="B21" s="77" t="s">
        <v>1146</v>
      </c>
      <c r="C21" s="74" t="s">
        <v>1147</v>
      </c>
      <c r="D21" s="87" t="s">
        <v>107</v>
      </c>
      <c r="E21" s="74" t="s">
        <v>1141</v>
      </c>
      <c r="F21" s="87" t="s">
        <v>1132</v>
      </c>
      <c r="G21" s="87" t="s">
        <v>151</v>
      </c>
      <c r="H21" s="84">
        <v>577.26654399999995</v>
      </c>
      <c r="I21" s="86">
        <v>347.66</v>
      </c>
      <c r="J21" s="74"/>
      <c r="K21" s="84">
        <v>2.0069248670000004</v>
      </c>
      <c r="L21" s="85">
        <v>2.5616059627383523E-6</v>
      </c>
      <c r="M21" s="85">
        <v>3.0865861260353563E-2</v>
      </c>
      <c r="N21" s="85">
        <f>K21/'סכום נכסי הקרן'!$C$42</f>
        <v>3.1854018605819221E-4</v>
      </c>
    </row>
    <row r="22" spans="2:14">
      <c r="B22" s="77" t="s">
        <v>1148</v>
      </c>
      <c r="C22" s="74" t="s">
        <v>1149</v>
      </c>
      <c r="D22" s="87" t="s">
        <v>107</v>
      </c>
      <c r="E22" s="74" t="s">
        <v>1150</v>
      </c>
      <c r="F22" s="87" t="s">
        <v>1132</v>
      </c>
      <c r="G22" s="87" t="s">
        <v>151</v>
      </c>
      <c r="H22" s="84">
        <v>1.212358</v>
      </c>
      <c r="I22" s="86">
        <v>3314.37</v>
      </c>
      <c r="J22" s="74"/>
      <c r="K22" s="84">
        <v>4.0182031E-2</v>
      </c>
      <c r="L22" s="85">
        <v>5.6143548336828691E-8</v>
      </c>
      <c r="M22" s="85">
        <v>6.1798675894588222E-4</v>
      </c>
      <c r="N22" s="85">
        <f>K22/'סכום נכסי הקרן'!$C$42</f>
        <v>6.3777134069145216E-6</v>
      </c>
    </row>
    <row r="23" spans="2:14">
      <c r="B23" s="77" t="s">
        <v>1151</v>
      </c>
      <c r="C23" s="74" t="s">
        <v>1152</v>
      </c>
      <c r="D23" s="87" t="s">
        <v>107</v>
      </c>
      <c r="E23" s="74" t="s">
        <v>1150</v>
      </c>
      <c r="F23" s="87" t="s">
        <v>1132</v>
      </c>
      <c r="G23" s="87" t="s">
        <v>151</v>
      </c>
      <c r="H23" s="84">
        <v>5.3716499999999998</v>
      </c>
      <c r="I23" s="86">
        <v>3083.05</v>
      </c>
      <c r="J23" s="74"/>
      <c r="K23" s="84">
        <v>0.165610655</v>
      </c>
      <c r="L23" s="85">
        <v>9.6601568457065253E-7</v>
      </c>
      <c r="M23" s="85">
        <v>2.5470387977739269E-3</v>
      </c>
      <c r="N23" s="85">
        <f>K23/'סכום נכסי הקרן'!$C$42</f>
        <v>2.6285811553960413E-5</v>
      </c>
    </row>
    <row r="24" spans="2:14">
      <c r="B24" s="77" t="s">
        <v>1153</v>
      </c>
      <c r="C24" s="74" t="s">
        <v>1154</v>
      </c>
      <c r="D24" s="87" t="s">
        <v>107</v>
      </c>
      <c r="E24" s="74" t="s">
        <v>1150</v>
      </c>
      <c r="F24" s="87" t="s">
        <v>1132</v>
      </c>
      <c r="G24" s="87" t="s">
        <v>151</v>
      </c>
      <c r="H24" s="84">
        <v>167.219503</v>
      </c>
      <c r="I24" s="86">
        <v>3205</v>
      </c>
      <c r="J24" s="74"/>
      <c r="K24" s="84">
        <v>5.3593850849999995</v>
      </c>
      <c r="L24" s="85">
        <v>4.6506972506682651E-6</v>
      </c>
      <c r="M24" s="85">
        <v>8.2425624991978405E-2</v>
      </c>
      <c r="N24" s="85">
        <f>K24/'סכום נכסי הקרן'!$C$42</f>
        <v>8.5064446118769405E-4</v>
      </c>
    </row>
    <row r="25" spans="2:14">
      <c r="B25" s="77" t="s">
        <v>1155</v>
      </c>
      <c r="C25" s="74" t="s">
        <v>1156</v>
      </c>
      <c r="D25" s="87" t="s">
        <v>107</v>
      </c>
      <c r="E25" s="74" t="s">
        <v>1150</v>
      </c>
      <c r="F25" s="87" t="s">
        <v>1132</v>
      </c>
      <c r="G25" s="87" t="s">
        <v>151</v>
      </c>
      <c r="H25" s="84">
        <v>66.541003000000003</v>
      </c>
      <c r="I25" s="86">
        <v>3489.83</v>
      </c>
      <c r="J25" s="74"/>
      <c r="K25" s="84">
        <v>2.3221678839999997</v>
      </c>
      <c r="L25" s="85">
        <v>4.7536849611720382E-6</v>
      </c>
      <c r="M25" s="85">
        <v>3.5714197830402777E-2</v>
      </c>
      <c r="N25" s="85">
        <f>K25/'סכום נכסי הקרן'!$C$42</f>
        <v>3.6857572597296349E-4</v>
      </c>
    </row>
    <row r="26" spans="2:14">
      <c r="B26" s="77" t="s">
        <v>1157</v>
      </c>
      <c r="C26" s="74" t="s">
        <v>1158</v>
      </c>
      <c r="D26" s="87" t="s">
        <v>107</v>
      </c>
      <c r="E26" s="74" t="s">
        <v>1159</v>
      </c>
      <c r="F26" s="87" t="s">
        <v>1132</v>
      </c>
      <c r="G26" s="87" t="s">
        <v>151</v>
      </c>
      <c r="H26" s="84">
        <v>169.485186</v>
      </c>
      <c r="I26" s="86">
        <v>331.5</v>
      </c>
      <c r="J26" s="74"/>
      <c r="K26" s="84">
        <v>0.56184339299999997</v>
      </c>
      <c r="L26" s="85">
        <v>5.2461360455905851E-7</v>
      </c>
      <c r="M26" s="85">
        <v>8.640971320619098E-3</v>
      </c>
      <c r="N26" s="85">
        <f>K26/'סכום נכסי הקרן'!$C$42</f>
        <v>8.9176083212977566E-5</v>
      </c>
    </row>
    <row r="27" spans="2:14">
      <c r="B27" s="77" t="s">
        <v>1160</v>
      </c>
      <c r="C27" s="74" t="s">
        <v>1161</v>
      </c>
      <c r="D27" s="87" t="s">
        <v>107</v>
      </c>
      <c r="E27" s="74" t="s">
        <v>1159</v>
      </c>
      <c r="F27" s="87" t="s">
        <v>1132</v>
      </c>
      <c r="G27" s="87" t="s">
        <v>151</v>
      </c>
      <c r="H27" s="84">
        <v>108.828344</v>
      </c>
      <c r="I27" s="86">
        <v>310.3</v>
      </c>
      <c r="J27" s="74"/>
      <c r="K27" s="84">
        <v>0.33769435099999995</v>
      </c>
      <c r="L27" s="85">
        <v>2.8064523133353309E-6</v>
      </c>
      <c r="M27" s="85">
        <v>5.1936308915998576E-3</v>
      </c>
      <c r="N27" s="85">
        <f>K27/'סכום נכסי הקרן'!$C$42</f>
        <v>5.3599027630335512E-5</v>
      </c>
    </row>
    <row r="28" spans="2:14">
      <c r="B28" s="77" t="s">
        <v>1162</v>
      </c>
      <c r="C28" s="74" t="s">
        <v>1163</v>
      </c>
      <c r="D28" s="87" t="s">
        <v>107</v>
      </c>
      <c r="E28" s="74" t="s">
        <v>1159</v>
      </c>
      <c r="F28" s="87" t="s">
        <v>1132</v>
      </c>
      <c r="G28" s="87" t="s">
        <v>151</v>
      </c>
      <c r="H28" s="84">
        <v>1477.3641390000003</v>
      </c>
      <c r="I28" s="86">
        <v>321.8</v>
      </c>
      <c r="J28" s="74"/>
      <c r="K28" s="84">
        <v>4.7541577989999997</v>
      </c>
      <c r="L28" s="85">
        <v>3.8632726005462088E-6</v>
      </c>
      <c r="M28" s="85">
        <v>7.3117423301009815E-2</v>
      </c>
      <c r="N28" s="85">
        <f>K28/'סכום נכסי הקרן'!$C$42</f>
        <v>7.5458246332221312E-4</v>
      </c>
    </row>
    <row r="29" spans="2:14">
      <c r="B29" s="77" t="s">
        <v>1164</v>
      </c>
      <c r="C29" s="74" t="s">
        <v>1165</v>
      </c>
      <c r="D29" s="87" t="s">
        <v>107</v>
      </c>
      <c r="E29" s="74" t="s">
        <v>1159</v>
      </c>
      <c r="F29" s="87" t="s">
        <v>1132</v>
      </c>
      <c r="G29" s="87" t="s">
        <v>151</v>
      </c>
      <c r="H29" s="84">
        <v>1274.9869880000001</v>
      </c>
      <c r="I29" s="86">
        <v>351.07</v>
      </c>
      <c r="J29" s="74"/>
      <c r="K29" s="84">
        <v>4.4760968190000003</v>
      </c>
      <c r="L29" s="85">
        <v>5.4910144897077104E-6</v>
      </c>
      <c r="M29" s="85">
        <v>6.8840934543646717E-2</v>
      </c>
      <c r="N29" s="85">
        <f>K29/'סכום נכסי הקרן'!$C$42</f>
        <v>7.1044847616547177E-4</v>
      </c>
    </row>
    <row r="30" spans="2:14">
      <c r="B30" s="73"/>
      <c r="C30" s="74"/>
      <c r="D30" s="74"/>
      <c r="E30" s="74"/>
      <c r="F30" s="74"/>
      <c r="G30" s="74"/>
      <c r="H30" s="84"/>
      <c r="I30" s="86"/>
      <c r="J30" s="74"/>
      <c r="K30" s="74"/>
      <c r="L30" s="74"/>
      <c r="M30" s="85"/>
      <c r="N30" s="74"/>
    </row>
    <row r="31" spans="2:14" s="90" customFormat="1">
      <c r="B31" s="71" t="s">
        <v>216</v>
      </c>
      <c r="C31" s="72"/>
      <c r="D31" s="72"/>
      <c r="E31" s="72"/>
      <c r="F31" s="72"/>
      <c r="G31" s="72"/>
      <c r="H31" s="81"/>
      <c r="I31" s="83"/>
      <c r="J31" s="72"/>
      <c r="K31" s="81">
        <v>30.754551916999997</v>
      </c>
      <c r="L31" s="72"/>
      <c r="M31" s="82">
        <v>0.47299515203747905</v>
      </c>
      <c r="N31" s="82">
        <f>K31/'סכום נכסי הקרן'!$C$42</f>
        <v>4.8813788950762488E-3</v>
      </c>
    </row>
    <row r="32" spans="2:14">
      <c r="B32" s="92" t="s">
        <v>240</v>
      </c>
      <c r="C32" s="72"/>
      <c r="D32" s="72"/>
      <c r="E32" s="72"/>
      <c r="F32" s="72"/>
      <c r="G32" s="72"/>
      <c r="H32" s="81"/>
      <c r="I32" s="83"/>
      <c r="J32" s="72"/>
      <c r="K32" s="81">
        <v>30.754551916999997</v>
      </c>
      <c r="L32" s="72"/>
      <c r="M32" s="82">
        <v>0.47299515203747905</v>
      </c>
      <c r="N32" s="82">
        <f>K32/'סכום נכסי הקרן'!$C$42</f>
        <v>4.8813788950762488E-3</v>
      </c>
    </row>
    <row r="33" spans="2:14">
      <c r="B33" s="77" t="s">
        <v>1166</v>
      </c>
      <c r="C33" s="74" t="s">
        <v>1167</v>
      </c>
      <c r="D33" s="87" t="s">
        <v>110</v>
      </c>
      <c r="E33" s="74"/>
      <c r="F33" s="87" t="s">
        <v>1132</v>
      </c>
      <c r="G33" s="87" t="s">
        <v>150</v>
      </c>
      <c r="H33" s="84">
        <v>2.9631069999999999</v>
      </c>
      <c r="I33" s="86">
        <v>9061</v>
      </c>
      <c r="J33" s="74"/>
      <c r="K33" s="84">
        <v>0.95715666499999996</v>
      </c>
      <c r="L33" s="85">
        <v>3.9452213218530605E-7</v>
      </c>
      <c r="M33" s="85">
        <v>1.4720762751061526E-2</v>
      </c>
      <c r="N33" s="85">
        <f>K33/'סכום נכסי הקרן'!$C$42</f>
        <v>1.5192041673772267E-4</v>
      </c>
    </row>
    <row r="34" spans="2:14">
      <c r="B34" s="77" t="s">
        <v>1168</v>
      </c>
      <c r="C34" s="74" t="s">
        <v>1169</v>
      </c>
      <c r="D34" s="87" t="s">
        <v>110</v>
      </c>
      <c r="E34" s="74"/>
      <c r="F34" s="87" t="s">
        <v>1132</v>
      </c>
      <c r="G34" s="87" t="s">
        <v>150</v>
      </c>
      <c r="H34" s="84">
        <v>72.848746000000006</v>
      </c>
      <c r="I34" s="86">
        <v>9195</v>
      </c>
      <c r="J34" s="74"/>
      <c r="K34" s="84">
        <v>23.879946422</v>
      </c>
      <c r="L34" s="85">
        <v>2.5475376968631843E-6</v>
      </c>
      <c r="M34" s="85">
        <v>0.36726592274873054</v>
      </c>
      <c r="N34" s="85">
        <f>K34/'סכום נכסי הקרן'!$C$42</f>
        <v>3.790237841685749E-3</v>
      </c>
    </row>
    <row r="35" spans="2:14">
      <c r="B35" s="77" t="s">
        <v>1170</v>
      </c>
      <c r="C35" s="74" t="s">
        <v>1171</v>
      </c>
      <c r="D35" s="87" t="s">
        <v>110</v>
      </c>
      <c r="E35" s="74"/>
      <c r="F35" s="87" t="s">
        <v>1132</v>
      </c>
      <c r="G35" s="87" t="s">
        <v>153</v>
      </c>
      <c r="H35" s="84">
        <v>448.157535</v>
      </c>
      <c r="I35" s="86">
        <v>116</v>
      </c>
      <c r="J35" s="74"/>
      <c r="K35" s="84">
        <v>2.286668251</v>
      </c>
      <c r="L35" s="85">
        <v>1.9541825863844721E-6</v>
      </c>
      <c r="M35" s="85">
        <v>3.5168224852047403E-2</v>
      </c>
      <c r="N35" s="85">
        <f>K35/'סכום נכסי הקרן'!$C$42</f>
        <v>3.6294120527577319E-4</v>
      </c>
    </row>
    <row r="36" spans="2:14">
      <c r="B36" s="77" t="s">
        <v>1172</v>
      </c>
      <c r="C36" s="74" t="s">
        <v>1173</v>
      </c>
      <c r="D36" s="87" t="s">
        <v>110</v>
      </c>
      <c r="E36" s="74"/>
      <c r="F36" s="87" t="s">
        <v>1132</v>
      </c>
      <c r="G36" s="87" t="s">
        <v>150</v>
      </c>
      <c r="H36" s="84">
        <v>16.154361999999999</v>
      </c>
      <c r="I36" s="86">
        <v>6304.5</v>
      </c>
      <c r="J36" s="74"/>
      <c r="K36" s="84">
        <v>3.6307805790000001</v>
      </c>
      <c r="L36" s="85">
        <v>3.379050594239607E-7</v>
      </c>
      <c r="M36" s="85">
        <v>5.5840241685639627E-2</v>
      </c>
      <c r="N36" s="85">
        <f>K36/'סכום נכסי הקרן'!$C$42</f>
        <v>5.7627943137700461E-4</v>
      </c>
    </row>
    <row r="37" spans="2:14">
      <c r="B37" s="73"/>
      <c r="C37" s="74"/>
      <c r="D37" s="74"/>
      <c r="E37" s="74"/>
      <c r="F37" s="74"/>
      <c r="G37" s="74"/>
      <c r="H37" s="84"/>
      <c r="I37" s="86"/>
      <c r="J37" s="74"/>
      <c r="K37" s="74"/>
      <c r="L37" s="74"/>
      <c r="M37" s="85"/>
      <c r="N37" s="74"/>
    </row>
    <row r="38" spans="2:14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2:14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>
      <c r="B40" s="89" t="s">
        <v>236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>
      <c r="B41" s="89" t="s">
        <v>99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>
      <c r="B42" s="89" t="s">
        <v>218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>
      <c r="B43" s="89" t="s">
        <v>226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>
      <c r="B44" s="89" t="s">
        <v>234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2:14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2:14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2:1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D137" s="1"/>
      <c r="E137" s="1"/>
      <c r="F137" s="1"/>
      <c r="G137" s="1"/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D141" s="1"/>
      <c r="E141" s="1"/>
      <c r="F141" s="1"/>
      <c r="G141" s="1"/>
    </row>
    <row r="142" spans="2:14"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D1:I1048576 K1:AF1048576 AH1:XFD1048576 AG1:AG43 B1:B39 B41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0" workbookViewId="0">
      <selection activeCell="C28" sqref="C28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62.855468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166</v>
      </c>
      <c r="C1" s="68" t="s" vm="1">
        <v>243</v>
      </c>
    </row>
    <row r="2" spans="2:65">
      <c r="B2" s="47" t="s">
        <v>165</v>
      </c>
      <c r="C2" s="68" t="s">
        <v>244</v>
      </c>
    </row>
    <row r="3" spans="2:65">
      <c r="B3" s="47" t="s">
        <v>167</v>
      </c>
      <c r="C3" s="68" t="s">
        <v>245</v>
      </c>
    </row>
    <row r="4" spans="2:65">
      <c r="B4" s="47" t="s">
        <v>168</v>
      </c>
      <c r="C4" s="68">
        <v>12148</v>
      </c>
    </row>
    <row r="6" spans="2:65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5" ht="26.25" customHeight="1">
      <c r="B7" s="125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M7" s="3"/>
    </row>
    <row r="8" spans="2:65" s="3" customFormat="1" ht="78.75">
      <c r="B8" s="22" t="s">
        <v>102</v>
      </c>
      <c r="C8" s="30" t="s">
        <v>39</v>
      </c>
      <c r="D8" s="30" t="s">
        <v>106</v>
      </c>
      <c r="E8" s="30" t="s">
        <v>104</v>
      </c>
      <c r="F8" s="30" t="s">
        <v>56</v>
      </c>
      <c r="G8" s="30" t="s">
        <v>14</v>
      </c>
      <c r="H8" s="30" t="s">
        <v>57</v>
      </c>
      <c r="I8" s="30" t="s">
        <v>90</v>
      </c>
      <c r="J8" s="30" t="s">
        <v>220</v>
      </c>
      <c r="K8" s="30" t="s">
        <v>219</v>
      </c>
      <c r="L8" s="30" t="s">
        <v>52</v>
      </c>
      <c r="M8" s="30" t="s">
        <v>51</v>
      </c>
      <c r="N8" s="30" t="s">
        <v>169</v>
      </c>
      <c r="O8" s="20" t="s">
        <v>171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227</v>
      </c>
      <c r="K9" s="32"/>
      <c r="L9" s="32" t="s">
        <v>223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6" t="s">
        <v>28</v>
      </c>
      <c r="C11" s="72"/>
      <c r="D11" s="72"/>
      <c r="E11" s="72"/>
      <c r="F11" s="72"/>
      <c r="G11" s="72"/>
      <c r="H11" s="72"/>
      <c r="I11" s="72"/>
      <c r="J11" s="81"/>
      <c r="K11" s="83"/>
      <c r="L11" s="81">
        <v>155.61028826799998</v>
      </c>
      <c r="M11" s="72"/>
      <c r="N11" s="82">
        <v>1</v>
      </c>
      <c r="O11" s="82">
        <f>L11/'סכום נכסי הקרן'!$C$42</f>
        <v>2.4698548008702123E-2</v>
      </c>
      <c r="P11" s="5"/>
      <c r="BG11" s="90"/>
      <c r="BH11" s="3"/>
      <c r="BI11" s="90"/>
      <c r="BM11" s="90"/>
    </row>
    <row r="12" spans="2:65" s="4" customFormat="1" ht="18" customHeight="1">
      <c r="B12" s="71" t="s">
        <v>216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155.61028826800001</v>
      </c>
      <c r="M12" s="72"/>
      <c r="N12" s="82">
        <v>1.0000000000000002</v>
      </c>
      <c r="O12" s="82">
        <f>L12/'סכום נכסי הקרן'!$C$42</f>
        <v>2.4698548008702127E-2</v>
      </c>
      <c r="P12" s="5"/>
      <c r="BG12" s="90"/>
      <c r="BH12" s="3"/>
      <c r="BI12" s="90"/>
      <c r="BM12" s="90"/>
    </row>
    <row r="13" spans="2:65">
      <c r="B13" s="92" t="s">
        <v>44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152.46802301600002</v>
      </c>
      <c r="M13" s="72"/>
      <c r="N13" s="82">
        <v>0.97980682841106115</v>
      </c>
      <c r="O13" s="82">
        <f>L13/'סכום נכסי הקרן'!$C$42</f>
        <v>2.4199805990764756E-2</v>
      </c>
      <c r="BH13" s="3"/>
    </row>
    <row r="14" spans="2:65" ht="20.25">
      <c r="B14" s="77" t="s">
        <v>1174</v>
      </c>
      <c r="C14" s="74" t="s">
        <v>1175</v>
      </c>
      <c r="D14" s="87" t="s">
        <v>27</v>
      </c>
      <c r="E14" s="74"/>
      <c r="F14" s="87" t="s">
        <v>1132</v>
      </c>
      <c r="G14" s="74" t="s">
        <v>1339</v>
      </c>
      <c r="H14" s="74" t="s">
        <v>932</v>
      </c>
      <c r="I14" s="87" t="s">
        <v>153</v>
      </c>
      <c r="J14" s="84">
        <v>2.2975400000000001</v>
      </c>
      <c r="K14" s="86">
        <v>115680</v>
      </c>
      <c r="L14" s="84">
        <v>11.690573242999999</v>
      </c>
      <c r="M14" s="85">
        <v>4.2888616779663472E-6</v>
      </c>
      <c r="N14" s="85">
        <v>7.5127251373417539E-2</v>
      </c>
      <c r="O14" s="85">
        <f>L14/'סכום נכסי הקרן'!$C$42</f>
        <v>1.8555340248081855E-3</v>
      </c>
      <c r="BH14" s="4"/>
    </row>
    <row r="15" spans="2:65">
      <c r="B15" s="77" t="s">
        <v>1176</v>
      </c>
      <c r="C15" s="74" t="s">
        <v>1177</v>
      </c>
      <c r="D15" s="87" t="s">
        <v>27</v>
      </c>
      <c r="E15" s="74"/>
      <c r="F15" s="87" t="s">
        <v>1132</v>
      </c>
      <c r="G15" s="74" t="s">
        <v>931</v>
      </c>
      <c r="H15" s="74" t="s">
        <v>932</v>
      </c>
      <c r="I15" s="87" t="s">
        <v>150</v>
      </c>
      <c r="J15" s="84">
        <v>2.8636400000000002</v>
      </c>
      <c r="K15" s="86">
        <v>83365</v>
      </c>
      <c r="L15" s="84">
        <v>8.5106285960000001</v>
      </c>
      <c r="M15" s="85">
        <v>3.5762472940885314E-6</v>
      </c>
      <c r="N15" s="85">
        <v>5.4691940299876327E-2</v>
      </c>
      <c r="O15" s="85">
        <f>L15/'סכום נכסי הקרן'!$C$42</f>
        <v>1.3508115131855658E-3</v>
      </c>
    </row>
    <row r="16" spans="2:65">
      <c r="B16" s="77" t="s">
        <v>1178</v>
      </c>
      <c r="C16" s="74" t="s">
        <v>1179</v>
      </c>
      <c r="D16" s="87" t="s">
        <v>27</v>
      </c>
      <c r="E16" s="74"/>
      <c r="F16" s="87" t="s">
        <v>1132</v>
      </c>
      <c r="G16" s="74" t="s">
        <v>1041</v>
      </c>
      <c r="H16" s="74" t="s">
        <v>932</v>
      </c>
      <c r="I16" s="87" t="s">
        <v>150</v>
      </c>
      <c r="J16" s="84">
        <v>0.126579</v>
      </c>
      <c r="K16" s="86">
        <v>1073293</v>
      </c>
      <c r="L16" s="84">
        <v>4.8432941400000002</v>
      </c>
      <c r="M16" s="85">
        <v>9.0792052212760978E-7</v>
      </c>
      <c r="N16" s="85">
        <v>3.1124511071264339E-2</v>
      </c>
      <c r="O16" s="85">
        <f>L16/'סכום נכסי הקרן'!$C$42</f>
        <v>7.68730230941003E-4</v>
      </c>
    </row>
    <row r="17" spans="2:15">
      <c r="B17" s="77" t="s">
        <v>1189</v>
      </c>
      <c r="C17" s="74" t="s">
        <v>1190</v>
      </c>
      <c r="D17" s="87" t="s">
        <v>27</v>
      </c>
      <c r="E17" s="74"/>
      <c r="F17" s="87" t="s">
        <v>1132</v>
      </c>
      <c r="G17" s="74" t="s">
        <v>1076</v>
      </c>
      <c r="H17" s="74" t="s">
        <v>932</v>
      </c>
      <c r="I17" s="87" t="s">
        <v>150</v>
      </c>
      <c r="J17" s="84">
        <v>191.78362200000001</v>
      </c>
      <c r="K17" s="86">
        <v>1249</v>
      </c>
      <c r="L17" s="84">
        <v>8.5395205870000002</v>
      </c>
      <c r="M17" s="85">
        <v>6.5443072508207538E-7</v>
      </c>
      <c r="N17" s="85">
        <v>5.4877609199545999E-2</v>
      </c>
      <c r="O17" s="85">
        <f>L17/'סכום נכסי הקרן'!$C$42</f>
        <v>1.3553972654177801E-3</v>
      </c>
    </row>
    <row r="18" spans="2:15">
      <c r="B18" s="77" t="s">
        <v>1180</v>
      </c>
      <c r="C18" s="74" t="s">
        <v>1181</v>
      </c>
      <c r="D18" s="87" t="s">
        <v>27</v>
      </c>
      <c r="E18" s="74"/>
      <c r="F18" s="87" t="s">
        <v>1132</v>
      </c>
      <c r="G18" s="74" t="s">
        <v>1076</v>
      </c>
      <c r="H18" s="74" t="s">
        <v>932</v>
      </c>
      <c r="I18" s="87" t="s">
        <v>152</v>
      </c>
      <c r="J18" s="84">
        <v>1.665476</v>
      </c>
      <c r="K18" s="86">
        <v>99408</v>
      </c>
      <c r="L18" s="84">
        <v>6.457398983</v>
      </c>
      <c r="M18" s="85">
        <v>5.8611341925596355E-6</v>
      </c>
      <c r="N18" s="85">
        <v>4.1497249666929081E-2</v>
      </c>
      <c r="O18" s="85">
        <f>L18/'סכום נכסי הקרן'!$C$42</f>
        <v>1.0249218131277459E-3</v>
      </c>
    </row>
    <row r="19" spans="2:15">
      <c r="B19" s="77" t="s">
        <v>1199</v>
      </c>
      <c r="C19" s="74" t="s">
        <v>1200</v>
      </c>
      <c r="D19" s="87" t="s">
        <v>27</v>
      </c>
      <c r="E19" s="74"/>
      <c r="F19" s="87" t="s">
        <v>1132</v>
      </c>
      <c r="G19" s="74" t="s">
        <v>1076</v>
      </c>
      <c r="H19" s="74" t="s">
        <v>932</v>
      </c>
      <c r="I19" s="87" t="s">
        <v>152</v>
      </c>
      <c r="J19" s="84">
        <v>1.8922699999999997</v>
      </c>
      <c r="K19" s="86">
        <v>199088</v>
      </c>
      <c r="L19" s="84">
        <v>14.693533192</v>
      </c>
      <c r="M19" s="85">
        <v>6.3333719558984091E-6</v>
      </c>
      <c r="N19" s="85">
        <v>9.4425203857305684E-2</v>
      </c>
      <c r="O19" s="85">
        <f>L19/'סכום נכסי הקרן'!$C$42</f>
        <v>2.3321654307011494E-3</v>
      </c>
    </row>
    <row r="20" spans="2:15">
      <c r="B20" s="77" t="s">
        <v>1182</v>
      </c>
      <c r="C20" s="74" t="s">
        <v>1183</v>
      </c>
      <c r="D20" s="87" t="s">
        <v>27</v>
      </c>
      <c r="E20" s="74"/>
      <c r="F20" s="87" t="s">
        <v>1132</v>
      </c>
      <c r="G20" s="74" t="s">
        <v>941</v>
      </c>
      <c r="H20" s="74" t="s">
        <v>932</v>
      </c>
      <c r="I20" s="87" t="s">
        <v>150</v>
      </c>
      <c r="J20" s="84">
        <v>0.92347599999999996</v>
      </c>
      <c r="K20" s="86">
        <v>161611</v>
      </c>
      <c r="L20" s="84">
        <v>5.3205429670000006</v>
      </c>
      <c r="M20" s="85">
        <v>3.8737709060295972E-6</v>
      </c>
      <c r="N20" s="85">
        <v>3.419146012914448E-2</v>
      </c>
      <c r="O20" s="85">
        <f>L20/'סכום נכסי הקרן'!$C$42</f>
        <v>8.4447941948729947E-4</v>
      </c>
    </row>
    <row r="21" spans="2:15">
      <c r="B21" s="77" t="s">
        <v>1184</v>
      </c>
      <c r="C21" s="74" t="s">
        <v>1185</v>
      </c>
      <c r="D21" s="87" t="s">
        <v>27</v>
      </c>
      <c r="E21" s="74"/>
      <c r="F21" s="87" t="s">
        <v>1132</v>
      </c>
      <c r="G21" s="74" t="s">
        <v>1186</v>
      </c>
      <c r="H21" s="74" t="s">
        <v>932</v>
      </c>
      <c r="I21" s="87" t="s">
        <v>150</v>
      </c>
      <c r="J21" s="84">
        <v>110.65858199999998</v>
      </c>
      <c r="K21" s="86">
        <v>1467</v>
      </c>
      <c r="L21" s="84">
        <v>5.7872833909999999</v>
      </c>
      <c r="M21" s="85">
        <v>9.678731315167258E-7</v>
      </c>
      <c r="N21" s="85">
        <v>3.7190878928473198E-2</v>
      </c>
      <c r="O21" s="85">
        <f>L21/'סכום נכסי הקרן'!$C$42</f>
        <v>9.1856070870072334E-4</v>
      </c>
    </row>
    <row r="22" spans="2:15">
      <c r="B22" s="77" t="s">
        <v>1191</v>
      </c>
      <c r="C22" s="74" t="s">
        <v>1192</v>
      </c>
      <c r="D22" s="87" t="s">
        <v>27</v>
      </c>
      <c r="E22" s="74"/>
      <c r="F22" s="87" t="s">
        <v>1132</v>
      </c>
      <c r="G22" s="74" t="s">
        <v>1186</v>
      </c>
      <c r="H22" s="74" t="s">
        <v>932</v>
      </c>
      <c r="I22" s="87" t="s">
        <v>150</v>
      </c>
      <c r="J22" s="84">
        <v>0.14685999999999999</v>
      </c>
      <c r="K22" s="86">
        <v>1032681</v>
      </c>
      <c r="L22" s="84">
        <v>5.4066692999999999</v>
      </c>
      <c r="M22" s="85">
        <v>7.2515131315932515E-7</v>
      </c>
      <c r="N22" s="85">
        <v>3.4744934670954138E-2</v>
      </c>
      <c r="O22" s="85">
        <f>L22/'סכום נכסי הקרן'!$C$42</f>
        <v>8.5814943702977966E-4</v>
      </c>
    </row>
    <row r="23" spans="2:15">
      <c r="B23" s="77" t="s">
        <v>1187</v>
      </c>
      <c r="C23" s="74" t="s">
        <v>1188</v>
      </c>
      <c r="D23" s="87" t="s">
        <v>27</v>
      </c>
      <c r="E23" s="74"/>
      <c r="F23" s="87" t="s">
        <v>1132</v>
      </c>
      <c r="G23" s="120" t="s">
        <v>1112</v>
      </c>
      <c r="H23" s="74" t="s">
        <v>932</v>
      </c>
      <c r="I23" s="87" t="s">
        <v>150</v>
      </c>
      <c r="J23" s="84">
        <v>3.7538610000000001</v>
      </c>
      <c r="K23" s="86">
        <v>115651</v>
      </c>
      <c r="L23" s="84">
        <v>15.4770105</v>
      </c>
      <c r="M23" s="85">
        <v>8.5339768990425303E-7</v>
      </c>
      <c r="N23" s="85">
        <v>9.9460072160169152E-2</v>
      </c>
      <c r="O23" s="85">
        <f>L23/'סכום נכסי הקרן'!$C$42</f>
        <v>2.4565193671969151E-3</v>
      </c>
    </row>
    <row r="24" spans="2:15">
      <c r="B24" s="77" t="s">
        <v>1193</v>
      </c>
      <c r="C24" s="74" t="s">
        <v>1194</v>
      </c>
      <c r="D24" s="87" t="s">
        <v>27</v>
      </c>
      <c r="E24" s="74"/>
      <c r="F24" s="87" t="s">
        <v>1132</v>
      </c>
      <c r="G24" s="120" t="s">
        <v>1112</v>
      </c>
      <c r="H24" s="74" t="s">
        <v>932</v>
      </c>
      <c r="I24" s="87" t="s">
        <v>150</v>
      </c>
      <c r="J24" s="84">
        <v>8.0229610000000005</v>
      </c>
      <c r="K24" s="86">
        <v>26861.81</v>
      </c>
      <c r="L24" s="84">
        <v>7.6829765280000002</v>
      </c>
      <c r="M24" s="85">
        <v>7.8207761599456936E-7</v>
      </c>
      <c r="N24" s="85">
        <v>4.9373191281337298E-2</v>
      </c>
      <c r="O24" s="85">
        <f>L24/'סכום נכסי הקרן'!$C$42</f>
        <v>1.2194461352049424E-3</v>
      </c>
    </row>
    <row r="25" spans="2:15">
      <c r="B25" s="77" t="s">
        <v>1195</v>
      </c>
      <c r="C25" s="74" t="s">
        <v>1196</v>
      </c>
      <c r="D25" s="87" t="s">
        <v>27</v>
      </c>
      <c r="E25" s="74"/>
      <c r="F25" s="87" t="s">
        <v>1132</v>
      </c>
      <c r="G25" s="74" t="s">
        <v>1112</v>
      </c>
      <c r="H25" s="74" t="s">
        <v>932</v>
      </c>
      <c r="I25" s="87" t="s">
        <v>152</v>
      </c>
      <c r="J25" s="84">
        <v>9.7174840000000007</v>
      </c>
      <c r="K25" s="86">
        <v>12823</v>
      </c>
      <c r="L25" s="84">
        <v>4.8600583999999998</v>
      </c>
      <c r="M25" s="85">
        <v>3.3368591516733096E-7</v>
      </c>
      <c r="N25" s="85">
        <v>3.1232243408159228E-2</v>
      </c>
      <c r="O25" s="85">
        <f>L25/'סכום נכסי הקרן'!$C$42</f>
        <v>7.7139106323589109E-4</v>
      </c>
    </row>
    <row r="26" spans="2:15">
      <c r="B26" s="77" t="s">
        <v>1197</v>
      </c>
      <c r="C26" s="74" t="s">
        <v>1198</v>
      </c>
      <c r="D26" s="87" t="s">
        <v>27</v>
      </c>
      <c r="E26" s="74"/>
      <c r="F26" s="87" t="s">
        <v>1132</v>
      </c>
      <c r="G26" s="74" t="s">
        <v>1112</v>
      </c>
      <c r="H26" s="74" t="s">
        <v>932</v>
      </c>
      <c r="I26" s="87" t="s">
        <v>150</v>
      </c>
      <c r="J26" s="84">
        <v>19.029828999999999</v>
      </c>
      <c r="K26" s="86">
        <v>13070.96</v>
      </c>
      <c r="L26" s="84">
        <v>8.8675144610000007</v>
      </c>
      <c r="M26" s="85">
        <v>2.6373315690383721E-6</v>
      </c>
      <c r="N26" s="85">
        <v>5.6985399613988984E-2</v>
      </c>
      <c r="O26" s="85">
        <f>L26/'סכום נכסי הקרן'!$C$42</f>
        <v>1.4074566281611824E-3</v>
      </c>
    </row>
    <row r="27" spans="2:15">
      <c r="B27" s="77" t="s">
        <v>1201</v>
      </c>
      <c r="C27" s="74" t="s">
        <v>1202</v>
      </c>
      <c r="D27" s="87" t="s">
        <v>27</v>
      </c>
      <c r="E27" s="74"/>
      <c r="F27" s="87" t="s">
        <v>1132</v>
      </c>
      <c r="G27" s="74" t="s">
        <v>1112</v>
      </c>
      <c r="H27" s="74" t="s">
        <v>932</v>
      </c>
      <c r="I27" s="87" t="s">
        <v>152</v>
      </c>
      <c r="J27" s="84">
        <v>15.058998999999998</v>
      </c>
      <c r="K27" s="86">
        <v>8490</v>
      </c>
      <c r="L27" s="84">
        <v>4.9865686139999994</v>
      </c>
      <c r="M27" s="85">
        <v>4.4334053795456784E-7</v>
      </c>
      <c r="N27" s="85">
        <v>3.2045237300838851E-2</v>
      </c>
      <c r="O27" s="85">
        <f>L27/'סכום נכסי הקרן'!$C$42</f>
        <v>7.9147083192502047E-4</v>
      </c>
    </row>
    <row r="28" spans="2:15">
      <c r="B28" s="77" t="s">
        <v>1203</v>
      </c>
      <c r="C28" s="74" t="s">
        <v>1204</v>
      </c>
      <c r="D28" s="87" t="s">
        <v>27</v>
      </c>
      <c r="E28" s="74"/>
      <c r="F28" s="87" t="s">
        <v>1132</v>
      </c>
      <c r="G28" s="74" t="s">
        <v>698</v>
      </c>
      <c r="H28" s="74"/>
      <c r="I28" s="87" t="s">
        <v>153</v>
      </c>
      <c r="J28" s="84">
        <v>33.130116000000001</v>
      </c>
      <c r="K28" s="86">
        <v>16783.84</v>
      </c>
      <c r="L28" s="84">
        <v>24.458440370999998</v>
      </c>
      <c r="M28" s="85">
        <v>1.5969109234422352E-5</v>
      </c>
      <c r="N28" s="85">
        <v>0.15717752754802705</v>
      </c>
      <c r="O28" s="85">
        <f>L28/'סכום נכסי הקרן'!$C$42</f>
        <v>3.8820567100340468E-3</v>
      </c>
    </row>
    <row r="29" spans="2:15">
      <c r="B29" s="77" t="s">
        <v>1205</v>
      </c>
      <c r="C29" s="74" t="s">
        <v>1206</v>
      </c>
      <c r="D29" s="87" t="s">
        <v>27</v>
      </c>
      <c r="E29" s="74"/>
      <c r="F29" s="87" t="s">
        <v>1132</v>
      </c>
      <c r="G29" s="74" t="s">
        <v>698</v>
      </c>
      <c r="H29" s="74"/>
      <c r="I29" s="87" t="s">
        <v>150</v>
      </c>
      <c r="J29" s="84">
        <v>33.788629</v>
      </c>
      <c r="K29" s="86">
        <v>12358</v>
      </c>
      <c r="L29" s="84">
        <v>14.886009743000001</v>
      </c>
      <c r="M29" s="85">
        <v>1.1724299755048104E-6</v>
      </c>
      <c r="N29" s="85">
        <v>9.5662117901629706E-2</v>
      </c>
      <c r="O29" s="85">
        <f>L29/'סכום נכסי הקרן'!$C$42</f>
        <v>2.3627154116075241E-3</v>
      </c>
    </row>
    <row r="30" spans="2:15">
      <c r="B30" s="73"/>
      <c r="C30" s="74"/>
      <c r="D30" s="74"/>
      <c r="E30" s="74"/>
      <c r="F30" s="74"/>
      <c r="G30" s="74"/>
      <c r="H30" s="74"/>
      <c r="I30" s="74"/>
      <c r="J30" s="84"/>
      <c r="K30" s="86"/>
      <c r="L30" s="74"/>
      <c r="M30" s="74"/>
      <c r="N30" s="85"/>
      <c r="O30" s="74"/>
    </row>
    <row r="31" spans="2:15">
      <c r="B31" s="92" t="s">
        <v>231</v>
      </c>
      <c r="C31" s="72"/>
      <c r="D31" s="72"/>
      <c r="E31" s="72"/>
      <c r="F31" s="72"/>
      <c r="G31" s="72"/>
      <c r="H31" s="72"/>
      <c r="I31" s="72"/>
      <c r="J31" s="81"/>
      <c r="K31" s="83"/>
      <c r="L31" s="81">
        <v>3.1422652520000001</v>
      </c>
      <c r="M31" s="72"/>
      <c r="N31" s="82">
        <v>2.0193171588939098E-2</v>
      </c>
      <c r="O31" s="82">
        <f>L31/'סכום נכסי הקרן'!$C$42</f>
        <v>4.9874201793737201E-4</v>
      </c>
    </row>
    <row r="32" spans="2:15">
      <c r="B32" s="77" t="s">
        <v>1207</v>
      </c>
      <c r="C32" s="74" t="s">
        <v>1208</v>
      </c>
      <c r="D32" s="87" t="s">
        <v>27</v>
      </c>
      <c r="E32" s="74"/>
      <c r="F32" s="87" t="s">
        <v>1132</v>
      </c>
      <c r="G32" s="74" t="s">
        <v>979</v>
      </c>
      <c r="H32" s="74" t="s">
        <v>322</v>
      </c>
      <c r="I32" s="87" t="s">
        <v>150</v>
      </c>
      <c r="J32" s="84">
        <v>105.81282400000001</v>
      </c>
      <c r="K32" s="86">
        <v>833</v>
      </c>
      <c r="L32" s="84">
        <v>3.1422652520000001</v>
      </c>
      <c r="M32" s="85">
        <v>3.4005774288264116E-7</v>
      </c>
      <c r="N32" s="85">
        <v>2.0193171588939098E-2</v>
      </c>
      <c r="O32" s="85">
        <f>L32/'סכום נכסי הקרן'!$C$42</f>
        <v>4.9874201793737201E-4</v>
      </c>
    </row>
    <row r="33" spans="2:59">
      <c r="B33" s="73"/>
      <c r="C33" s="74"/>
      <c r="D33" s="74"/>
      <c r="E33" s="74"/>
      <c r="F33" s="74"/>
      <c r="G33" s="74"/>
      <c r="H33" s="74"/>
      <c r="I33" s="74"/>
      <c r="J33" s="84"/>
      <c r="K33" s="86"/>
      <c r="L33" s="74"/>
      <c r="M33" s="74"/>
      <c r="N33" s="85"/>
      <c r="O33" s="74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89" t="s">
        <v>236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89" t="s">
        <v>99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89" t="s">
        <v>218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89" t="s">
        <v>226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G42:AG1048576 B37:B1048576 A27:A1048576 AG27:AG37 AH27:XFD1048576 B27:B35 C27:AF1048576 D1:XFD21 C5:C21 A1:B21 A22:XFD23 A24:XFD2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166</v>
      </c>
      <c r="C1" s="68" t="s" vm="1">
        <v>243</v>
      </c>
    </row>
    <row r="2" spans="2:60">
      <c r="B2" s="47" t="s">
        <v>165</v>
      </c>
      <c r="C2" s="68" t="s">
        <v>244</v>
      </c>
    </row>
    <row r="3" spans="2:60">
      <c r="B3" s="47" t="s">
        <v>167</v>
      </c>
      <c r="C3" s="68" t="s">
        <v>245</v>
      </c>
    </row>
    <row r="4" spans="2:60">
      <c r="B4" s="47" t="s">
        <v>168</v>
      </c>
      <c r="C4" s="68">
        <v>12148</v>
      </c>
    </row>
    <row r="6" spans="2:60" ht="26.25" customHeight="1">
      <c r="B6" s="125" t="s">
        <v>196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0" ht="26.25" customHeight="1">
      <c r="B7" s="125" t="s">
        <v>81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H7" s="3"/>
    </row>
    <row r="8" spans="2:60" s="3" customFormat="1" ht="78.75">
      <c r="B8" s="22" t="s">
        <v>103</v>
      </c>
      <c r="C8" s="30" t="s">
        <v>39</v>
      </c>
      <c r="D8" s="30" t="s">
        <v>106</v>
      </c>
      <c r="E8" s="30" t="s">
        <v>56</v>
      </c>
      <c r="F8" s="30" t="s">
        <v>90</v>
      </c>
      <c r="G8" s="30" t="s">
        <v>220</v>
      </c>
      <c r="H8" s="30" t="s">
        <v>219</v>
      </c>
      <c r="I8" s="30" t="s">
        <v>52</v>
      </c>
      <c r="J8" s="30" t="s">
        <v>51</v>
      </c>
      <c r="K8" s="30" t="s">
        <v>169</v>
      </c>
      <c r="L8" s="66" t="s">
        <v>171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227</v>
      </c>
      <c r="H9" s="16"/>
      <c r="I9" s="16" t="s">
        <v>223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BC11" s="1"/>
      <c r="BD11" s="3"/>
      <c r="BE11" s="1"/>
      <c r="BG11" s="1"/>
    </row>
    <row r="12" spans="2:60" s="4" customFormat="1" ht="18" customHeight="1">
      <c r="B12" s="89" t="s">
        <v>236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C12" s="1"/>
      <c r="BD12" s="3"/>
      <c r="BE12" s="1"/>
      <c r="BG12" s="1"/>
    </row>
    <row r="13" spans="2:60">
      <c r="B13" s="89" t="s">
        <v>99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D13" s="3"/>
    </row>
    <row r="14" spans="2:60" ht="20.25">
      <c r="B14" s="89" t="s">
        <v>218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BD14" s="4"/>
    </row>
    <row r="15" spans="2:60">
      <c r="B15" s="89" t="s">
        <v>226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a46656d4-8850-49b3-aebd-68bd05f7f43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