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עתידיים'!$B$6:$K$40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56" i="58" l="1"/>
  <c r="L55" i="58"/>
  <c r="L54" i="58"/>
  <c r="L53" i="58"/>
  <c r="L52" i="58"/>
  <c r="L51" i="58"/>
  <c r="L50" i="58"/>
  <c r="J50" i="58"/>
  <c r="L47" i="58"/>
  <c r="L46" i="58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J22" i="58"/>
  <c r="L19" i="58"/>
  <c r="L18" i="58"/>
  <c r="L17" i="58"/>
  <c r="L16" i="58"/>
  <c r="L15" i="58"/>
  <c r="L14" i="58"/>
  <c r="L13" i="58"/>
  <c r="L12" i="58"/>
  <c r="J12" i="58"/>
  <c r="J21" i="58" l="1"/>
  <c r="J49" i="58"/>
  <c r="C22" i="84"/>
  <c r="C11" i="84"/>
  <c r="L21" i="58" l="1"/>
  <c r="J11" i="58"/>
  <c r="L49" i="58"/>
  <c r="C10" i="84"/>
  <c r="C43" i="88" s="1"/>
  <c r="J12" i="81"/>
  <c r="J11" i="81"/>
  <c r="J10" i="81"/>
  <c r="H25" i="80"/>
  <c r="H24" i="80"/>
  <c r="H23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O20" i="78"/>
  <c r="O19" i="78"/>
  <c r="O18" i="78"/>
  <c r="O17" i="78"/>
  <c r="O16" i="78"/>
  <c r="O13" i="78"/>
  <c r="O15" i="78"/>
  <c r="O166" i="78"/>
  <c r="O165" i="78"/>
  <c r="O22" i="78"/>
  <c r="O12" i="78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6" i="73"/>
  <c r="J25" i="73"/>
  <c r="J24" i="73"/>
  <c r="J22" i="73"/>
  <c r="J21" i="73"/>
  <c r="J20" i="73"/>
  <c r="J19" i="73"/>
  <c r="J17" i="73"/>
  <c r="J16" i="73"/>
  <c r="J14" i="73"/>
  <c r="J13" i="73"/>
  <c r="J12" i="73"/>
  <c r="J11" i="73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6" i="72"/>
  <c r="L15" i="72"/>
  <c r="L14" i="72"/>
  <c r="L13" i="72"/>
  <c r="L12" i="72"/>
  <c r="L11" i="72"/>
  <c r="R40" i="71"/>
  <c r="R39" i="71"/>
  <c r="R38" i="71"/>
  <c r="R37" i="71"/>
  <c r="R32" i="71"/>
  <c r="R35" i="71"/>
  <c r="R34" i="71"/>
  <c r="R33" i="71"/>
  <c r="R30" i="71"/>
  <c r="R29" i="71"/>
  <c r="R28" i="71"/>
  <c r="R27" i="71"/>
  <c r="R26" i="71"/>
  <c r="R25" i="71"/>
  <c r="R24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6" i="67"/>
  <c r="J15" i="67"/>
  <c r="J14" i="67"/>
  <c r="J13" i="67"/>
  <c r="J12" i="67"/>
  <c r="J11" i="67"/>
  <c r="K18" i="66"/>
  <c r="K20" i="66"/>
  <c r="K22" i="66"/>
  <c r="K21" i="66"/>
  <c r="K19" i="66"/>
  <c r="K17" i="66"/>
  <c r="K15" i="66"/>
  <c r="K14" i="66"/>
  <c r="K12" i="66"/>
  <c r="K13" i="66"/>
  <c r="K11" i="66"/>
  <c r="K15" i="65"/>
  <c r="K14" i="65"/>
  <c r="K13" i="65"/>
  <c r="K12" i="65"/>
  <c r="K11" i="65"/>
  <c r="N19" i="64"/>
  <c r="N18" i="64"/>
  <c r="N17" i="64"/>
  <c r="N16" i="64"/>
  <c r="N15" i="64"/>
  <c r="N14" i="64"/>
  <c r="N13" i="64"/>
  <c r="N12" i="64"/>
  <c r="N11" i="64"/>
  <c r="M91" i="63"/>
  <c r="M90" i="63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54" i="62"/>
  <c r="N154" i="62" s="1"/>
  <c r="L126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2" i="62"/>
  <c r="N191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2" i="62"/>
  <c r="N151" i="62"/>
  <c r="N150" i="62"/>
  <c r="N149" i="62"/>
  <c r="N148" i="62"/>
  <c r="N147" i="62"/>
  <c r="N146" i="62"/>
  <c r="N145" i="62"/>
  <c r="N144" i="62"/>
  <c r="N193" i="62"/>
  <c r="N143" i="62"/>
  <c r="N190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S189" i="61"/>
  <c r="O189" i="61"/>
  <c r="S180" i="61"/>
  <c r="O180" i="61"/>
  <c r="S124" i="61"/>
  <c r="S123" i="61"/>
  <c r="O124" i="61"/>
  <c r="O123" i="61"/>
  <c r="S115" i="61"/>
  <c r="S114" i="61"/>
  <c r="S113" i="61"/>
  <c r="O115" i="61"/>
  <c r="O114" i="61"/>
  <c r="O113" i="61"/>
  <c r="S102" i="61"/>
  <c r="O102" i="61"/>
  <c r="S98" i="61"/>
  <c r="S97" i="61"/>
  <c r="S96" i="61"/>
  <c r="O98" i="61"/>
  <c r="O97" i="61"/>
  <c r="O96" i="61"/>
  <c r="S75" i="61"/>
  <c r="S74" i="61"/>
  <c r="S73" i="61"/>
  <c r="S72" i="61"/>
  <c r="O75" i="61"/>
  <c r="O74" i="61"/>
  <c r="O73" i="61"/>
  <c r="O72" i="61"/>
  <c r="K11" i="58" l="1"/>
  <c r="J10" i="58"/>
  <c r="L11" i="58"/>
  <c r="O11" i="78"/>
  <c r="O10" i="78" s="1"/>
  <c r="P169" i="78" s="1"/>
  <c r="P160" i="78"/>
  <c r="P155" i="78"/>
  <c r="P150" i="78"/>
  <c r="P146" i="78"/>
  <c r="P142" i="78"/>
  <c r="P138" i="78"/>
  <c r="P134" i="78"/>
  <c r="P130" i="78"/>
  <c r="P126" i="78"/>
  <c r="P122" i="78"/>
  <c r="P118" i="78"/>
  <c r="P114" i="78"/>
  <c r="P110" i="78"/>
  <c r="P106" i="78"/>
  <c r="P102" i="78"/>
  <c r="P98" i="78"/>
  <c r="P94" i="78"/>
  <c r="P90" i="78"/>
  <c r="P86" i="78"/>
  <c r="P82" i="78"/>
  <c r="P78" i="78"/>
  <c r="P74" i="78"/>
  <c r="P70" i="78"/>
  <c r="P66" i="78"/>
  <c r="P62" i="78"/>
  <c r="P58" i="78"/>
  <c r="P54" i="78"/>
  <c r="P50" i="78"/>
  <c r="P46" i="78"/>
  <c r="P42" i="78"/>
  <c r="P38" i="78"/>
  <c r="P34" i="78"/>
  <c r="P30" i="78"/>
  <c r="P26" i="78"/>
  <c r="P22" i="78"/>
  <c r="P17" i="78"/>
  <c r="P13" i="78"/>
  <c r="P166" i="78"/>
  <c r="P158" i="78"/>
  <c r="P152" i="78"/>
  <c r="P144" i="78"/>
  <c r="P140" i="78"/>
  <c r="P132" i="78"/>
  <c r="P124" i="78"/>
  <c r="P116" i="78"/>
  <c r="P108" i="78"/>
  <c r="P100" i="78"/>
  <c r="P92" i="78"/>
  <c r="P84" i="78"/>
  <c r="P76" i="78"/>
  <c r="P68" i="78"/>
  <c r="P60" i="78"/>
  <c r="P52" i="78"/>
  <c r="P44" i="78"/>
  <c r="P36" i="78"/>
  <c r="P32" i="78"/>
  <c r="P19" i="78"/>
  <c r="P11" i="78"/>
  <c r="P170" i="78"/>
  <c r="P151" i="78"/>
  <c r="P143" i="78"/>
  <c r="P131" i="78"/>
  <c r="P123" i="78"/>
  <c r="P119" i="78"/>
  <c r="P111" i="78"/>
  <c r="P103" i="78"/>
  <c r="P91" i="78"/>
  <c r="P87" i="78"/>
  <c r="P75" i="78"/>
  <c r="P63" i="78"/>
  <c r="P55" i="78"/>
  <c r="P47" i="78"/>
  <c r="P39" i="78"/>
  <c r="P31" i="78"/>
  <c r="P23" i="78"/>
  <c r="P14" i="78"/>
  <c r="P167" i="78"/>
  <c r="P159" i="78"/>
  <c r="P154" i="78"/>
  <c r="P149" i="78"/>
  <c r="P145" i="78"/>
  <c r="P141" i="78"/>
  <c r="P137" i="78"/>
  <c r="P133" i="78"/>
  <c r="P129" i="78"/>
  <c r="P125" i="78"/>
  <c r="P121" i="78"/>
  <c r="P117" i="78"/>
  <c r="P113" i="78"/>
  <c r="P109" i="78"/>
  <c r="P105" i="78"/>
  <c r="P101" i="78"/>
  <c r="P97" i="78"/>
  <c r="P93" i="78"/>
  <c r="P89" i="78"/>
  <c r="P85" i="78"/>
  <c r="P81" i="78"/>
  <c r="P77" i="78"/>
  <c r="P73" i="78"/>
  <c r="P69" i="78"/>
  <c r="P65" i="78"/>
  <c r="P61" i="78"/>
  <c r="P57" i="78"/>
  <c r="P53" i="78"/>
  <c r="P49" i="78"/>
  <c r="P45" i="78"/>
  <c r="P41" i="78"/>
  <c r="P37" i="78"/>
  <c r="P33" i="78"/>
  <c r="P29" i="78"/>
  <c r="P25" i="78"/>
  <c r="P20" i="78"/>
  <c r="P16" i="78"/>
  <c r="P12" i="78"/>
  <c r="P171" i="78"/>
  <c r="P163" i="78"/>
  <c r="P148" i="78"/>
  <c r="P136" i="78"/>
  <c r="P128" i="78"/>
  <c r="P120" i="78"/>
  <c r="P112" i="78"/>
  <c r="P104" i="78"/>
  <c r="P96" i="78"/>
  <c r="P88" i="78"/>
  <c r="P80" i="78"/>
  <c r="P72" i="78"/>
  <c r="P64" i="78"/>
  <c r="P56" i="78"/>
  <c r="P48" i="78"/>
  <c r="P40" i="78"/>
  <c r="P28" i="78"/>
  <c r="P24" i="78"/>
  <c r="P15" i="78"/>
  <c r="P162" i="78"/>
  <c r="P156" i="78"/>
  <c r="P147" i="78"/>
  <c r="P139" i="78"/>
  <c r="P135" i="78"/>
  <c r="P127" i="78"/>
  <c r="P115" i="78"/>
  <c r="P107" i="78"/>
  <c r="P99" i="78"/>
  <c r="P95" i="78"/>
  <c r="P83" i="78"/>
  <c r="P79" i="78"/>
  <c r="P71" i="78"/>
  <c r="P67" i="78"/>
  <c r="P59" i="78"/>
  <c r="P51" i="78"/>
  <c r="P43" i="78"/>
  <c r="P35" i="78"/>
  <c r="P27" i="78"/>
  <c r="P18" i="78"/>
  <c r="P10" i="78"/>
  <c r="P172" i="78"/>
  <c r="P153" i="78"/>
  <c r="P157" i="78"/>
  <c r="P161" i="78"/>
  <c r="P165" i="78"/>
  <c r="R243" i="61"/>
  <c r="R160" i="61"/>
  <c r="R13" i="61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7" i="88"/>
  <c r="C35" i="88"/>
  <c r="C33" i="88"/>
  <c r="C31" i="88"/>
  <c r="C28" i="88"/>
  <c r="C27" i="88"/>
  <c r="C26" i="88"/>
  <c r="C24" i="88"/>
  <c r="C21" i="88"/>
  <c r="C20" i="88"/>
  <c r="C19" i="88"/>
  <c r="C18" i="88"/>
  <c r="C17" i="88"/>
  <c r="C16" i="88"/>
  <c r="C13" i="88"/>
  <c r="K56" i="58" l="1"/>
  <c r="K54" i="58"/>
  <c r="K52" i="58"/>
  <c r="K46" i="58"/>
  <c r="K44" i="58"/>
  <c r="K42" i="58"/>
  <c r="K40" i="58"/>
  <c r="K38" i="58"/>
  <c r="K36" i="58"/>
  <c r="K34" i="58"/>
  <c r="K32" i="58"/>
  <c r="K30" i="58"/>
  <c r="K28" i="58"/>
  <c r="K26" i="58"/>
  <c r="K24" i="58"/>
  <c r="K18" i="58"/>
  <c r="K16" i="58"/>
  <c r="K14" i="58"/>
  <c r="K55" i="58"/>
  <c r="K51" i="58"/>
  <c r="K47" i="58"/>
  <c r="K45" i="58"/>
  <c r="K43" i="58"/>
  <c r="K39" i="58"/>
  <c r="K37" i="58"/>
  <c r="K33" i="58"/>
  <c r="K27" i="58"/>
  <c r="K23" i="58"/>
  <c r="K19" i="58"/>
  <c r="K15" i="58"/>
  <c r="K13" i="58"/>
  <c r="L10" i="58"/>
  <c r="K53" i="58"/>
  <c r="K41" i="58"/>
  <c r="K35" i="58"/>
  <c r="K31" i="58"/>
  <c r="K29" i="58"/>
  <c r="K25" i="58"/>
  <c r="K17" i="58"/>
  <c r="K10" i="58"/>
  <c r="K22" i="58"/>
  <c r="K12" i="58"/>
  <c r="K50" i="58"/>
  <c r="K21" i="58"/>
  <c r="K49" i="58"/>
  <c r="P168" i="78"/>
  <c r="R12" i="61"/>
  <c r="R11" i="61" s="1"/>
  <c r="T245" i="61"/>
  <c r="T180" i="61"/>
  <c r="T123" i="61"/>
  <c r="T80" i="61"/>
  <c r="T37" i="61"/>
  <c r="T196" i="61"/>
  <c r="T228" i="61"/>
  <c r="T165" i="61"/>
  <c r="T112" i="61"/>
  <c r="T69" i="61"/>
  <c r="T27" i="61"/>
  <c r="T133" i="61"/>
  <c r="T48" i="61"/>
  <c r="T212" i="61"/>
  <c r="T148" i="61"/>
  <c r="T101" i="61"/>
  <c r="T59" i="61"/>
  <c r="T16" i="61"/>
  <c r="T91" i="61"/>
  <c r="T20" i="61"/>
  <c r="T31" i="61"/>
  <c r="T41" i="61"/>
  <c r="T52" i="61"/>
  <c r="T63" i="61"/>
  <c r="T73" i="61"/>
  <c r="T84" i="61"/>
  <c r="T95" i="61"/>
  <c r="T105" i="61"/>
  <c r="T116" i="61"/>
  <c r="T127" i="61"/>
  <c r="T139" i="61"/>
  <c r="T155" i="61"/>
  <c r="T172" i="61"/>
  <c r="T187" i="61"/>
  <c r="T203" i="61"/>
  <c r="T219" i="61"/>
  <c r="T235" i="61"/>
  <c r="T11" i="61"/>
  <c r="T21" i="61"/>
  <c r="T32" i="61"/>
  <c r="T43" i="61"/>
  <c r="T53" i="61"/>
  <c r="T64" i="61"/>
  <c r="T75" i="61"/>
  <c r="T85" i="61"/>
  <c r="T96" i="61"/>
  <c r="T107" i="61"/>
  <c r="T117" i="61"/>
  <c r="T128" i="61"/>
  <c r="T140" i="61"/>
  <c r="T156" i="61"/>
  <c r="T173" i="61"/>
  <c r="T188" i="61"/>
  <c r="T204" i="61"/>
  <c r="T220" i="61"/>
  <c r="T236" i="61"/>
  <c r="T15" i="61"/>
  <c r="T25" i="61"/>
  <c r="T36" i="61"/>
  <c r="T47" i="61"/>
  <c r="T57" i="61"/>
  <c r="T68" i="61"/>
  <c r="T79" i="61"/>
  <c r="T89" i="61"/>
  <c r="T100" i="61"/>
  <c r="T111" i="61"/>
  <c r="T121" i="61"/>
  <c r="T132" i="61"/>
  <c r="T147" i="61"/>
  <c r="T164" i="61"/>
  <c r="T179" i="61"/>
  <c r="T195" i="61"/>
  <c r="T211" i="61"/>
  <c r="T227" i="61"/>
  <c r="T247" i="61"/>
  <c r="T244" i="61"/>
  <c r="T238" i="61"/>
  <c r="T234" i="61"/>
  <c r="T230" i="61"/>
  <c r="T226" i="61"/>
  <c r="T222" i="61"/>
  <c r="T218" i="61"/>
  <c r="T214" i="61"/>
  <c r="T210" i="61"/>
  <c r="T206" i="61"/>
  <c r="T202" i="61"/>
  <c r="T198" i="61"/>
  <c r="T194" i="61"/>
  <c r="T190" i="61"/>
  <c r="T186" i="61"/>
  <c r="T182" i="61"/>
  <c r="T178" i="61"/>
  <c r="T175" i="61"/>
  <c r="T171" i="61"/>
  <c r="T167" i="61"/>
  <c r="T163" i="61"/>
  <c r="T158" i="61"/>
  <c r="T154" i="61"/>
  <c r="T150" i="61"/>
  <c r="T146" i="61"/>
  <c r="T142" i="61"/>
  <c r="T138" i="61"/>
  <c r="T134" i="61"/>
  <c r="T130" i="61"/>
  <c r="T126" i="61"/>
  <c r="T122" i="61"/>
  <c r="T118" i="61"/>
  <c r="T114" i="61"/>
  <c r="T110" i="61"/>
  <c r="T106" i="61"/>
  <c r="T102" i="61"/>
  <c r="T98" i="61"/>
  <c r="T94" i="61"/>
  <c r="T90" i="61"/>
  <c r="T86" i="61"/>
  <c r="T82" i="61"/>
  <c r="T78" i="61"/>
  <c r="T74" i="61"/>
  <c r="T70" i="61"/>
  <c r="T66" i="61"/>
  <c r="T62" i="61"/>
  <c r="T58" i="61"/>
  <c r="T54" i="61"/>
  <c r="T50" i="61"/>
  <c r="T46" i="61"/>
  <c r="T42" i="61"/>
  <c r="T38" i="61"/>
  <c r="T34" i="61"/>
  <c r="T30" i="61"/>
  <c r="T26" i="61"/>
  <c r="T22" i="61"/>
  <c r="T18" i="61"/>
  <c r="T14" i="61"/>
  <c r="T241" i="61"/>
  <c r="T237" i="61"/>
  <c r="T233" i="61"/>
  <c r="T229" i="61"/>
  <c r="T225" i="61"/>
  <c r="T221" i="61"/>
  <c r="T217" i="61"/>
  <c r="T213" i="61"/>
  <c r="T209" i="61"/>
  <c r="T205" i="61"/>
  <c r="T201" i="61"/>
  <c r="T197" i="61"/>
  <c r="T193" i="61"/>
  <c r="T189" i="61"/>
  <c r="T185" i="61"/>
  <c r="T181" i="61"/>
  <c r="T177" i="61"/>
  <c r="T174" i="61"/>
  <c r="T170" i="61"/>
  <c r="T166" i="61"/>
  <c r="T162" i="61"/>
  <c r="T157" i="61"/>
  <c r="T153" i="61"/>
  <c r="T149" i="61"/>
  <c r="T145" i="61"/>
  <c r="T141" i="61"/>
  <c r="T137" i="61"/>
  <c r="C15" i="88"/>
  <c r="T12" i="61"/>
  <c r="T17" i="61"/>
  <c r="T23" i="61"/>
  <c r="T28" i="61"/>
  <c r="T33" i="61"/>
  <c r="T39" i="61"/>
  <c r="T44" i="61"/>
  <c r="T49" i="61"/>
  <c r="T55" i="61"/>
  <c r="T60" i="61"/>
  <c r="T65" i="61"/>
  <c r="T71" i="61"/>
  <c r="T76" i="61"/>
  <c r="T81" i="61"/>
  <c r="T87" i="61"/>
  <c r="T92" i="61"/>
  <c r="T97" i="61"/>
  <c r="T103" i="61"/>
  <c r="T108" i="61"/>
  <c r="T113" i="61"/>
  <c r="T119" i="61"/>
  <c r="T124" i="61"/>
  <c r="T129" i="61"/>
  <c r="T135" i="61"/>
  <c r="T143" i="61"/>
  <c r="T151" i="61"/>
  <c r="T160" i="61"/>
  <c r="T168" i="61"/>
  <c r="T176" i="61"/>
  <c r="T183" i="61"/>
  <c r="T191" i="61"/>
  <c r="T199" i="61"/>
  <c r="T207" i="61"/>
  <c r="T215" i="61"/>
  <c r="T223" i="61"/>
  <c r="T231" i="61"/>
  <c r="T239" i="61"/>
  <c r="T13" i="61"/>
  <c r="T19" i="61"/>
  <c r="T24" i="61"/>
  <c r="T29" i="61"/>
  <c r="T35" i="61"/>
  <c r="T40" i="61"/>
  <c r="T45" i="61"/>
  <c r="T51" i="61"/>
  <c r="T56" i="61"/>
  <c r="T61" i="61"/>
  <c r="T67" i="61"/>
  <c r="T72" i="61"/>
  <c r="T77" i="61"/>
  <c r="T83" i="61"/>
  <c r="T88" i="61"/>
  <c r="T93" i="61"/>
  <c r="T99" i="61"/>
  <c r="T104" i="61"/>
  <c r="T109" i="61"/>
  <c r="T115" i="61"/>
  <c r="T120" i="61"/>
  <c r="T125" i="61"/>
  <c r="T131" i="61"/>
  <c r="T136" i="61"/>
  <c r="T144" i="61"/>
  <c r="T152" i="61"/>
  <c r="T161" i="61"/>
  <c r="T169" i="61"/>
  <c r="T184" i="61"/>
  <c r="T192" i="61"/>
  <c r="T200" i="61"/>
  <c r="T208" i="61"/>
  <c r="T216" i="61"/>
  <c r="T224" i="61"/>
  <c r="T232" i="61"/>
  <c r="T240" i="61"/>
  <c r="T243" i="61"/>
  <c r="T246" i="61"/>
  <c r="C11" i="88"/>
  <c r="C23" i="88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10" i="88" l="1"/>
  <c r="C42" i="88" l="1"/>
  <c r="K10" i="81" l="1"/>
  <c r="K12" i="81"/>
  <c r="K11" i="81"/>
  <c r="I21" i="80"/>
  <c r="I17" i="80"/>
  <c r="I13" i="80"/>
  <c r="I25" i="80"/>
  <c r="I20" i="80"/>
  <c r="I16" i="80"/>
  <c r="I12" i="80"/>
  <c r="I24" i="80"/>
  <c r="I19" i="80"/>
  <c r="I15" i="80"/>
  <c r="I11" i="80"/>
  <c r="I23" i="80"/>
  <c r="I18" i="80"/>
  <c r="I14" i="80"/>
  <c r="I10" i="80"/>
  <c r="Q172" i="78"/>
  <c r="Q168" i="78"/>
  <c r="Q160" i="78"/>
  <c r="Q156" i="78"/>
  <c r="Q152" i="78"/>
  <c r="Q148" i="78"/>
  <c r="Q144" i="78"/>
  <c r="Q140" i="78"/>
  <c r="Q136" i="78"/>
  <c r="Q132" i="78"/>
  <c r="Q128" i="78"/>
  <c r="Q124" i="78"/>
  <c r="Q120" i="78"/>
  <c r="Q116" i="78"/>
  <c r="Q112" i="78"/>
  <c r="Q108" i="78"/>
  <c r="Q104" i="78"/>
  <c r="Q100" i="78"/>
  <c r="Q96" i="78"/>
  <c r="Q92" i="78"/>
  <c r="Q88" i="78"/>
  <c r="Q84" i="78"/>
  <c r="Q80" i="78"/>
  <c r="Q76" i="78"/>
  <c r="Q72" i="78"/>
  <c r="Q68" i="78"/>
  <c r="Q64" i="78"/>
  <c r="Q60" i="78"/>
  <c r="Q56" i="78"/>
  <c r="Q52" i="78"/>
  <c r="Q48" i="78"/>
  <c r="Q44" i="78"/>
  <c r="Q40" i="78"/>
  <c r="Q36" i="78"/>
  <c r="Q32" i="78"/>
  <c r="Q28" i="78"/>
  <c r="Q24" i="78"/>
  <c r="Q19" i="78"/>
  <c r="Q15" i="78"/>
  <c r="Q11" i="78"/>
  <c r="Q161" i="78"/>
  <c r="Q141" i="78"/>
  <c r="Q129" i="78"/>
  <c r="Q121" i="78"/>
  <c r="Q109" i="78"/>
  <c r="Q89" i="78"/>
  <c r="Q73" i="78"/>
  <c r="Q65" i="78"/>
  <c r="Q53" i="78"/>
  <c r="Q33" i="78"/>
  <c r="Q16" i="78"/>
  <c r="Q171" i="78"/>
  <c r="Q166" i="78"/>
  <c r="Q163" i="78"/>
  <c r="Q159" i="78"/>
  <c r="Q155" i="78"/>
  <c r="Q151" i="78"/>
  <c r="Q147" i="78"/>
  <c r="Q143" i="78"/>
  <c r="Q139" i="78"/>
  <c r="Q135" i="78"/>
  <c r="Q131" i="78"/>
  <c r="Q127" i="78"/>
  <c r="Q123" i="78"/>
  <c r="Q119" i="78"/>
  <c r="Q115" i="78"/>
  <c r="Q111" i="78"/>
  <c r="Q107" i="78"/>
  <c r="Q103" i="78"/>
  <c r="Q99" i="78"/>
  <c r="Q95" i="78"/>
  <c r="Q91" i="78"/>
  <c r="Q87" i="78"/>
  <c r="Q83" i="78"/>
  <c r="Q79" i="78"/>
  <c r="Q75" i="78"/>
  <c r="Q71" i="78"/>
  <c r="Q67" i="78"/>
  <c r="Q63" i="78"/>
  <c r="Q59" i="78"/>
  <c r="Q55" i="78"/>
  <c r="Q51" i="78"/>
  <c r="Q47" i="78"/>
  <c r="Q43" i="78"/>
  <c r="Q39" i="78"/>
  <c r="Q35" i="78"/>
  <c r="Q31" i="78"/>
  <c r="Q27" i="78"/>
  <c r="Q23" i="78"/>
  <c r="Q18" i="78"/>
  <c r="Q14" i="78"/>
  <c r="Q10" i="78"/>
  <c r="Q165" i="78"/>
  <c r="Q153" i="78"/>
  <c r="Q145" i="78"/>
  <c r="Q133" i="78"/>
  <c r="Q117" i="78"/>
  <c r="Q105" i="78"/>
  <c r="Q97" i="78"/>
  <c r="Q81" i="78"/>
  <c r="Q69" i="78"/>
  <c r="Q57" i="78"/>
  <c r="Q45" i="78"/>
  <c r="Q29" i="78"/>
  <c r="Q20" i="78"/>
  <c r="Q170" i="78"/>
  <c r="Q167" i="78"/>
  <c r="Q162" i="78"/>
  <c r="Q158" i="78"/>
  <c r="Q154" i="78"/>
  <c r="Q150" i="78"/>
  <c r="Q146" i="78"/>
  <c r="Q142" i="78"/>
  <c r="Q138" i="78"/>
  <c r="Q134" i="78"/>
  <c r="Q130" i="78"/>
  <c r="Q126" i="78"/>
  <c r="Q122" i="78"/>
  <c r="Q118" i="78"/>
  <c r="Q114" i="78"/>
  <c r="Q110" i="78"/>
  <c r="Q106" i="78"/>
  <c r="Q102" i="78"/>
  <c r="Q98" i="78"/>
  <c r="Q94" i="78"/>
  <c r="Q90" i="78"/>
  <c r="Q86" i="78"/>
  <c r="Q82" i="78"/>
  <c r="Q78" i="78"/>
  <c r="Q74" i="78"/>
  <c r="Q70" i="78"/>
  <c r="Q66" i="78"/>
  <c r="Q62" i="78"/>
  <c r="Q58" i="78"/>
  <c r="Q54" i="78"/>
  <c r="Q50" i="78"/>
  <c r="Q46" i="78"/>
  <c r="Q42" i="78"/>
  <c r="Q38" i="78"/>
  <c r="Q34" i="78"/>
  <c r="Q30" i="78"/>
  <c r="Q26" i="78"/>
  <c r="Q22" i="78"/>
  <c r="Q17" i="78"/>
  <c r="Q13" i="78"/>
  <c r="Q169" i="78"/>
  <c r="Q157" i="78"/>
  <c r="Q149" i="78"/>
  <c r="Q137" i="78"/>
  <c r="Q125" i="78"/>
  <c r="Q113" i="78"/>
  <c r="Q101" i="78"/>
  <c r="Q93" i="78"/>
  <c r="Q85" i="78"/>
  <c r="Q77" i="78"/>
  <c r="Q61" i="78"/>
  <c r="Q49" i="78"/>
  <c r="Q41" i="78"/>
  <c r="Q37" i="78"/>
  <c r="Q25" i="78"/>
  <c r="Q12" i="78"/>
  <c r="K78" i="76"/>
  <c r="K74" i="76"/>
  <c r="K70" i="76"/>
  <c r="K66" i="76"/>
  <c r="K62" i="76"/>
  <c r="K58" i="76"/>
  <c r="K54" i="76"/>
  <c r="K50" i="76"/>
  <c r="K46" i="76"/>
  <c r="K42" i="76"/>
  <c r="K38" i="76"/>
  <c r="K34" i="76"/>
  <c r="K29" i="76"/>
  <c r="K25" i="76"/>
  <c r="K21" i="76"/>
  <c r="K17" i="76"/>
  <c r="K13" i="76"/>
  <c r="K59" i="73"/>
  <c r="K55" i="73"/>
  <c r="K51" i="73"/>
  <c r="K47" i="73"/>
  <c r="K43" i="73"/>
  <c r="K39" i="73"/>
  <c r="K35" i="73"/>
  <c r="K31" i="73"/>
  <c r="K26" i="73"/>
  <c r="K21" i="73"/>
  <c r="K16" i="73"/>
  <c r="K11" i="73"/>
  <c r="M32" i="72"/>
  <c r="M28" i="72"/>
  <c r="M24" i="72"/>
  <c r="M20" i="72"/>
  <c r="M15" i="72"/>
  <c r="M11" i="72"/>
  <c r="K76" i="76"/>
  <c r="K64" i="76"/>
  <c r="K48" i="76"/>
  <c r="K31" i="76"/>
  <c r="K27" i="76"/>
  <c r="K15" i="76"/>
  <c r="K57" i="73"/>
  <c r="K45" i="73"/>
  <c r="K33" i="73"/>
  <c r="K19" i="73"/>
  <c r="M30" i="72"/>
  <c r="M18" i="72"/>
  <c r="K77" i="76"/>
  <c r="K73" i="76"/>
  <c r="K69" i="76"/>
  <c r="K65" i="76"/>
  <c r="K61" i="76"/>
  <c r="K57" i="76"/>
  <c r="K53" i="76"/>
  <c r="K49" i="76"/>
  <c r="K45" i="76"/>
  <c r="K41" i="76"/>
  <c r="K37" i="76"/>
  <c r="K32" i="76"/>
  <c r="K28" i="76"/>
  <c r="K24" i="76"/>
  <c r="K20" i="76"/>
  <c r="K16" i="76"/>
  <c r="K12" i="76"/>
  <c r="K58" i="73"/>
  <c r="K54" i="73"/>
  <c r="K50" i="73"/>
  <c r="K46" i="73"/>
  <c r="K42" i="73"/>
  <c r="K38" i="73"/>
  <c r="K34" i="73"/>
  <c r="K30" i="73"/>
  <c r="K25" i="73"/>
  <c r="K20" i="73"/>
  <c r="K14" i="73"/>
  <c r="M35" i="72"/>
  <c r="M31" i="72"/>
  <c r="M27" i="72"/>
  <c r="M23" i="72"/>
  <c r="M19" i="72"/>
  <c r="M14" i="72"/>
  <c r="K68" i="76"/>
  <c r="K56" i="76"/>
  <c r="K44" i="76"/>
  <c r="K36" i="76"/>
  <c r="K19" i="76"/>
  <c r="K53" i="73"/>
  <c r="K41" i="73"/>
  <c r="K29" i="73"/>
  <c r="K13" i="73"/>
  <c r="M26" i="72"/>
  <c r="M13" i="72"/>
  <c r="K75" i="76"/>
  <c r="K71" i="76"/>
  <c r="K67" i="76"/>
  <c r="K63" i="76"/>
  <c r="K59" i="76"/>
  <c r="K55" i="76"/>
  <c r="K51" i="76"/>
  <c r="K47" i="76"/>
  <c r="K43" i="76"/>
  <c r="K39" i="76"/>
  <c r="K35" i="76"/>
  <c r="K30" i="76"/>
  <c r="K26" i="76"/>
  <c r="K22" i="76"/>
  <c r="K18" i="76"/>
  <c r="K14" i="76"/>
  <c r="K56" i="73"/>
  <c r="K52" i="73"/>
  <c r="K48" i="73"/>
  <c r="K44" i="73"/>
  <c r="K40" i="73"/>
  <c r="K36" i="73"/>
  <c r="K32" i="73"/>
  <c r="K28" i="73"/>
  <c r="K22" i="73"/>
  <c r="K17" i="73"/>
  <c r="K12" i="73"/>
  <c r="M33" i="72"/>
  <c r="M29" i="72"/>
  <c r="M25" i="72"/>
  <c r="M21" i="72"/>
  <c r="M16" i="72"/>
  <c r="M12" i="72"/>
  <c r="K72" i="76"/>
  <c r="K60" i="76"/>
  <c r="K52" i="76"/>
  <c r="K40" i="76"/>
  <c r="K23" i="76"/>
  <c r="K11" i="76"/>
  <c r="K49" i="73"/>
  <c r="K37" i="73"/>
  <c r="K24" i="73"/>
  <c r="M34" i="72"/>
  <c r="M22" i="72"/>
  <c r="S39" i="71"/>
  <c r="S34" i="71"/>
  <c r="S29" i="71"/>
  <c r="S25" i="71"/>
  <c r="S20" i="71"/>
  <c r="S16" i="71"/>
  <c r="S12" i="71"/>
  <c r="P104" i="69"/>
  <c r="P100" i="69"/>
  <c r="P96" i="69"/>
  <c r="P92" i="69"/>
  <c r="P88" i="69"/>
  <c r="P84" i="69"/>
  <c r="P80" i="69"/>
  <c r="P76" i="69"/>
  <c r="P72" i="69"/>
  <c r="P68" i="69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K16" i="67"/>
  <c r="K12" i="67"/>
  <c r="L19" i="66"/>
  <c r="L14" i="66"/>
  <c r="L12" i="65"/>
  <c r="O18" i="64"/>
  <c r="O14" i="64"/>
  <c r="N90" i="63"/>
  <c r="N86" i="63"/>
  <c r="N82" i="63"/>
  <c r="N78" i="63"/>
  <c r="N74" i="63"/>
  <c r="N70" i="63"/>
  <c r="N66" i="63"/>
  <c r="N62" i="63"/>
  <c r="N58" i="63"/>
  <c r="N54" i="63"/>
  <c r="N50" i="63"/>
  <c r="N46" i="63"/>
  <c r="N41" i="63"/>
  <c r="N37" i="63"/>
  <c r="N33" i="63"/>
  <c r="N29" i="63"/>
  <c r="N24" i="63"/>
  <c r="N20" i="63"/>
  <c r="N16" i="63"/>
  <c r="N12" i="63"/>
  <c r="N15" i="63"/>
  <c r="S37" i="71"/>
  <c r="S27" i="71"/>
  <c r="S22" i="71"/>
  <c r="S18" i="71"/>
  <c r="S14" i="71"/>
  <c r="P102" i="69"/>
  <c r="P98" i="69"/>
  <c r="P90" i="69"/>
  <c r="P86" i="69"/>
  <c r="P78" i="69"/>
  <c r="P70" i="69"/>
  <c r="P62" i="69"/>
  <c r="P54" i="69"/>
  <c r="P50" i="69"/>
  <c r="P42" i="69"/>
  <c r="P38" i="69"/>
  <c r="P30" i="69"/>
  <c r="P26" i="69"/>
  <c r="P22" i="69"/>
  <c r="P14" i="69"/>
  <c r="L21" i="66"/>
  <c r="L17" i="66"/>
  <c r="L14" i="65"/>
  <c r="O16" i="64"/>
  <c r="N88" i="63"/>
  <c r="N80" i="63"/>
  <c r="S38" i="71"/>
  <c r="S33" i="71"/>
  <c r="S28" i="71"/>
  <c r="S24" i="71"/>
  <c r="S19" i="71"/>
  <c r="S15" i="71"/>
  <c r="S11" i="71"/>
  <c r="P103" i="69"/>
  <c r="P99" i="69"/>
  <c r="P95" i="69"/>
  <c r="P91" i="69"/>
  <c r="P87" i="69"/>
  <c r="P83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15" i="67"/>
  <c r="K11" i="67"/>
  <c r="L22" i="66"/>
  <c r="L18" i="66"/>
  <c r="L13" i="66"/>
  <c r="L15" i="65"/>
  <c r="L11" i="65"/>
  <c r="O17" i="64"/>
  <c r="O13" i="64"/>
  <c r="N89" i="63"/>
  <c r="N85" i="63"/>
  <c r="N81" i="63"/>
  <c r="N77" i="63"/>
  <c r="N73" i="63"/>
  <c r="N69" i="63"/>
  <c r="N65" i="63"/>
  <c r="N61" i="63"/>
  <c r="N57" i="63"/>
  <c r="N53" i="63"/>
  <c r="N49" i="63"/>
  <c r="N45" i="63"/>
  <c r="N40" i="63"/>
  <c r="N36" i="63"/>
  <c r="N32" i="63"/>
  <c r="N28" i="63"/>
  <c r="N23" i="63"/>
  <c r="N19" i="63"/>
  <c r="N11" i="63"/>
  <c r="S32" i="71"/>
  <c r="P94" i="69"/>
  <c r="P82" i="69"/>
  <c r="P74" i="69"/>
  <c r="P66" i="69"/>
  <c r="P58" i="69"/>
  <c r="P46" i="69"/>
  <c r="P34" i="69"/>
  <c r="P18" i="69"/>
  <c r="K14" i="67"/>
  <c r="L12" i="66"/>
  <c r="O12" i="64"/>
  <c r="N84" i="63"/>
  <c r="N76" i="63"/>
  <c r="S35" i="71"/>
  <c r="S17" i="71"/>
  <c r="P101" i="69"/>
  <c r="P85" i="69"/>
  <c r="P69" i="69"/>
  <c r="P53" i="69"/>
  <c r="P37" i="69"/>
  <c r="P21" i="69"/>
  <c r="O15" i="64"/>
  <c r="N79" i="63"/>
  <c r="N68" i="63"/>
  <c r="N60" i="63"/>
  <c r="N52" i="63"/>
  <c r="N44" i="63"/>
  <c r="N35" i="63"/>
  <c r="N27" i="63"/>
  <c r="N18" i="63"/>
  <c r="N67" i="63"/>
  <c r="N51" i="63"/>
  <c r="N34" i="63"/>
  <c r="N17" i="63"/>
  <c r="S26" i="71"/>
  <c r="P93" i="69"/>
  <c r="P61" i="69"/>
  <c r="P29" i="69"/>
  <c r="P13" i="69"/>
  <c r="N87" i="63"/>
  <c r="N64" i="63"/>
  <c r="N56" i="63"/>
  <c r="N39" i="63"/>
  <c r="N31" i="63"/>
  <c r="N14" i="63"/>
  <c r="S40" i="71"/>
  <c r="P89" i="69"/>
  <c r="P57" i="69"/>
  <c r="P41" i="69"/>
  <c r="L11" i="66"/>
  <c r="O19" i="64"/>
  <c r="N71" i="63"/>
  <c r="N63" i="63"/>
  <c r="N55" i="63"/>
  <c r="N38" i="63"/>
  <c r="N30" i="63"/>
  <c r="N21" i="63"/>
  <c r="S30" i="71"/>
  <c r="S13" i="71"/>
  <c r="P97" i="69"/>
  <c r="P81" i="69"/>
  <c r="P65" i="69"/>
  <c r="P49" i="69"/>
  <c r="P33" i="69"/>
  <c r="P17" i="69"/>
  <c r="K13" i="67"/>
  <c r="L20" i="66"/>
  <c r="L13" i="65"/>
  <c r="O11" i="64"/>
  <c r="N91" i="63"/>
  <c r="N75" i="63"/>
  <c r="N59" i="63"/>
  <c r="N42" i="63"/>
  <c r="N26" i="63"/>
  <c r="P77" i="69"/>
  <c r="P45" i="69"/>
  <c r="L15" i="66"/>
  <c r="N72" i="63"/>
  <c r="N48" i="63"/>
  <c r="N22" i="63"/>
  <c r="S21" i="71"/>
  <c r="P73" i="69"/>
  <c r="P25" i="69"/>
  <c r="N83" i="63"/>
  <c r="N47" i="63"/>
  <c r="N13" i="63"/>
  <c r="O211" i="62"/>
  <c r="O207" i="62"/>
  <c r="O203" i="62"/>
  <c r="O199" i="62"/>
  <c r="O195" i="62"/>
  <c r="O189" i="62"/>
  <c r="O185" i="62"/>
  <c r="O181" i="62"/>
  <c r="O177" i="62"/>
  <c r="O173" i="62"/>
  <c r="O169" i="62"/>
  <c r="O165" i="62"/>
  <c r="O161" i="62"/>
  <c r="O157" i="62"/>
  <c r="O152" i="62"/>
  <c r="O148" i="62"/>
  <c r="O144" i="62"/>
  <c r="O142" i="62"/>
  <c r="O138" i="62"/>
  <c r="O134" i="62"/>
  <c r="O130" i="62"/>
  <c r="O126" i="62"/>
  <c r="O121" i="62"/>
  <c r="O117" i="62"/>
  <c r="O113" i="62"/>
  <c r="O109" i="62"/>
  <c r="O105" i="62"/>
  <c r="O101" i="62"/>
  <c r="O97" i="62"/>
  <c r="O93" i="62"/>
  <c r="O89" i="62"/>
  <c r="O84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O210" i="62"/>
  <c r="O206" i="62"/>
  <c r="O202" i="62"/>
  <c r="O198" i="62"/>
  <c r="O194" i="62"/>
  <c r="O188" i="62"/>
  <c r="O184" i="62"/>
  <c r="O180" i="62"/>
  <c r="O176" i="62"/>
  <c r="O172" i="62"/>
  <c r="O168" i="62"/>
  <c r="O164" i="62"/>
  <c r="O160" i="62"/>
  <c r="O156" i="62"/>
  <c r="O151" i="62"/>
  <c r="O147" i="62"/>
  <c r="O193" i="62"/>
  <c r="O141" i="62"/>
  <c r="O137" i="62"/>
  <c r="O133" i="62"/>
  <c r="O129" i="62"/>
  <c r="O125" i="62"/>
  <c r="O120" i="62"/>
  <c r="O116" i="62"/>
  <c r="O112" i="62"/>
  <c r="O108" i="62"/>
  <c r="O104" i="62"/>
  <c r="O100" i="62"/>
  <c r="O96" i="62"/>
  <c r="O92" i="62"/>
  <c r="O88" i="62"/>
  <c r="O83" i="62"/>
  <c r="O79" i="62"/>
  <c r="O75" i="62"/>
  <c r="O71" i="62"/>
  <c r="O208" i="62"/>
  <c r="O200" i="62"/>
  <c r="O191" i="62"/>
  <c r="O182" i="62"/>
  <c r="O174" i="62"/>
  <c r="O166" i="62"/>
  <c r="O158" i="62"/>
  <c r="O149" i="62"/>
  <c r="O190" i="62"/>
  <c r="O135" i="62"/>
  <c r="O127" i="62"/>
  <c r="O118" i="62"/>
  <c r="O110" i="62"/>
  <c r="O102" i="62"/>
  <c r="O94" i="62"/>
  <c r="O86" i="62"/>
  <c r="O77" i="62"/>
  <c r="O69" i="62"/>
  <c r="O63" i="62"/>
  <c r="O58" i="62"/>
  <c r="O53" i="62"/>
  <c r="O47" i="62"/>
  <c r="O42" i="62"/>
  <c r="O36" i="62"/>
  <c r="O30" i="62"/>
  <c r="O25" i="62"/>
  <c r="O20" i="62"/>
  <c r="O14" i="62"/>
  <c r="O213" i="62"/>
  <c r="O205" i="62"/>
  <c r="O197" i="62"/>
  <c r="O187" i="62"/>
  <c r="O179" i="62"/>
  <c r="O171" i="62"/>
  <c r="O163" i="62"/>
  <c r="O155" i="62"/>
  <c r="O146" i="62"/>
  <c r="O140" i="62"/>
  <c r="O132" i="62"/>
  <c r="O123" i="62"/>
  <c r="O115" i="62"/>
  <c r="O107" i="62"/>
  <c r="O99" i="62"/>
  <c r="O91" i="62"/>
  <c r="O82" i="62"/>
  <c r="O74" i="62"/>
  <c r="O67" i="62"/>
  <c r="O62" i="62"/>
  <c r="O57" i="62"/>
  <c r="O51" i="62"/>
  <c r="O46" i="62"/>
  <c r="O40" i="62"/>
  <c r="O34" i="62"/>
  <c r="O29" i="62"/>
  <c r="O24" i="62"/>
  <c r="O18" i="62"/>
  <c r="O13" i="62"/>
  <c r="O212" i="62"/>
  <c r="O204" i="62"/>
  <c r="O196" i="62"/>
  <c r="O186" i="62"/>
  <c r="O178" i="62"/>
  <c r="O170" i="62"/>
  <c r="O162" i="62"/>
  <c r="O154" i="62"/>
  <c r="O145" i="62"/>
  <c r="O139" i="62"/>
  <c r="O131" i="62"/>
  <c r="O122" i="62"/>
  <c r="O114" i="62"/>
  <c r="O106" i="62"/>
  <c r="O98" i="62"/>
  <c r="O90" i="62"/>
  <c r="O81" i="62"/>
  <c r="O73" i="62"/>
  <c r="O66" i="62"/>
  <c r="O61" i="62"/>
  <c r="O55" i="62"/>
  <c r="O50" i="62"/>
  <c r="O45" i="62"/>
  <c r="O38" i="62"/>
  <c r="O33" i="62"/>
  <c r="O28" i="62"/>
  <c r="O22" i="62"/>
  <c r="O17" i="62"/>
  <c r="O183" i="62"/>
  <c r="O150" i="62"/>
  <c r="O119" i="62"/>
  <c r="O87" i="62"/>
  <c r="O59" i="62"/>
  <c r="O37" i="62"/>
  <c r="O16" i="62"/>
  <c r="O209" i="62"/>
  <c r="O175" i="62"/>
  <c r="O143" i="62"/>
  <c r="O111" i="62"/>
  <c r="O78" i="62"/>
  <c r="O54" i="62"/>
  <c r="O32" i="62"/>
  <c r="O12" i="62"/>
  <c r="O201" i="62"/>
  <c r="O167" i="62"/>
  <c r="O136" i="62"/>
  <c r="O103" i="62"/>
  <c r="O70" i="62"/>
  <c r="O49" i="62"/>
  <c r="O26" i="62"/>
  <c r="O192" i="62"/>
  <c r="O159" i="62"/>
  <c r="O128" i="62"/>
  <c r="O95" i="62"/>
  <c r="O65" i="62"/>
  <c r="O43" i="62"/>
  <c r="O21" i="62"/>
  <c r="U244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6" i="61"/>
  <c r="U172" i="61"/>
  <c r="U168" i="61"/>
  <c r="U164" i="61"/>
  <c r="U160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1" i="61"/>
  <c r="R25" i="59"/>
  <c r="R21" i="59"/>
  <c r="R17" i="59"/>
  <c r="R13" i="59"/>
  <c r="U62" i="61"/>
  <c r="U50" i="61"/>
  <c r="U46" i="61"/>
  <c r="U38" i="61"/>
  <c r="U30" i="61"/>
  <c r="U22" i="61"/>
  <c r="U18" i="61"/>
  <c r="R20" i="59"/>
  <c r="R16" i="59"/>
  <c r="R12" i="59"/>
  <c r="U236" i="61"/>
  <c r="U220" i="61"/>
  <c r="U200" i="61"/>
  <c r="U184" i="61"/>
  <c r="U173" i="61"/>
  <c r="U161" i="61"/>
  <c r="U148" i="61"/>
  <c r="U132" i="61"/>
  <c r="U124" i="61"/>
  <c r="U108" i="61"/>
  <c r="U96" i="61"/>
  <c r="U247" i="61"/>
  <c r="U243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5" i="61"/>
  <c r="U171" i="61"/>
  <c r="U167" i="61"/>
  <c r="U163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58" i="61"/>
  <c r="U54" i="61"/>
  <c r="U42" i="61"/>
  <c r="U34" i="61"/>
  <c r="U26" i="61"/>
  <c r="U14" i="61"/>
  <c r="R24" i="59"/>
  <c r="U240" i="61"/>
  <c r="U208" i="61"/>
  <c r="U180" i="61"/>
  <c r="U156" i="61"/>
  <c r="U136" i="61"/>
  <c r="U116" i="61"/>
  <c r="U92" i="61"/>
  <c r="U246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4" i="61"/>
  <c r="U170" i="61"/>
  <c r="U166" i="61"/>
  <c r="U162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R23" i="59"/>
  <c r="R19" i="59"/>
  <c r="R15" i="59"/>
  <c r="R11" i="59"/>
  <c r="U245" i="61"/>
  <c r="U232" i="61"/>
  <c r="U228" i="61"/>
  <c r="U224" i="61"/>
  <c r="U216" i="61"/>
  <c r="U212" i="61"/>
  <c r="U204" i="61"/>
  <c r="U196" i="61"/>
  <c r="U192" i="61"/>
  <c r="U188" i="61"/>
  <c r="U169" i="61"/>
  <c r="U165" i="61"/>
  <c r="U152" i="61"/>
  <c r="U144" i="61"/>
  <c r="U140" i="61"/>
  <c r="U128" i="61"/>
  <c r="U120" i="61"/>
  <c r="U112" i="61"/>
  <c r="U104" i="61"/>
  <c r="U100" i="61"/>
  <c r="U84" i="61"/>
  <c r="U68" i="61"/>
  <c r="U52" i="61"/>
  <c r="U36" i="61"/>
  <c r="U20" i="61"/>
  <c r="R14" i="59"/>
  <c r="U56" i="61"/>
  <c r="U24" i="61"/>
  <c r="R18" i="59"/>
  <c r="U80" i="61"/>
  <c r="U64" i="61"/>
  <c r="U48" i="61"/>
  <c r="U32" i="61"/>
  <c r="U16" i="61"/>
  <c r="U76" i="61"/>
  <c r="U60" i="61"/>
  <c r="U44" i="61"/>
  <c r="U28" i="61"/>
  <c r="U12" i="61"/>
  <c r="R22" i="59"/>
  <c r="U88" i="61"/>
  <c r="U72" i="61"/>
  <c r="U40" i="61"/>
  <c r="D42" i="88"/>
  <c r="D20" i="88"/>
  <c r="D18" i="88"/>
  <c r="D28" i="88"/>
  <c r="D27" i="88"/>
  <c r="D38" i="88"/>
  <c r="D37" i="88"/>
  <c r="D33" i="88"/>
  <c r="D13" i="88"/>
  <c r="D17" i="88"/>
  <c r="D15" i="88"/>
  <c r="D16" i="88"/>
  <c r="D21" i="88"/>
  <c r="D19" i="88"/>
  <c r="D35" i="88"/>
  <c r="D24" i="88"/>
  <c r="D11" i="88"/>
  <c r="D31" i="88"/>
  <c r="D26" i="88"/>
  <c r="D12" i="88"/>
  <c r="D2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2">
    <s v="Migdal Hashkaot Neches Boded"/>
    <s v="{[Time].[Hie Time].[Yom].&amp;[20191231]}"/>
    <s v="{[Medida].[Medida].&amp;[2]}"/>
    <s v="{[Keren].[Keren].[All]}"/>
    <s v="{[Cheshbon KM].[Hie Peilut].[Peilut 7].&amp;[Kod_Peilut_L7_10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3" si="21">
        <n x="1" s="1"/>
        <n x="19"/>
        <n x="20"/>
      </t>
    </mdx>
    <mdx n="0" f="v">
      <t c="3" si="21">
        <n x="1" s="1"/>
        <n x="22"/>
        <n x="20"/>
      </t>
    </mdx>
    <mdx n="0" f="v">
      <t c="3" si="21">
        <n x="1" s="1"/>
        <n x="23"/>
        <n x="20"/>
      </t>
    </mdx>
    <mdx n="0" f="v">
      <t c="3" si="21">
        <n x="1" s="1"/>
        <n x="24"/>
        <n x="20"/>
      </t>
    </mdx>
    <mdx n="0" f="v">
      <t c="3" si="21">
        <n x="1" s="1"/>
        <n x="25"/>
        <n x="20"/>
      </t>
    </mdx>
    <mdx n="0" f="v">
      <t c="3" si="21">
        <n x="1" s="1"/>
        <n x="26"/>
        <n x="20"/>
      </t>
    </mdx>
    <mdx n="0" f="v">
      <t c="3" si="21">
        <n x="1" s="1"/>
        <n x="27"/>
        <n x="20"/>
      </t>
    </mdx>
    <mdx n="0" f="v">
      <t c="3" si="21">
        <n x="1" s="1"/>
        <n x="28"/>
        <n x="20"/>
      </t>
    </mdx>
    <mdx n="0" f="v">
      <t c="3" si="21">
        <n x="1" s="1"/>
        <n x="29"/>
        <n x="20"/>
      </t>
    </mdx>
    <mdx n="0" f="v">
      <t c="3" si="21">
        <n x="1" s="1"/>
        <n x="30"/>
        <n x="20"/>
      </t>
    </mdx>
    <mdx n="0" f="v">
      <t c="3" si="21">
        <n x="1" s="1"/>
        <n x="31"/>
        <n x="20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<sst xmlns="http://schemas.openxmlformats.org/spreadsheetml/2006/main" count="7803" uniqueCount="2242">
  <si>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</si>
  <si>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</si>
  <si>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</si>
  <si>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</si>
  <si>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</si>
  <si>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</si>
  <si>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</si>
  <si>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</si>
  <si>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</si>
  <si>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</si>
  <si>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</si>
  <si>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</si>
  <si>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</si>
  <si>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</si>
  <si>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</si>
  <si>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</si>
  <si>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</si>
  <si>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</si>
  <si>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</si>
  <si>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</si>
  <si>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</si>
  <si>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</si>
  <si>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</si>
  <si>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</si>
  <si>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</si>
  <si>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</si>
  <si>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</si>
  <si>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</si>
  <si>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</si>
  <si>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</si>
  <si>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</si>
  <si>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</si>
  <si>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</si>
  <si>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</si>
  <si>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</si>
  <si>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</si>
  <si>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</si>
  <si>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</si>
  <si>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</si>
  <si>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</si>
  <si>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</si>
  <si>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</si>
  <si>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</si>
  <si>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</si>
  <si>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</si>
  <si>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</si>
  <si>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</si>
  <si>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</si>
  <si>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</si>
  <si>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</si>
  <si>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</si>
  <si>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</si>
  <si>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</si>
  <si>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</si>
  <si>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</si>
  <si>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</si>
  <si>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</si>
  <si>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</si>
  <si>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</si>
  <si>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</si>
  <si>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</si>
  <si>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</si>
  <si>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</si>
  <si>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</si>
  <si>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</si>
  <si>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</si>
  <si>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</si>
  <si>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</si>
  <si>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</si>
  <si>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</si>
  <si>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</si>
  <si>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</si>
  <si>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</si>
  <si>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</si>
  <si>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</si>
  <si>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</si>
  <si>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</si>
  <si>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</si>
  <si>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</si>
  <si>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</si>
  <si>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</si>
  <si>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</si>
  <si>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</si>
  <si>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</si>
  <si>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</si>
  <si>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</si>
  <si>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</si>
  <si>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</si>
  <si>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</si>
  <si>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</si>
  <si>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</si>
  <si>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</si>
  <si>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</si>
  <si>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</si>
  <si>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</si>
  <si>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</si>
  <si>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</si>
  <si>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</si>
  <si>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</si>
  <si>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</si>
  <si>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</si>
  <si>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</si>
  <si>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</si>
  <si>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</si>
  <si>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</si>
  <si>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</si>
  <si>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</si>
  <si>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</si>
  <si>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</si>
  <si>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</si>
  <si>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</si>
  <si>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</si>
  <si>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</si>
  <si>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</si>
  <si>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</si>
  <si>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</si>
  <si>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</si>
  <si>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</si>
  <si>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</si>
  <si>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</si>
  <si>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</si>
  <si>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</si>
  <si>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</si>
  <si>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</si>
  <si>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</si>
  <si>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</si>
  <si>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</si>
  <si>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</si>
  <si>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</si>
  <si>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</si>
  <si>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</si>
  <si>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</si>
  <si>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</si>
  <si>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</si>
  <si>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</si>
  <si>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</si>
  <si>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</si>
  <si>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</si>
  <si>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</si>
  <si>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</si>
  <si>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</si>
  <si>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</si>
  <si>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</si>
  <si>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</si>
  <si>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</si>
  <si>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</si>
  <si>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</si>
  <si>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</si>
  <si>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</si>
  <si>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</si>
  <si>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</si>
  <si>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</si>
  <si>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</si>
  <si>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</si>
  <si>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</si>
  <si>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</si>
  <si>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</si>
  <si>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</si>
  <si>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</si>
  <si>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</si>
  <si>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</si>
  <si>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</si>
  <si>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</si>
  <si>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</si>
  <si>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</si>
  <si>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</si>
  <si>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</si>
  <si>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</si>
  <si>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</si>
  <si>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</si>
  <si>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</si>
  <si>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</si>
  <si>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</si>
  <si>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</si>
  <si>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</si>
  <si>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</si>
  <si>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</si>
  <si>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</si>
  <si>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</si>
  <si>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</si>
  <si>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</si>
  <si>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</si>
  <si>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</si>
  <si>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</si>
  <si>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</si>
  <si>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</si>
  <si>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</si>
  <si>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</si>
  <si>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</si>
  <si>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</si>
  <si>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</si>
  <si>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</si>
  <si>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</si>
  <si>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</si>
  <si>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</si>
  <si>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</si>
  <si>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</si>
  <si>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</si>
  <si>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</si>
  <si>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</si>
  <si>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</si>
  <si>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</si>
  <si>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</si>
  <si>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</si>
  <si>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</si>
  <si>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</si>
  <si>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</si>
  <si>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</si>
  <si>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</si>
  <si>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</si>
  <si>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</si>
  <si>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</si>
  <si>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</si>
  <si>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</si>
  <si>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</si>
  <si>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</si>
  <si>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</si>
  <si>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</si>
  <si>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</si>
  <si>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</si>
  <si>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</si>
  <si>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</si>
  <si>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</si>
  <si>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</si>
  <si>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</si>
  <si>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</si>
  <si>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</si>
  <si>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</si>
  <si>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</si>
  <si>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</si>
  <si>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</si>
  <si>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</si>
  <si>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</si>
  <si>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</si>
  <si>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</si>
  <si>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</si>
  <si>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</si>
  <si>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</si>
  <si>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</si>
  <si>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</si>
  <si>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</si>
  <si>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</si>
  <si>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</si>
  <si>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</si>
  <si>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</si>
  <si>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</si>
  <si>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</si>
  <si>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</si>
  <si>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</si>
  <si>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</si>
  <si>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</si>
  <si>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</si>
  <si>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</si>
  <si>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</si>
  <si>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</si>
  <si>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</si>
  <si>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</si>
  <si>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</si>
  <si>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</si>
  <si>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</si>
  <si>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</si>
  <si>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</si>
  <si>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31/12/2019</t>
  </si>
  <si>
    <t>מגדל מקפת קרנות פנסיה וקופות גמל בע"מ</t>
  </si>
  <si>
    <t xml:space="preserve">מגדל מקפת אישית (מספר אוצר 162) - מסלול כללי למקבלי קצבה קיימים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</si>
  <si>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</si>
  <si>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</si>
  <si>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</si>
  <si>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</si>
  <si>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</si>
  <si>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</si>
  <si>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</si>
  <si>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</si>
  <si>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</si>
  <si>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</si>
  <si>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</si>
  <si>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</si>
  <si>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</si>
  <si>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</si>
  <si>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</si>
  <si>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</si>
  <si>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</si>
  <si>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</si>
  <si>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</si>
  <si>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</si>
  <si>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</si>
  <si>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</si>
  <si>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</si>
  <si>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</si>
  <si>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</si>
  <si>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</si>
  <si>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</si>
  <si>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</si>
  <si>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</si>
  <si>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</si>
  <si>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</si>
  <si>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</si>
  <si>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</si>
  <si>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</si>
  <si>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</si>
  <si>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</si>
  <si>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</si>
  <si>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</si>
  <si>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</si>
  <si>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</si>
  <si>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</si>
  <si>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</si>
  <si>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</si>
  <si>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</si>
  <si>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</si>
  <si>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</si>
  <si>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</si>
  <si>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</si>
  <si>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</si>
  <si>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</si>
  <si>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</si>
  <si>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</si>
  <si>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</si>
  <si>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</si>
  <si>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</si>
  <si>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</si>
  <si>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</si>
  <si>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</si>
  <si>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</si>
  <si>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</si>
  <si>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</si>
  <si>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</si>
  <si>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</si>
  <si>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</si>
  <si>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</si>
  <si>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</si>
  <si>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</si>
  <si>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</si>
  <si>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</si>
  <si>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</si>
  <si>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</si>
  <si>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</si>
  <si>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</si>
  <si>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</si>
  <si>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</si>
  <si>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</si>
  <si>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</si>
  <si>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</si>
  <si>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</si>
  <si>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</si>
  <si>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</si>
  <si>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</si>
  <si>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</si>
  <si>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</si>
  <si>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</si>
  <si>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</si>
  <si>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</si>
  <si>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</si>
  <si>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</si>
  <si>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</si>
  <si>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</si>
  <si>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</si>
  <si>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</si>
  <si>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</si>
  <si>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</si>
  <si>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</si>
  <si>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</si>
  <si>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</si>
  <si>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</si>
  <si>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</si>
  <si>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</si>
  <si>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</si>
  <si>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</si>
  <si>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</si>
  <si>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</si>
  <si>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</si>
  <si>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</si>
  <si>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</si>
  <si>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</si>
  <si>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</si>
  <si>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</si>
  <si>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</si>
  <si>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</si>
  <si>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</si>
  <si>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</si>
  <si>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</si>
  <si>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</si>
  <si>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</si>
  <si>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</si>
  <si>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</si>
  <si>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</si>
  <si>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</si>
  <si>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</si>
  <si>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</si>
  <si>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</si>
  <si>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</si>
  <si>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</si>
  <si>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</si>
  <si>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</si>
  <si>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</si>
  <si>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</si>
  <si>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</si>
  <si>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</si>
  <si>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</si>
  <si>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</si>
  <si>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</si>
  <si>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</si>
  <si>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</si>
  <si>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</si>
  <si>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</si>
  <si>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</si>
  <si>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</si>
  <si>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</si>
  <si>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</si>
  <si>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</si>
  <si>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</si>
  <si>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</si>
  <si>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</si>
  <si>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</si>
  <si>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</si>
  <si>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</si>
  <si>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</si>
  <si>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</si>
  <si>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</si>
  <si>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</si>
  <si>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</si>
  <si>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</si>
  <si>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</si>
  <si>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</si>
  <si>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</si>
  <si>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</si>
  <si>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</si>
  <si>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</si>
  <si>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</si>
  <si>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</si>
  <si>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</si>
  <si>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</si>
  <si>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</si>
  <si>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</si>
  <si>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</si>
  <si>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</si>
  <si>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</si>
  <si>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</si>
  <si>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</si>
  <si>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</si>
  <si>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</si>
  <si>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</si>
  <si>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</si>
  <si>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</si>
  <si>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</si>
  <si>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</si>
  <si>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</si>
  <si>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</si>
  <si>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</si>
  <si>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</si>
  <si>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</si>
  <si>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</si>
  <si>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</si>
  <si>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</si>
  <si>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</si>
  <si>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</si>
  <si>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</si>
  <si>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</si>
  <si>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</si>
  <si>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</si>
  <si>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</si>
  <si>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</si>
  <si>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</si>
  <si>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</si>
  <si>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</si>
  <si>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</si>
  <si>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</si>
  <si>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</si>
  <si>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</si>
  <si>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</si>
  <si>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</si>
  <si>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</si>
  <si>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</si>
  <si>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</si>
  <si>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</si>
  <si>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</si>
  <si>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</si>
  <si>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</si>
  <si>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</si>
  <si>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</si>
  <si>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</si>
  <si>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</si>
  <si>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</si>
  <si>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</si>
  <si>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</si>
  <si>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</si>
  <si>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</si>
  <si>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</si>
  <si>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</si>
  <si>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</si>
  <si>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</si>
  <si>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</si>
  <si>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</si>
  <si>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</si>
  <si>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</si>
  <si>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</si>
  <si>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</si>
  <si>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</si>
  <si>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</si>
  <si>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</si>
  <si>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</si>
  <si>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</si>
  <si>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</si>
  <si>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</si>
  <si>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</si>
  <si>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</si>
  <si>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</si>
  <si>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</si>
  <si>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</si>
  <si>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</si>
  <si>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</si>
  <si>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</si>
  <si>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</si>
  <si>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</si>
  <si>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</si>
  <si>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</si>
  <si>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</si>
  <si>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</si>
  <si>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</si>
  <si>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</si>
  <si>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</si>
  <si>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</si>
  <si>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</si>
  <si>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</si>
  <si>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</si>
  <si>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</si>
  <si>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</si>
  <si>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</si>
  <si>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</si>
  <si>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</si>
  <si>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</si>
  <si>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</si>
  <si>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</si>
  <si>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</si>
  <si>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</si>
  <si>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</si>
  <si>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</si>
  <si>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</si>
  <si>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</si>
  <si>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</si>
  <si>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</si>
  <si>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</si>
  <si>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</si>
  <si>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</si>
  <si>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</si>
  <si>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</si>
  <si>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</si>
  <si>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</si>
  <si>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</si>
  <si>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</si>
  <si>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</si>
  <si>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</si>
  <si>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</si>
  <si>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</si>
  <si>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</si>
  <si>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</si>
  <si>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</si>
  <si>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</si>
  <si>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</si>
  <si>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</si>
  <si>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</si>
  <si>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</si>
  <si>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</si>
  <si>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</si>
  <si>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</si>
  <si>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</si>
  <si>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</si>
  <si>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</si>
  <si>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</si>
  <si>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</si>
  <si>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</si>
  <si>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</si>
  <si>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</si>
  <si>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</si>
  <si>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</si>
  <si>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</si>
  <si>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</si>
  <si>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</si>
  <si>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</si>
  <si>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</si>
  <si>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</si>
  <si>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</si>
  <si>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</si>
  <si>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</si>
  <si>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</si>
  <si>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</si>
  <si>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</si>
  <si>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</si>
  <si>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</si>
  <si>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</si>
  <si>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</si>
  <si>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</si>
  <si>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</si>
  <si>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</si>
  <si>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</si>
  <si>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</si>
  <si>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</si>
  <si>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</si>
  <si>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</si>
  <si>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</si>
  <si>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</si>
  <si>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</si>
  <si>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</si>
  <si>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</si>
  <si>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</si>
  <si>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</si>
  <si>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</si>
  <si>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</si>
  <si>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</si>
  <si>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</si>
  <si>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</si>
  <si>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</si>
  <si>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</si>
  <si>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</si>
  <si>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</si>
  <si>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</si>
  <si>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</si>
  <si>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</si>
  <si>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</si>
  <si>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</si>
  <si>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</si>
  <si>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</si>
  <si>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</si>
  <si>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</si>
  <si>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</si>
  <si>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</si>
  <si>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</si>
  <si>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</si>
  <si>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</si>
  <si>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</si>
  <si>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</si>
  <si>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</si>
  <si>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</si>
  <si>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</si>
  <si>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</si>
  <si>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</si>
  <si>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</si>
  <si>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</si>
  <si>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</si>
  <si>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</si>
  <si>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</si>
  <si>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</si>
  <si>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</si>
  <si>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</si>
  <si>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</si>
  <si>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</si>
  <si>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</si>
  <si>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</si>
  <si>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</si>
  <si>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</si>
  <si>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</si>
  <si>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</si>
  <si>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</si>
  <si>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</si>
  <si>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</si>
  <si>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</si>
  <si>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</si>
  <si>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</si>
  <si>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</si>
  <si>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</si>
  <si>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</si>
  <si>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</si>
  <si>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</si>
  <si>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</si>
  <si>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</si>
  <si>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</si>
  <si>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</si>
  <si>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</si>
  <si>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</si>
  <si>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</si>
  <si>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</si>
  <si>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</si>
  <si>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</si>
  <si>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</si>
  <si>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</si>
  <si>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</si>
  <si>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</si>
  <si>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</si>
  <si>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</si>
  <si>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</si>
  <si>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</si>
  <si>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</si>
  <si>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</si>
  <si>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</si>
  <si>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</si>
  <si>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</si>
  <si>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</si>
  <si>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</si>
  <si>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</si>
  <si>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</si>
  <si>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</si>
  <si>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</si>
  <si>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</si>
  <si>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</si>
  <si>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</si>
  <si>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</si>
  <si>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</si>
  <si>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</si>
  <si>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</si>
  <si>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</si>
  <si>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</si>
  <si>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</si>
  <si>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</si>
  <si>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</si>
  <si>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</si>
  <si>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</si>
  <si>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</si>
  <si>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</si>
  <si>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</si>
  <si>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</si>
  <si>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</si>
  <si>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</si>
  <si>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</si>
  <si>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</si>
  <si>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</si>
  <si>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</si>
  <si>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</si>
  <si>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</si>
  <si>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</si>
  <si>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</si>
  <si>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</si>
  <si>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</si>
  <si>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</si>
  <si>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</si>
  <si>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</si>
  <si>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</si>
  <si>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</si>
  <si>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</si>
  <si>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</si>
  <si>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</si>
  <si>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</si>
  <si>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</si>
  <si>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</si>
  <si>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</si>
  <si>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</si>
  <si>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</si>
  <si>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</si>
  <si>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</si>
  <si>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</si>
  <si>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</si>
  <si>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</si>
  <si>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</si>
  <si>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</si>
  <si>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</si>
  <si>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</si>
  <si>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</si>
  <si>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</si>
  <si>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</si>
  <si>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</si>
  <si>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</si>
  <si>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</si>
  <si>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</si>
  <si>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</si>
  <si>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</si>
  <si>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</si>
  <si>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</si>
  <si>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</si>
  <si>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</si>
  <si>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</si>
  <si>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</si>
  <si>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</si>
  <si>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</si>
  <si>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</si>
  <si>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</si>
  <si>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</si>
  <si>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</si>
  <si>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</si>
  <si>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</si>
  <si>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</si>
  <si>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</si>
  <si>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</si>
  <si>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</si>
  <si>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</si>
  <si>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</si>
  <si>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</si>
  <si>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</si>
  <si>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</si>
  <si>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</si>
  <si>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</si>
  <si>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</si>
  <si>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</si>
  <si>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</si>
  <si>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</si>
  <si>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</si>
  <si>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</si>
  <si>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</si>
  <si>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</si>
  <si>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</si>
  <si>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</si>
  <si>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</si>
  <si>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</si>
  <si>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</si>
  <si>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</si>
  <si>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</si>
  <si>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</si>
  <si>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</si>
  <si>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</si>
  <si>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</si>
  <si>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</si>
  <si>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</si>
  <si>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</si>
  <si>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</si>
  <si>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</si>
  <si>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</si>
  <si>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</si>
  <si>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</si>
  <si>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</si>
  <si>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</si>
  <si>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</si>
  <si>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</si>
  <si>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</si>
  <si>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</si>
  <si>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</si>
  <si>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</si>
  <si>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</si>
  <si>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</si>
  <si>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</si>
  <si>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</si>
  <si>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</si>
  <si>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</si>
  <si>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</si>
  <si>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</si>
  <si>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</si>
  <si>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</si>
  <si>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</si>
  <si>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</si>
  <si>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</si>
  <si>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</si>
  <si>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</si>
  <si>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</si>
  <si>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</si>
  <si>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</si>
  <si>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</si>
  <si>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</si>
  <si>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</si>
  <si>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</si>
  <si>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</si>
  <si>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</si>
  <si>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</si>
  <si>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</si>
  <si>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</si>
  <si>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</si>
  <si>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</si>
  <si>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</si>
  <si>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</si>
  <si>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</si>
  <si>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</si>
  <si>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</si>
  <si>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</si>
  <si>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</si>
  <si>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</si>
  <si>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</si>
  <si>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</si>
  <si>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</si>
  <si>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</si>
  <si>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</si>
  <si>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</si>
  <si>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</si>
  <si>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</si>
  <si>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</si>
  <si>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</si>
  <si>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</si>
  <si>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</si>
  <si>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</si>
  <si>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</si>
  <si>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</si>
  <si>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</si>
  <si>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</si>
  <si>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</si>
  <si>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</si>
  <si>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</si>
  <si>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</si>
  <si>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</si>
  <si>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</si>
  <si>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</si>
  <si>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</si>
  <si>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</si>
  <si>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</si>
  <si>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</si>
  <si>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</si>
  <si>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</si>
  <si>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</si>
  <si>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</si>
  <si>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</si>
  <si>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</si>
  <si>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</si>
  <si>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</si>
  <si>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</si>
  <si>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</si>
  <si>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</si>
  <si>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</si>
  <si>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</si>
  <si>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</si>
  <si>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520027830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</si>
  <si>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</si>
  <si>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</si>
  <si>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</si>
  <si>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</si>
  <si>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</si>
  <si>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</si>
  <si>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</si>
  <si>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</si>
  <si>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</si>
  <si>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</si>
  <si>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</si>
  <si>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</si>
  <si>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</si>
  <si>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</si>
  <si>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</si>
  <si>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</si>
  <si>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</si>
  <si>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</si>
  <si>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</si>
  <si>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</si>
  <si>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</si>
  <si>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</si>
  <si>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</si>
  <si>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</si>
  <si>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</si>
  <si>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</si>
  <si>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</si>
  <si>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</si>
  <si>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</si>
  <si>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</si>
  <si>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</si>
  <si>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</si>
  <si>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</si>
  <si>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</si>
  <si>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</si>
  <si>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</si>
  <si>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</si>
  <si>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</si>
  <si>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</si>
  <si>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</si>
  <si>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</si>
  <si>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</si>
  <si>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</si>
  <si>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</si>
  <si>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</si>
  <si>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</si>
  <si>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</si>
  <si>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</si>
  <si>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</si>
  <si>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</si>
  <si>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</si>
  <si>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</si>
  <si>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</si>
  <si>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</si>
  <si>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</si>
  <si>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</si>
  <si>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</si>
  <si>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</si>
  <si>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</si>
  <si>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</si>
  <si>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</si>
  <si>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</si>
  <si>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</si>
  <si>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</si>
  <si>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</si>
  <si>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</si>
  <si>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</si>
  <si>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</si>
  <si>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</si>
  <si>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</si>
  <si>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</si>
  <si>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</si>
  <si>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</si>
  <si>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</si>
  <si>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</si>
  <si>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</si>
  <si>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</si>
  <si>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</si>
  <si>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</si>
  <si>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</si>
  <si>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</si>
  <si>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</si>
  <si>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</si>
  <si>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</si>
  <si>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</si>
  <si>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</si>
  <si>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</si>
  <si>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מבני תעשיה</t>
  </si>
  <si>
    <t>226019</t>
  </si>
  <si>
    <t>מטריקס*</t>
  </si>
  <si>
    <t>445015</t>
  </si>
  <si>
    <t>520039413</t>
  </si>
  <si>
    <t>מיטרוניקס*</t>
  </si>
  <si>
    <t>1091065</t>
  </si>
  <si>
    <t>511527202</t>
  </si>
  <si>
    <t>מנועי בית שמש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</si>
  <si>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</si>
  <si>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</si>
  <si>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</si>
  <si>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</si>
  <si>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</si>
  <si>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</si>
  <si>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</si>
  <si>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</si>
  <si>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</si>
  <si>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</si>
  <si>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</si>
  <si>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</si>
  <si>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</si>
  <si>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</si>
  <si>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</si>
  <si>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</si>
  <si>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</si>
  <si>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</si>
  <si>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</si>
  <si>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</si>
  <si>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</si>
  <si>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</si>
  <si>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</si>
  <si>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</si>
  <si>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</si>
  <si>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</si>
  <si>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</si>
  <si>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</si>
  <si>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</si>
  <si>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</si>
  <si>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</si>
  <si>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</si>
  <si>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</si>
  <si>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</si>
  <si>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</si>
  <si>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</si>
  <si>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</si>
  <si>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</si>
  <si>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</si>
  <si>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</si>
  <si>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</si>
  <si>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</si>
  <si>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</si>
  <si>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</si>
  <si>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</si>
  <si>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</si>
  <si>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</si>
  <si>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</si>
  <si>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</si>
  <si>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</si>
  <si>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</si>
  <si>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</si>
  <si>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</si>
  <si>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</si>
  <si>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</si>
  <si>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</si>
  <si>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</si>
  <si>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</si>
  <si>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</si>
  <si>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</si>
  <si>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</si>
  <si>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</si>
  <si>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</si>
  <si>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</si>
  <si>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</si>
  <si>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</si>
  <si>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</si>
  <si>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</si>
  <si>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</si>
  <si>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</si>
  <si>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</si>
  <si>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</si>
  <si>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</si>
  <si>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</si>
  <si>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</si>
  <si>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</si>
  <si>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</si>
  <si>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</si>
  <si>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</si>
  <si>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</si>
  <si>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</si>
  <si>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</si>
  <si>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</si>
  <si>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</si>
  <si>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</si>
  <si>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</si>
  <si>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</si>
  <si>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</si>
  <si>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</si>
  <si>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</si>
  <si>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</si>
  <si>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</si>
  <si>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</si>
  <si>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</si>
  <si>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</si>
  <si>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</si>
  <si>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</si>
  <si>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</si>
  <si>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</si>
  <si>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</si>
  <si>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</si>
  <si>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</si>
  <si>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</si>
  <si>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</si>
  <si>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</si>
  <si>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</si>
  <si>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</si>
  <si>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מ.יוחננוף ובניו</t>
  </si>
  <si>
    <t>1161264</t>
  </si>
  <si>
    <t>511344186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</si>
  <si>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</si>
  <si>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</si>
  <si>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</si>
  <si>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</si>
  <si>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</si>
  <si>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</si>
  <si>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</si>
  <si>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</si>
  <si>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</si>
  <si>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</si>
  <si>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</si>
  <si>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</si>
  <si>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</si>
  <si>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</si>
  <si>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</si>
  <si>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</si>
  <si>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</si>
  <si>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</si>
  <si>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</si>
  <si>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</si>
  <si>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</si>
  <si>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</si>
  <si>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</si>
  <si>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</si>
  <si>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</si>
  <si>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</si>
  <si>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</si>
  <si>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</si>
  <si>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</si>
  <si>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</si>
  <si>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</si>
  <si>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</si>
  <si>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</si>
  <si>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</si>
  <si>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</si>
  <si>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</si>
  <si>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</si>
  <si>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</si>
  <si>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</si>
  <si>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</si>
  <si>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</si>
  <si>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</si>
  <si>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</si>
  <si>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</si>
  <si>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</si>
  <si>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</si>
  <si>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</si>
  <si>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</si>
  <si>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</si>
  <si>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</si>
  <si>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</si>
  <si>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</si>
  <si>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CAESAR STONE SDO</t>
  </si>
  <si>
    <t>IL0011259137</t>
  </si>
  <si>
    <t>511439507</t>
  </si>
  <si>
    <t>MATERIALS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</si>
  <si>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</si>
  <si>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</si>
  <si>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</si>
  <si>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</si>
  <si>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</si>
  <si>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</si>
  <si>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</si>
  <si>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</si>
  <si>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</si>
  <si>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</si>
  <si>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</si>
  <si>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</si>
  <si>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</si>
  <si>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</si>
  <si>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</si>
  <si>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</si>
  <si>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</si>
  <si>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</si>
  <si>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</si>
  <si>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</si>
  <si>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</si>
  <si>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</si>
  <si>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</si>
  <si>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</si>
  <si>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</si>
  <si>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</si>
  <si>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</si>
  <si>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</si>
  <si>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</si>
  <si>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</si>
  <si>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</si>
  <si>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</si>
  <si>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 Equipment &amp; Services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</si>
  <si>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</si>
  <si>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</si>
  <si>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</si>
  <si>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</si>
  <si>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</si>
  <si>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</si>
  <si>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</si>
  <si>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</si>
  <si>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</si>
  <si>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</si>
  <si>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</si>
  <si>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</si>
  <si>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</si>
  <si>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</si>
  <si>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</si>
  <si>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</si>
  <si>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</si>
  <si>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</si>
  <si>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</si>
  <si>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</si>
  <si>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</si>
  <si>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</si>
  <si>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</si>
  <si>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</si>
  <si>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</si>
  <si>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</si>
  <si>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</si>
  <si>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</si>
  <si>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</si>
  <si>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</si>
  <si>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</si>
  <si>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</si>
  <si>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</si>
  <si>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</si>
  <si>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</si>
  <si>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</si>
  <si>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</si>
  <si>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</si>
  <si>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</si>
  <si>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</si>
  <si>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</si>
  <si>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</si>
  <si>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</si>
  <si>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</si>
  <si>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</si>
  <si>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</si>
  <si>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</si>
  <si>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</si>
  <si>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</si>
  <si>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</si>
  <si>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</si>
  <si>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</si>
  <si>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</si>
  <si>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</si>
  <si>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</si>
  <si>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</si>
  <si>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</si>
  <si>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</si>
  <si>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</si>
  <si>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</si>
  <si>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</si>
  <si>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</si>
  <si>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</si>
  <si>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</si>
  <si>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BLACKROCK</t>
  </si>
  <si>
    <t>US09247X1019</t>
  </si>
  <si>
    <t>Diversified Financials</t>
  </si>
  <si>
    <t>BOEING</t>
  </si>
  <si>
    <t>US0970231058</t>
  </si>
  <si>
    <t>BP PLC</t>
  </si>
  <si>
    <t>GB0007980591</t>
  </si>
  <si>
    <t>ENERGY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</si>
  <si>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</si>
  <si>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</si>
  <si>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</si>
  <si>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</si>
  <si>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</si>
  <si>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</si>
  <si>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</si>
  <si>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</si>
  <si>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Food, Beverage &amp; Tobacco</t>
  </si>
  <si>
    <t>DELEK US HOLDINGS</t>
  </si>
  <si>
    <t>US24665A1034</t>
  </si>
  <si>
    <t>DEUTSCHE POST AG REG</t>
  </si>
  <si>
    <t>DE0005552004</t>
  </si>
  <si>
    <t>Transportation</t>
  </si>
  <si>
    <t>EIFFAGE</t>
  </si>
  <si>
    <t>FR0000130452</t>
  </si>
  <si>
    <t>ERICSSON LM B SHS</t>
  </si>
  <si>
    <t>SE0000108656</t>
  </si>
  <si>
    <t>FERROVIAL SA</t>
  </si>
  <si>
    <t>ES0118900010</t>
  </si>
  <si>
    <t>BME</t>
  </si>
  <si>
    <t>GOLDMAN SACHS GROUP INC</t>
  </si>
  <si>
    <t>US38141G1040</t>
  </si>
  <si>
    <t>HENNES &amp; MAURITZ AB B SHS</t>
  </si>
  <si>
    <t>SE0000106270</t>
  </si>
  <si>
    <t>JPMORGAN CHASE</t>
  </si>
  <si>
    <t>US46625H1005</t>
  </si>
  <si>
    <t>LEVI STRAUSS &amp; CO  CLASS A</t>
  </si>
  <si>
    <t>US52736R1023</t>
  </si>
  <si>
    <t>LOCKHEED MARTIN CORP</t>
  </si>
  <si>
    <t>US5398301094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</si>
  <si>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</si>
  <si>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</si>
  <si>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</si>
  <si>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</si>
  <si>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</si>
  <si>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</si>
  <si>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</si>
  <si>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TELECOMMUNICATION SERVICES</t>
  </si>
  <si>
    <t>MOODY`S</t>
  </si>
  <si>
    <t>US6153691059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</si>
  <si>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</si>
  <si>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</si>
  <si>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</si>
  <si>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</si>
  <si>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</si>
  <si>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</si>
  <si>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</si>
  <si>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</si>
  <si>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</si>
  <si>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</si>
  <si>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</si>
  <si>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</si>
  <si>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</si>
  <si>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</si>
  <si>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</si>
  <si>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</si>
  <si>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</si>
  <si>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</si>
  <si>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</si>
  <si>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</si>
  <si>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</si>
  <si>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</si>
  <si>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</si>
  <si>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</si>
  <si>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</si>
  <si>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</si>
  <si>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</si>
  <si>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</si>
  <si>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</si>
  <si>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</si>
  <si>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THALES SA</t>
  </si>
  <si>
    <t>FR0000121329</t>
  </si>
  <si>
    <t>TJX COMPANIES INC</t>
  </si>
  <si>
    <t>US8725401090</t>
  </si>
  <si>
    <t>TOTAL SA</t>
  </si>
  <si>
    <t>FR0000120271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</si>
  <si>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</si>
  <si>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</si>
  <si>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</si>
  <si>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</si>
  <si>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</si>
  <si>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</si>
  <si>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</si>
  <si>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</si>
  <si>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</si>
  <si>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</si>
  <si>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</si>
  <si>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</si>
  <si>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</si>
  <si>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</si>
  <si>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</si>
  <si>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Media</t>
  </si>
  <si>
    <t>WELLS FARGO &amp; CO</t>
  </si>
  <si>
    <t>US9497461015</t>
  </si>
  <si>
    <t>הראל סל תא 125</t>
  </si>
  <si>
    <t>1148899</t>
  </si>
  <si>
    <t>514103811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</si>
  <si>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</si>
  <si>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</si>
  <si>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</si>
  <si>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</si>
  <si>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</si>
  <si>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</si>
  <si>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</si>
  <si>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</si>
  <si>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</si>
  <si>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</si>
  <si>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</si>
  <si>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</si>
  <si>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</si>
  <si>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</si>
  <si>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</si>
  <si>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</si>
  <si>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</si>
  <si>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</si>
  <si>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</si>
  <si>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</si>
  <si>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</si>
  <si>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</si>
  <si>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</si>
  <si>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</si>
  <si>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</si>
  <si>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</si>
  <si>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</si>
  <si>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</si>
  <si>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</si>
  <si>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</si>
  <si>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</si>
  <si>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</si>
  <si>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</si>
  <si>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</si>
  <si>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</si>
  <si>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</si>
  <si>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</si>
  <si>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</si>
  <si>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</si>
  <si>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</si>
  <si>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</si>
  <si>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</si>
  <si>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</si>
  <si>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</si>
  <si>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</si>
  <si>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</si>
  <si>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</si>
  <si>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</si>
  <si>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</si>
  <si>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</si>
  <si>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</si>
  <si>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</si>
  <si>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</si>
  <si>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</si>
  <si>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</si>
  <si>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</si>
  <si>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</si>
  <si>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</si>
  <si>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</si>
  <si>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</si>
  <si>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</si>
  <si>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</si>
  <si>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</si>
  <si>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</si>
  <si>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</si>
  <si>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</si>
  <si>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</si>
  <si>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</si>
  <si>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</si>
  <si>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</si>
  <si>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</si>
  <si>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</si>
  <si>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</si>
  <si>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</si>
  <si>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</si>
  <si>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</si>
  <si>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</si>
  <si>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</si>
  <si>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</si>
  <si>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</si>
  <si>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</si>
  <si>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</si>
  <si>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</si>
  <si>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</si>
  <si>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</si>
  <si>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</si>
  <si>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</si>
  <si>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</si>
  <si>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</si>
  <si>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</si>
  <si>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</si>
  <si>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</si>
  <si>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</si>
  <si>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</si>
  <si>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</si>
  <si>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</si>
  <si>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</si>
  <si>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</si>
  <si>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</si>
  <si>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</si>
  <si>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</si>
  <si>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</si>
  <si>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</si>
  <si>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</si>
  <si>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</si>
  <si>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</si>
  <si>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</si>
  <si>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</si>
  <si>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</si>
  <si>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</si>
  <si>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</si>
  <si>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</si>
  <si>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</si>
  <si>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</si>
  <si>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</si>
  <si>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</si>
  <si>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</si>
  <si>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</si>
  <si>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</si>
  <si>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</si>
  <si>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</si>
  <si>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</si>
  <si>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</si>
  <si>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</si>
  <si>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</si>
  <si>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</si>
  <si>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</si>
  <si>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</si>
  <si>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SCHWAB FUNDAMENTAL EM L/C</t>
  </si>
  <si>
    <t>US8085247307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</si>
  <si>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</si>
  <si>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</si>
  <si>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</si>
  <si>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</si>
  <si>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</si>
  <si>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</si>
  <si>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</si>
  <si>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</si>
  <si>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OIL &amp; GAS EXP &amp; PR</t>
  </si>
  <si>
    <t>US78464A7303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</si>
  <si>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</si>
  <si>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</si>
  <si>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</si>
  <si>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</si>
  <si>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</si>
  <si>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</si>
  <si>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</si>
  <si>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</si>
  <si>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COMGEST GROWTH EUROPE EUR IA</t>
  </si>
  <si>
    <t>IE00B5WN3467</t>
  </si>
  <si>
    <t>מניות</t>
  </si>
  <si>
    <t>NR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</si>
  <si>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</si>
  <si>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</si>
  <si>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</si>
  <si>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</si>
  <si>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</si>
  <si>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</si>
  <si>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</si>
  <si>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</si>
  <si>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</si>
  <si>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</si>
  <si>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</si>
  <si>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</si>
  <si>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</si>
  <si>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</si>
  <si>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</si>
  <si>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plC 2700 FEB 2020</t>
  </si>
  <si>
    <t>82934381</t>
  </si>
  <si>
    <t>ל.ר.</t>
  </si>
  <si>
    <t>plP 2700 FEB 2020</t>
  </si>
  <si>
    <t>82934597</t>
  </si>
  <si>
    <t>SPX US 02/21/20 P2800</t>
  </si>
  <si>
    <t>SPX02202800</t>
  </si>
  <si>
    <t>SPX US 02/21/20 P3050</t>
  </si>
  <si>
    <t>SPX022093050</t>
  </si>
  <si>
    <t>SPXW US 12/19 C3150</t>
  </si>
  <si>
    <t>SPXW19C3150</t>
  </si>
  <si>
    <t>TGT 01/17/20 C135</t>
  </si>
  <si>
    <t>TGT0120C135</t>
  </si>
  <si>
    <t>MSCI EMGMKT MAR20</t>
  </si>
  <si>
    <t>MESH0</t>
  </si>
  <si>
    <t>S&amp;P500 EMINI FUT MAR20</t>
  </si>
  <si>
    <t>ESH0</t>
  </si>
  <si>
    <t>STOXX EUROPE 600 MAR20</t>
  </si>
  <si>
    <t>SXOH0</t>
  </si>
  <si>
    <t>TOPIX FUTR MAR20</t>
  </si>
  <si>
    <t>TPH0</t>
  </si>
  <si>
    <t>ערד   4.8%   סדרה  8714</t>
  </si>
  <si>
    <t>98715000</t>
  </si>
  <si>
    <t>ערד   4.8%   סדרה  8730</t>
  </si>
  <si>
    <t>8287302</t>
  </si>
  <si>
    <t>ערד   4.8%   סדרה  8733</t>
  </si>
  <si>
    <t>8287336</t>
  </si>
  <si>
    <t>ערד   4.8%   סדרה  8752   2024</t>
  </si>
  <si>
    <t>8287526</t>
  </si>
  <si>
    <t>ערד  8738 % 4.8  2023</t>
  </si>
  <si>
    <t>98732000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</si>
  <si>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</si>
  <si>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</si>
  <si>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</si>
  <si>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</si>
  <si>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</si>
  <si>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</si>
  <si>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</si>
  <si>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</si>
  <si>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8704 % 4.8</t>
  </si>
  <si>
    <t>98704000</t>
  </si>
  <si>
    <t>ערד 8786_1/2027</t>
  </si>
  <si>
    <t>71116487</t>
  </si>
  <si>
    <t>ערד 8793</t>
  </si>
  <si>
    <t>ערד 8794</t>
  </si>
  <si>
    <t>71120232</t>
  </si>
  <si>
    <t>ערד 8795</t>
  </si>
  <si>
    <t>71120356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</si>
  <si>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</si>
  <si>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</si>
  <si>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</si>
  <si>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</si>
  <si>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</si>
  <si>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</si>
  <si>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</si>
  <si>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</si>
  <si>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</si>
  <si>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</si>
  <si>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</si>
  <si>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</si>
  <si>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</si>
  <si>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</si>
  <si>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</si>
  <si>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</si>
  <si>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</si>
  <si>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</si>
  <si>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</si>
  <si>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</si>
  <si>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</si>
  <si>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</si>
  <si>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</si>
  <si>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</si>
  <si>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</si>
  <si>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</si>
  <si>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</si>
  <si>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8816</t>
  </si>
  <si>
    <t>98816000</t>
  </si>
  <si>
    <t>ערד 8817</t>
  </si>
  <si>
    <t>98817000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</si>
  <si>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</si>
  <si>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</si>
  <si>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</si>
  <si>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</si>
  <si>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</si>
  <si>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</si>
  <si>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</si>
  <si>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</si>
  <si>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</si>
  <si>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</si>
  <si>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</si>
  <si>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</si>
  <si>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</si>
  <si>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</si>
  <si>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</si>
  <si>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</si>
  <si>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</si>
  <si>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</si>
  <si>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</si>
  <si>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</si>
  <si>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</si>
  <si>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</si>
  <si>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</si>
  <si>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</si>
  <si>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</si>
  <si>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</si>
  <si>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</si>
  <si>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</si>
  <si>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</si>
  <si>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</si>
  <si>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</si>
  <si>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</si>
  <si>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</si>
  <si>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</si>
  <si>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</si>
  <si>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</si>
  <si>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</si>
  <si>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</si>
  <si>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</si>
  <si>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</si>
  <si>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</si>
  <si>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</si>
  <si>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</si>
  <si>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</si>
  <si>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</si>
  <si>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</si>
  <si>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</si>
  <si>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</si>
  <si>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</si>
  <si>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</si>
  <si>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</si>
  <si>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</si>
  <si>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</si>
  <si>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</si>
  <si>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</si>
  <si>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</si>
  <si>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</si>
  <si>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</si>
  <si>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</si>
  <si>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</si>
  <si>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</si>
  <si>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</si>
  <si>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</si>
  <si>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</si>
  <si>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</si>
  <si>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</si>
  <si>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</si>
  <si>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</si>
  <si>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8866</t>
  </si>
  <si>
    <t>88660000</t>
  </si>
  <si>
    <t>ערד 8871</t>
  </si>
  <si>
    <t>88710000</t>
  </si>
  <si>
    <t>ערד 8872</t>
  </si>
  <si>
    <t>88720000</t>
  </si>
  <si>
    <t>ערד 8873</t>
  </si>
  <si>
    <t>88730000</t>
  </si>
  <si>
    <t>ערד 8877</t>
  </si>
  <si>
    <t>88770000</t>
  </si>
  <si>
    <t>ערד סדרה 2024  8758  4.8%</t>
  </si>
  <si>
    <t>8287583</t>
  </si>
  <si>
    <t>ערד סדרה 8743  4.8%  2023</t>
  </si>
  <si>
    <t>8287435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</si>
  <si>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</si>
  <si>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</si>
  <si>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</si>
  <si>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</si>
  <si>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</si>
  <si>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</si>
  <si>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</si>
  <si>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</si>
  <si>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</si>
  <si>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</si>
  <si>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</si>
  <si>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</si>
  <si>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</si>
  <si>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</si>
  <si>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</si>
  <si>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</si>
  <si>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</si>
  <si>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</si>
  <si>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</si>
  <si>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</si>
  <si>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</si>
  <si>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</si>
  <si>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8776 2026 4.8%</t>
  </si>
  <si>
    <t>8287765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</si>
  <si>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</si>
  <si>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</si>
  <si>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</si>
  <si>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</si>
  <si>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</si>
  <si>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</si>
  <si>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</si>
  <si>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</si>
  <si>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</si>
  <si>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</si>
  <si>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</si>
  <si>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</si>
  <si>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</si>
  <si>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</si>
  <si>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</si>
  <si>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</si>
  <si>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</si>
  <si>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</si>
  <si>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</si>
  <si>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</si>
  <si>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</si>
  <si>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</si>
  <si>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</si>
  <si>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</si>
  <si>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</si>
  <si>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</si>
  <si>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</si>
  <si>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</si>
  <si>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</si>
  <si>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</si>
  <si>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</si>
  <si>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</si>
  <si>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</si>
  <si>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</si>
  <si>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</si>
  <si>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</si>
  <si>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</si>
  <si>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</si>
  <si>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</si>
  <si>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</si>
  <si>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</si>
  <si>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</si>
  <si>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</si>
  <si>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</si>
  <si>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</si>
  <si>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</si>
  <si>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</si>
  <si>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</si>
  <si>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</si>
  <si>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</si>
  <si>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</si>
  <si>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</si>
  <si>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</si>
  <si>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</si>
  <si>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</si>
  <si>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</si>
  <si>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</si>
  <si>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</si>
  <si>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RUBY PIPELINE 6 04/22</t>
  </si>
  <si>
    <t>BBB-</t>
  </si>
  <si>
    <t>FITCH</t>
  </si>
  <si>
    <t>TRANSED PARTNERS 3.951 09/50 12/37</t>
  </si>
  <si>
    <t>אלון דלק מניה לא סחירה</t>
  </si>
  <si>
    <t>מניה לא סחירה BIG USA*</t>
  </si>
  <si>
    <t>35000</t>
  </si>
  <si>
    <t>514435395</t>
  </si>
  <si>
    <t>צים מניה</t>
  </si>
  <si>
    <t>347283</t>
  </si>
  <si>
    <t xml:space="preserve"> Michelson Program*</t>
  </si>
  <si>
    <t>120 Wall Street*</t>
  </si>
  <si>
    <t>330507</t>
  </si>
  <si>
    <t>180 Livingston equity*</t>
  </si>
  <si>
    <t>45499</t>
  </si>
  <si>
    <t>820 Washington*</t>
  </si>
  <si>
    <t>330506</t>
  </si>
  <si>
    <t>Adgar Invest and Dev Poland</t>
  </si>
  <si>
    <t>BERO CENTER*</t>
  </si>
  <si>
    <t>330500</t>
  </si>
  <si>
    <t>Data Center Atlanta*</t>
  </si>
  <si>
    <t>330509</t>
  </si>
  <si>
    <t>Fenwick*</t>
  </si>
  <si>
    <t>330514</t>
  </si>
  <si>
    <t>MM Texas*</t>
  </si>
  <si>
    <t>386423</t>
  </si>
  <si>
    <t>Project Hush*</t>
  </si>
  <si>
    <t>Sacramento 353*</t>
  </si>
  <si>
    <t>Terraces*</t>
  </si>
  <si>
    <t>Walgreens*</t>
  </si>
  <si>
    <t>330511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</si>
  <si>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</si>
  <si>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</si>
  <si>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</si>
  <si>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</si>
  <si>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</si>
  <si>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</si>
  <si>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</si>
  <si>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Horsley Bridge XII Ventures</t>
  </si>
  <si>
    <t>Strategic Investors Fund VIII LP</t>
  </si>
  <si>
    <t>Portfolio EDGE מקפת</t>
  </si>
  <si>
    <t>53431</t>
  </si>
  <si>
    <t>Waterton Residential P V XIII</t>
  </si>
  <si>
    <t>APCS LP*</t>
  </si>
  <si>
    <t>Apollo Fund IX</t>
  </si>
  <si>
    <t>Apollo Natural Resources Partners II LP</t>
  </si>
  <si>
    <t>CMPVIIC</t>
  </si>
  <si>
    <t>co investment Anesthesia</t>
  </si>
  <si>
    <t>CRECH V</t>
  </si>
  <si>
    <t>Dover Street IX LP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</si>
  <si>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</si>
  <si>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</si>
  <si>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</si>
  <si>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</si>
  <si>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</si>
  <si>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Project Starboard</t>
  </si>
  <si>
    <t>harbourvest Sec gridiron</t>
  </si>
  <si>
    <t>INCLINE   HARBOURVEST A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</si>
  <si>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</si>
  <si>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</si>
  <si>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</si>
  <si>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</si>
  <si>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</si>
  <si>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</si>
  <si>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</si>
  <si>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</si>
  <si>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PCSIII LP</t>
  </si>
  <si>
    <t>project Celtics</t>
  </si>
  <si>
    <t>Senior Loan Fund I A SLP</t>
  </si>
  <si>
    <t>Thoma Bravo Fund XII A  L P</t>
  </si>
  <si>
    <t>VESTCOM</t>
  </si>
  <si>
    <t>Warburg Pincus China LP</t>
  </si>
  <si>
    <t>WestView IV harbourvest</t>
  </si>
  <si>
    <t>windjammer V har A</t>
  </si>
  <si>
    <t>₪ / מט"ח</t>
  </si>
  <si>
    <t>+ILS/-USD 3.4174 05-11-20 (10) -906</t>
  </si>
  <si>
    <t>10002859</t>
  </si>
  <si>
    <t>+ILS/-USD 3.4327 16-11-20 (10) -928</t>
  </si>
  <si>
    <t>10002857</t>
  </si>
  <si>
    <t>+ILS/-USD 3.44 20-05-20 (10) -336</t>
  </si>
  <si>
    <t>10002931</t>
  </si>
  <si>
    <t>+ILS/-USD 3.441 06-05-20 (10) -306</t>
  </si>
  <si>
    <t>10002929</t>
  </si>
  <si>
    <t>+ILS/-USD 3.4429 17-03-20 (12) -221</t>
  </si>
  <si>
    <t>10002926</t>
  </si>
  <si>
    <t>+ILS/-USD 3.4522 25-03-20 (12) -208</t>
  </si>
  <si>
    <t>10002935</t>
  </si>
  <si>
    <t>+ILS/-USD 3.4568 18-03-20 (10) -207</t>
  </si>
  <si>
    <t>10002927</t>
  </si>
  <si>
    <t>+ILS/-USD 3.4673 14-07-20 (10) -627</t>
  </si>
  <si>
    <t>10002898</t>
  </si>
  <si>
    <t>+ILS/-USD 3.4693 14-07-20 (93) -627</t>
  </si>
  <si>
    <t>10002900</t>
  </si>
  <si>
    <t>+ILS/-USD 3.497 19-02-20 (10) -352</t>
  </si>
  <si>
    <t>10002883</t>
  </si>
  <si>
    <t>+ILS/-USD 3.5106 13-02-20 (10) -314</t>
  </si>
  <si>
    <t>10002896</t>
  </si>
  <si>
    <t>+ILS/-USD 3.5117 23-01-20 (12) -173</t>
  </si>
  <si>
    <t>10002913</t>
  </si>
  <si>
    <t>+ILS/-USD 3.5119 20-02-20 (10) -201</t>
  </si>
  <si>
    <t>10002919</t>
  </si>
  <si>
    <t>+ILS/-USD 3.5173 04-02-20 (10) -327</t>
  </si>
  <si>
    <t>10002881</t>
  </si>
  <si>
    <t>+ILS/-USD 3.53 18-06-20 (10) -680</t>
  </si>
  <si>
    <t>10002847</t>
  </si>
  <si>
    <t>+ILS/-USD 3.5335 04-06-20 (12) -785</t>
  </si>
  <si>
    <t>10002832</t>
  </si>
  <si>
    <t>+ILS/-USD 3.552 02-06-20 (10) -800</t>
  </si>
  <si>
    <t>10002830</t>
  </si>
  <si>
    <t>+USD/-ILS 3.468 23-01-20 (12) -120</t>
  </si>
  <si>
    <t>10002924</t>
  </si>
  <si>
    <t>+USD/-ILS 3.5116 23-01-20 (10) -154</t>
  </si>
  <si>
    <t>10002915</t>
  </si>
  <si>
    <t>+EUR/-USD 1.11132 21-01-20 (20) +37.2</t>
  </si>
  <si>
    <t>10000093</t>
  </si>
  <si>
    <t>+EUR/-USD 1.12206 27-01-20 (12) +20.6</t>
  </si>
  <si>
    <t>10002939</t>
  </si>
  <si>
    <t>+EUR/-USD 1.12285 21-01-20 (20) +128.5</t>
  </si>
  <si>
    <t>10000051</t>
  </si>
  <si>
    <t>+EUR/-USD 1.12406 21-01-20 (12) +125.6</t>
  </si>
  <si>
    <t>10000056</t>
  </si>
  <si>
    <t>+GBP/-USD 1.29285 23-04-20 (10) +70.5</t>
  </si>
  <si>
    <t>10002911</t>
  </si>
  <si>
    <t>+GBP/-USD 1.2946 02-03-20 (10) +54</t>
  </si>
  <si>
    <t>10002909</t>
  </si>
  <si>
    <t>+GBP/-USD 1.3425 23-04-20 (10) +53</t>
  </si>
  <si>
    <t>10002936</t>
  </si>
  <si>
    <t>+JPY/-USD 107.065 26-05-20 (12) -136.5</t>
  </si>
  <si>
    <t>10002921</t>
  </si>
  <si>
    <t>+JPY/-USD 108.3 26-05-20 (12) -85</t>
  </si>
  <si>
    <t>10002940</t>
  </si>
  <si>
    <t>+USD/-CAD 1.3072 18-02-20 (10) -38</t>
  </si>
  <si>
    <t>10002854</t>
  </si>
  <si>
    <t>+USD/-CAD 1.33546 09-01-20 (10) -49.4</t>
  </si>
  <si>
    <t>10002834</t>
  </si>
  <si>
    <t>+USD/-EUR 1.10684 12-03-20 (20) +121.4</t>
  </si>
  <si>
    <t>10000067</t>
  </si>
  <si>
    <t>+USD/-EUR 1.108 12-03-20 (12) +117</t>
  </si>
  <si>
    <t>10000070</t>
  </si>
  <si>
    <t>+USD/-EUR 1.1105 21-01-20 (20) +73</t>
  </si>
  <si>
    <t>10000073</t>
  </si>
  <si>
    <t>+USD/-EUR 1.1108 21-01-20 (12) +73</t>
  </si>
  <si>
    <t>10000072</t>
  </si>
  <si>
    <t>+USD/-EUR 1.1123 04-05-20 (12) +153</t>
  </si>
  <si>
    <t>10000069</t>
  </si>
  <si>
    <t>+USD/-EUR 1.1123 04-05-20 (20) +153</t>
  </si>
  <si>
    <t>10000068</t>
  </si>
  <si>
    <t>+USD/-EUR 1.11272 12-03-20 (12) +107.2</t>
  </si>
  <si>
    <t>10000071</t>
  </si>
  <si>
    <t>+USD/-EUR 1.11335 20-04-20 (10) +176.5</t>
  </si>
  <si>
    <t>10002895</t>
  </si>
  <si>
    <t>+USD/-EUR 1.1143 20-04-20 (10) +161</t>
  </si>
  <si>
    <t>10002902</t>
  </si>
  <si>
    <t>+USD/-EUR 1.11933 05-03-20 (20) +98.3</t>
  </si>
  <si>
    <t>10000081</t>
  </si>
  <si>
    <t>+USD/-EUR 1.1218 04-05-20 (12) +193</t>
  </si>
  <si>
    <t>10000061</t>
  </si>
  <si>
    <t>+USD/-EUR 1.12187 04-05-20 (20) +193.7</t>
  </si>
  <si>
    <t>10000063</t>
  </si>
  <si>
    <t>+USD/-EUR 1.1224 20-04-20 (10) +119</t>
  </si>
  <si>
    <t>10002922</t>
  </si>
  <si>
    <t>+USD/-EUR 1.12275 05-03-20 (12) +100.5</t>
  </si>
  <si>
    <t>10000077</t>
  </si>
  <si>
    <t>+USD/-EUR 1.12321 29-06-20 (10) +142.1</t>
  </si>
  <si>
    <t>10002933</t>
  </si>
  <si>
    <t>+USD/-EUR 1.12345 12-03-20 (12) +105.5</t>
  </si>
  <si>
    <t>10000079</t>
  </si>
  <si>
    <t>+USD/-EUR 1.12355 05-03-20 (12) +100.5</t>
  </si>
  <si>
    <t>10000076</t>
  </si>
  <si>
    <t>+USD/-EUR 1.12505 04-05-20 (12) +136.5</t>
  </si>
  <si>
    <t>10000084</t>
  </si>
  <si>
    <t>+USD/-EUR 1.1274 21-01-20 (12) +155</t>
  </si>
  <si>
    <t>10000032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</si>
  <si>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</si>
  <si>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</si>
  <si>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</si>
  <si>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</si>
  <si>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</si>
  <si>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10000035</t>
  </si>
  <si>
    <t>+USD/-EUR 1.147715 30-03-20 (10) +239.15</t>
  </si>
  <si>
    <t>10002839</t>
  </si>
  <si>
    <t>+USD/-EUR 1.14825 30-03-20 (12) +239.9</t>
  </si>
  <si>
    <t>10002841</t>
  </si>
  <si>
    <t>+USD/-EUR 1.15135 13-01-20 (10) +189.5</t>
  </si>
  <si>
    <t>10002836</t>
  </si>
  <si>
    <t>+USD/-EUR 1.15185 27-01-20 (12) +197.5</t>
  </si>
  <si>
    <t>10002837</t>
  </si>
  <si>
    <t>+USD/-EUR 1.16125 27-04-20 (10) +250.5</t>
  </si>
  <si>
    <t>10002850</t>
  </si>
  <si>
    <t>+USD/-EUR 1.16395 27-04-20 (10) +249.5</t>
  </si>
  <si>
    <t>10002846</t>
  </si>
  <si>
    <t>+USD/-GBP 1.23637 23-04-20 (10) +97.7</t>
  </si>
  <si>
    <t>10002887</t>
  </si>
  <si>
    <t>+USD/-GBP 1.23785 18-05-20 (10) +88.5</t>
  </si>
  <si>
    <t>10002904</t>
  </si>
  <si>
    <t>+USD/-GBP 1.23814 18-05-20 (12) +88.4</t>
  </si>
  <si>
    <t>10002906</t>
  </si>
  <si>
    <t>+USD/-GBP 1.28271 02-03-20 (10) +117.1</t>
  </si>
  <si>
    <t>10002849</t>
  </si>
  <si>
    <t>+USD/-JPY 107.05 26-05-20 (12) -135</t>
  </si>
  <si>
    <t>10002917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</si>
  <si>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</si>
  <si>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</si>
  <si>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</si>
  <si>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</si>
  <si>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</si>
  <si>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</si>
  <si>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</si>
  <si>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</si>
  <si>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34112000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</si>
  <si>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</si>
  <si>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</si>
  <si>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</si>
  <si>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</si>
  <si>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</si>
  <si>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</si>
  <si>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</si>
  <si>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</si>
  <si>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30312000</t>
  </si>
  <si>
    <t>31712000</t>
  </si>
  <si>
    <t>30212000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</si>
  <si>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</si>
  <si>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</si>
  <si>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</si>
  <si>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</si>
  <si>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</si>
  <si>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</si>
  <si>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</si>
  <si>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</si>
  <si>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</si>
  <si>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</si>
  <si>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</si>
  <si>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</si>
  <si>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</si>
  <si>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</si>
  <si>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34520000</t>
  </si>
  <si>
    <t>31720000</t>
  </si>
  <si>
    <t>31220000</t>
  </si>
  <si>
    <t>34020000</t>
  </si>
  <si>
    <t>32011000</t>
  </si>
  <si>
    <t>30311000</t>
  </si>
  <si>
    <t>30211000</t>
  </si>
  <si>
    <t>30326000</t>
  </si>
  <si>
    <t>UBS</t>
  </si>
  <si>
    <t>30391000</t>
  </si>
  <si>
    <t>32091000</t>
  </si>
  <si>
    <t>31791000</t>
  </si>
  <si>
    <t>30291000</t>
  </si>
  <si>
    <t>סוויסקי</t>
  </si>
  <si>
    <t>31796000</t>
  </si>
  <si>
    <t>דירוג פנימי</t>
  </si>
  <si>
    <t>30396000</t>
  </si>
  <si>
    <t>כן</t>
  </si>
  <si>
    <t>90148620</t>
  </si>
  <si>
    <t>90148621</t>
  </si>
  <si>
    <t>90148622</t>
  </si>
  <si>
    <t>90148623</t>
  </si>
  <si>
    <t>90148624</t>
  </si>
  <si>
    <t>90150400</t>
  </si>
  <si>
    <t>90150520</t>
  </si>
  <si>
    <t>לא</t>
  </si>
  <si>
    <t>14811160</t>
  </si>
  <si>
    <t>AA</t>
  </si>
  <si>
    <t>14760843</t>
  </si>
  <si>
    <t>11898602</t>
  </si>
  <si>
    <t>11898601</t>
  </si>
  <si>
    <t>11898600</t>
  </si>
  <si>
    <t>11898603</t>
  </si>
  <si>
    <t>11898604</t>
  </si>
  <si>
    <t>11898606</t>
  </si>
  <si>
    <t>11898607</t>
  </si>
  <si>
    <t>11898608</t>
  </si>
  <si>
    <t>11898557</t>
  </si>
  <si>
    <t>11898558</t>
  </si>
  <si>
    <t>11898559</t>
  </si>
  <si>
    <t>472710</t>
  </si>
  <si>
    <t>AA-</t>
  </si>
  <si>
    <t>90145563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</si>
  <si>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</si>
  <si>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</si>
  <si>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</si>
  <si>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</si>
  <si>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</si>
  <si>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</si>
  <si>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</si>
  <si>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</si>
  <si>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</si>
  <si>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</si>
  <si>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</si>
  <si>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</si>
  <si>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</si>
  <si>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</si>
  <si>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</si>
  <si>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</si>
  <si>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</si>
  <si>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</si>
  <si>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</si>
  <si>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</si>
  <si>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</si>
  <si>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</si>
  <si>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</si>
  <si>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A+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</si>
  <si>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</si>
  <si>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</si>
  <si>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</si>
  <si>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</si>
  <si>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</si>
  <si>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</si>
  <si>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</si>
  <si>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</si>
  <si>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</si>
  <si>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</si>
  <si>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465782</t>
  </si>
  <si>
    <t>467404</t>
  </si>
  <si>
    <t>91102700</t>
  </si>
  <si>
    <t>A</t>
  </si>
  <si>
    <t>91102701</t>
  </si>
  <si>
    <t>91040003</t>
  </si>
  <si>
    <t>91040006</t>
  </si>
  <si>
    <t>91040009</t>
  </si>
  <si>
    <t>66679</t>
  </si>
  <si>
    <t>91040011</t>
  </si>
  <si>
    <t>455954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</si>
  <si>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</si>
  <si>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</si>
  <si>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</si>
  <si>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</si>
  <si>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</si>
  <si>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</si>
  <si>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</si>
  <si>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</si>
  <si>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</si>
  <si>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</si>
  <si>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</si>
  <si>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</si>
  <si>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</si>
  <si>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</si>
  <si>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</si>
  <si>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</si>
  <si>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</si>
  <si>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</si>
  <si>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</si>
  <si>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</si>
  <si>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</si>
  <si>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</si>
  <si>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</si>
  <si>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</si>
  <si>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</si>
  <si>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</si>
  <si>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</si>
  <si>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</si>
  <si>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</si>
  <si>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</si>
  <si>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</si>
  <si>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</si>
  <si>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</si>
  <si>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</si>
  <si>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</si>
  <si>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</si>
  <si>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90320004</t>
  </si>
  <si>
    <t>90310010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</si>
  <si>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</si>
  <si>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</si>
  <si>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</si>
  <si>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</si>
  <si>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</si>
  <si>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</si>
  <si>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</si>
  <si>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</si>
  <si>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</si>
  <si>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90145362</t>
  </si>
  <si>
    <t>90141407</t>
  </si>
  <si>
    <t>Baa1.il</t>
  </si>
  <si>
    <t>90800100</t>
  </si>
  <si>
    <t>D</t>
  </si>
  <si>
    <t>487447</t>
  </si>
  <si>
    <t>487557</t>
  </si>
  <si>
    <t>487556</t>
  </si>
  <si>
    <t>474437</t>
  </si>
  <si>
    <t>474436</t>
  </si>
  <si>
    <t>נדלן מקרקעין להשכרה - מגדל צ'מפיון</t>
  </si>
  <si>
    <t>השכרה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</si>
  <si>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</si>
  <si>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</si>
  <si>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</si>
  <si>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</si>
  <si>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</si>
  <si>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</si>
  <si>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</si>
  <si>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</si>
  <si>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</si>
  <si>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</si>
  <si>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</si>
  <si>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</si>
  <si>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</si>
  <si>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</si>
  <si>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</si>
  <si>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טרמינל  פארק אור יהודה בניין B</t>
  </si>
  <si>
    <t>נדלן מגדלי הסיבים פת-עלות-לא מניב</t>
  </si>
  <si>
    <t>נדלן פסגות ירושלים</t>
  </si>
  <si>
    <t>מרכז מסחרי, שכונת רוממה, ירושלים</t>
  </si>
  <si>
    <t>קרדן אן.וי אגח ב חש 2/18</t>
  </si>
  <si>
    <t>1143270</t>
  </si>
  <si>
    <t>A-</t>
  </si>
  <si>
    <t>S&amp;P</t>
  </si>
  <si>
    <t>אג"ח</t>
  </si>
  <si>
    <t>Citymark Building*</t>
  </si>
  <si>
    <t>Enlight</t>
  </si>
  <si>
    <t>Orbimed  II</t>
  </si>
  <si>
    <t>סה"כ יתרות התחייבות להשקעה</t>
  </si>
  <si>
    <t>סה"כ בחו"ל</t>
  </si>
  <si>
    <t>apollo  II</t>
  </si>
  <si>
    <t>ARES private credit solutions</t>
  </si>
  <si>
    <t>Bluebay SLFI</t>
  </si>
  <si>
    <t>Crescent mezzanine VII</t>
  </si>
  <si>
    <t>harbourvest DOVER</t>
  </si>
  <si>
    <t>HARBOURVEST incline</t>
  </si>
  <si>
    <t>HARBOURVEST pamlico</t>
  </si>
  <si>
    <t>HARBOURVEST project Celtics</t>
  </si>
  <si>
    <t>harbourvest ח-ן מנוהל</t>
  </si>
  <si>
    <t>Migdal-HarbourVes project Draco</t>
  </si>
  <si>
    <t>Migdal-HarbourVest Project Saxa</t>
  </si>
  <si>
    <t>Permira</t>
  </si>
  <si>
    <t>SVB VIII</t>
  </si>
  <si>
    <t>THOMA BRAVO XII</t>
  </si>
  <si>
    <t>Warburg Pincus China I</t>
  </si>
  <si>
    <t>waterton</t>
  </si>
  <si>
    <t>גורם 111</t>
  </si>
  <si>
    <t>גורם 151</t>
  </si>
  <si>
    <t>גורם 80</t>
  </si>
  <si>
    <t>גורם 98</t>
  </si>
  <si>
    <t>גורם 105</t>
  </si>
  <si>
    <t>גורם 43</t>
  </si>
  <si>
    <t>גורם 104</t>
  </si>
  <si>
    <t>מובטחות משכנתא - גורם 01</t>
  </si>
  <si>
    <t>בבטחונות אחרים - גורם 80</t>
  </si>
  <si>
    <t>בבטחונות אחרים-גורם 7</t>
  </si>
  <si>
    <t>בבטחונות אחרים - גורם 29</t>
  </si>
  <si>
    <t>בבטחונות אחרים-גורם 29</t>
  </si>
  <si>
    <t>בבטחונות אחרים - גורם 111</t>
  </si>
  <si>
    <t>בבטחונות אחרים-גורם 75</t>
  </si>
  <si>
    <t>בבטחונות אחרים-גורם 63</t>
  </si>
  <si>
    <t>בבטחונות אחרים - גורם 37</t>
  </si>
  <si>
    <t>בבטחונות אחרים-גורם 62</t>
  </si>
  <si>
    <t>בבטחונות אחרים-גורם 64</t>
  </si>
  <si>
    <t>בבטחונות אחרים-גורם 35</t>
  </si>
  <si>
    <t>בבטחונות אחרים - גורם 147</t>
  </si>
  <si>
    <t>בבטחונות אחרים-גורם 41</t>
  </si>
  <si>
    <t>בבטחונות אחרים - גורם 41</t>
  </si>
  <si>
    <t>בבטחונות אחרים-גורם 33</t>
  </si>
  <si>
    <t>בבטחונות אחרים-גורם 105</t>
  </si>
  <si>
    <t>בבטחונות אחרים - גורם 40</t>
  </si>
  <si>
    <t>בבטחונות אחרים - גורם 81</t>
  </si>
  <si>
    <t>בבטחונות אחרים - גורם 96</t>
  </si>
  <si>
    <t>בבטחונות אחרים - גורם 38</t>
  </si>
  <si>
    <t>בבטחונות אחרים - גורם 98*</t>
  </si>
  <si>
    <t>בבטחונות אחרים - גורם 89</t>
  </si>
  <si>
    <t>בבטחונות אחרים-גורם 38</t>
  </si>
  <si>
    <t>בבטחונות אחרים - גורם 76</t>
  </si>
  <si>
    <t>בבטחונות אחרים - גורם 30</t>
  </si>
  <si>
    <t>בבטחונות אחרים - גורם 47</t>
  </si>
  <si>
    <t>בבטחונות אחרים-גורם 78</t>
  </si>
  <si>
    <t>בבטחונות אחרים-גורם 77</t>
  </si>
  <si>
    <t>בבטחונות אחרים-גורם 43</t>
  </si>
  <si>
    <t>בבטחונות אחרים - גורם 43</t>
  </si>
  <si>
    <t>בבטחונות אחרים - גורם 104</t>
  </si>
  <si>
    <t>בבטחונות אחרים - גורם 90</t>
  </si>
  <si>
    <t>בבטחונות אחרים-גורם 70</t>
  </si>
  <si>
    <t>בבטחונות אחרים - גורם 14*</t>
  </si>
  <si>
    <t>בבטחונות אחרים-גורם 84</t>
  </si>
  <si>
    <t>בבטחונות אחרים - גורם 91</t>
  </si>
  <si>
    <t>בבטחונות אחרים - גורם 86</t>
  </si>
  <si>
    <t>בבטחונות אחרים - גורם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</si>
</sst>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  <numFmt numFmtId="170" formatCode="0.0%"/>
    <numFmt numFmtId="171" formatCode="_ * #,##0_ ;_ * \-#,##0_ ;_ * &quot;-&quot;??_ ;_ @_ 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4" fontId="28" fillId="0" borderId="28" xfId="0" applyNumberFormat="1" applyFont="1" applyFill="1" applyBorder="1" applyAlignment="1">
      <alignment horizontal="right"/>
    </xf>
    <xf numFmtId="167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8" fillId="0" borderId="30" xfId="0" applyFont="1" applyFill="1" applyBorder="1" applyAlignment="1">
      <alignment horizontal="right" indent="1"/>
    </xf>
    <xf numFmtId="0" fontId="28" fillId="0" borderId="30" xfId="0" applyFont="1" applyFill="1" applyBorder="1" applyAlignment="1">
      <alignment horizontal="right" indent="2"/>
    </xf>
    <xf numFmtId="0" fontId="27" fillId="0" borderId="30" xfId="0" applyFont="1" applyFill="1" applyBorder="1" applyAlignment="1">
      <alignment horizontal="right" indent="3"/>
    </xf>
    <xf numFmtId="0" fontId="27" fillId="0" borderId="30" xfId="0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164" fontId="5" fillId="0" borderId="31" xfId="13" applyFont="1" applyBorder="1" applyAlignment="1">
      <alignment horizontal="right"/>
    </xf>
    <xf numFmtId="10" fontId="5" fillId="0" borderId="31" xfId="14" applyNumberFormat="1" applyFont="1" applyBorder="1" applyAlignment="1">
      <alignment horizontal="center"/>
    </xf>
    <xf numFmtId="2" fontId="5" fillId="0" borderId="31" xfId="7" applyNumberFormat="1" applyFont="1" applyBorder="1" applyAlignment="1">
      <alignment horizontal="right"/>
    </xf>
    <xf numFmtId="169" fontId="5" fillId="0" borderId="31" xfId="7" applyNumberFormat="1" applyFont="1" applyBorder="1" applyAlignment="1">
      <alignment horizontal="center"/>
    </xf>
    <xf numFmtId="49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30" fillId="0" borderId="0" xfId="5" applyNumberFormat="1" applyFont="1" applyFill="1" applyBorder="1" applyAlignment="1" applyProtection="1">
      <alignment horizontal="right"/>
      <protection locked="0"/>
    </xf>
    <xf numFmtId="170" fontId="31" fillId="0" borderId="0" xfId="14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 applyProtection="1">
      <alignment horizontal="right"/>
      <protection locked="0"/>
    </xf>
    <xf numFmtId="49" fontId="29" fillId="0" borderId="0" xfId="0" applyNumberFormat="1" applyFont="1" applyFill="1" applyBorder="1" applyAlignment="1">
      <alignment horizontal="right"/>
    </xf>
    <xf numFmtId="10" fontId="30" fillId="0" borderId="0" xfId="15" applyNumberFormat="1" applyFont="1" applyFill="1" applyAlignment="1">
      <alignment horizontal="center" vertical="center" wrapText="1"/>
    </xf>
    <xf numFmtId="10" fontId="27" fillId="0" borderId="0" xfId="14" applyNumberFormat="1" applyFont="1" applyFill="1" applyBorder="1" applyAlignment="1">
      <alignment horizontal="right"/>
    </xf>
    <xf numFmtId="10" fontId="27" fillId="0" borderId="0" xfId="15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10" fontId="29" fillId="0" borderId="0" xfId="15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164" fontId="5" fillId="0" borderId="31" xfId="13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Percent 3" xfId="15"/>
    <cellStyle name="Text" xfId="9"/>
    <cellStyle name="Total" xfId="10"/>
    <cellStyle name="היפר-קישור" xfId="11" builtinId="8"/>
  </cellStyles>
  <dxfs count="159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499;&#1505;&#1508;&#1497;/&#1512;&#1513;&#1497;&#1502;&#1493;&#1514;%20&#1504;&#1499;&#1505;&#1497;&#1501;/2019/12-19/&#1512;&#1513;&#1497;&#1502;&#1514;%20&#1504;&#1499;&#1505;&#1497;&#1501;%20&#1512;&#1488;&#1513;&#1493;&#1504;&#1497;&#1514;%2031.01.2020/&#1492;&#1514;&#1488;&#1502;&#1493;&#1514;%20&#1500;&#1512;&#1513;&#1497;&#1502;&#1493;&#1514;%20&#1504;&#1499;&#1505;&#1497;&#1501;%20&#1512;&#1488;&#1513;&#1493;&#1504;&#1497;&#1493;&#1514;%2012-19/&#1511;&#1489;&#1510;&#1497;&#1501;%20&#1500;&#1491;&#1497;&#1493;&#1493;&#1495;%2012-19/&#1488;&#1497;&#1513;&#1497;&#1514;%20&#1500;&#1491;&#1497;&#1493;&#1493;&#1495;%2012-19/512237744_p2207_0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 refreshError="1">
        <row r="42">
          <cell r="C42">
            <v>3634985.0539854369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57" t="s">
        <v>181</v>
      </c>
      <c r="C1" s="78" t="s" vm="1">
        <v>262</v>
      </c>
    </row>
    <row r="2" spans="1:23">
      <c r="B2" s="57" t="s">
        <v>180</v>
      </c>
      <c r="C2" s="78" t="s">
        <v>263</v>
      </c>
    </row>
    <row r="3" spans="1:23">
      <c r="B3" s="57" t="s">
        <v>182</v>
      </c>
      <c r="C3" s="78" t="s">
        <v>264</v>
      </c>
    </row>
    <row r="4" spans="1:23">
      <c r="B4" s="57" t="s">
        <v>183</v>
      </c>
      <c r="C4" s="78">
        <v>2207</v>
      </c>
    </row>
    <row r="6" spans="1:23" ht="26.25" customHeight="1">
      <c r="B6" s="143" t="s">
        <v>197</v>
      </c>
      <c r="C6" s="144"/>
      <c r="D6" s="145"/>
    </row>
    <row r="7" spans="1:23" s="10" customFormat="1">
      <c r="B7" s="23"/>
      <c r="C7" s="24" t="s">
        <v>112</v>
      </c>
      <c r="D7" s="25" t="s">
        <v>110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3"/>
      <c r="C8" s="26" t="s">
        <v>243</v>
      </c>
      <c r="D8" s="27" t="s">
        <v>20</v>
      </c>
    </row>
    <row r="9" spans="1:23" s="11" customFormat="1" ht="18" customHeight="1">
      <c r="B9" s="37"/>
      <c r="C9" s="20" t="s">
        <v>1</v>
      </c>
      <c r="D9" s="28" t="s">
        <v>2</v>
      </c>
    </row>
    <row r="10" spans="1:23" s="11" customFormat="1" ht="18" customHeight="1">
      <c r="B10" s="67" t="s">
        <v>196</v>
      </c>
      <c r="C10" s="115">
        <f>C11+C12+C23+C33+C35+C37</f>
        <v>3634985.0539854369</v>
      </c>
      <c r="D10" s="116">
        <f>C10/$C$42</f>
        <v>1</v>
      </c>
    </row>
    <row r="11" spans="1:23">
      <c r="A11" s="45" t="s">
        <v>143</v>
      </c>
      <c r="B11" s="29" t="s">
        <v>198</v>
      </c>
      <c r="C11" s="115">
        <f>מזומנים!J10</f>
        <v>65345.939729671998</v>
      </c>
      <c r="D11" s="116">
        <f t="shared" ref="D11:D13" si="0">C11/$C$42</f>
        <v>1.7976948669438407E-2</v>
      </c>
    </row>
    <row r="12" spans="1:23">
      <c r="B12" s="29" t="s">
        <v>199</v>
      </c>
      <c r="C12" s="115">
        <f>C13+C15+C16+C17+C18+C19+C20+C21</f>
        <v>1139193.9530146061</v>
      </c>
      <c r="D12" s="116">
        <f t="shared" si="0"/>
        <v>0.31339714912048444</v>
      </c>
    </row>
    <row r="13" spans="1:23">
      <c r="A13" s="55" t="s">
        <v>143</v>
      </c>
      <c r="B13" s="30" t="s">
        <v>69</v>
      </c>
      <c r="C13" s="115">
        <f>'תעודות התחייבות ממשלתיות'!O11</f>
        <v>979688.30943486409</v>
      </c>
      <c r="D13" s="116">
        <f t="shared" si="0"/>
        <v>0.26951646152182201</v>
      </c>
    </row>
    <row r="14" spans="1:23">
      <c r="A14" s="55" t="s">
        <v>143</v>
      </c>
      <c r="B14" s="30" t="s">
        <v>70</v>
      </c>
      <c r="C14" s="115" t="s" vm="2">
        <v>1970</v>
      </c>
      <c r="D14" s="116" t="s" vm="3">
        <v>1970</v>
      </c>
    </row>
    <row r="15" spans="1:23">
      <c r="A15" s="55" t="s">
        <v>143</v>
      </c>
      <c r="B15" s="30" t="s">
        <v>71</v>
      </c>
      <c r="C15" s="115">
        <f>'אג"ח קונצרני'!R11</f>
        <v>91929.967464322996</v>
      </c>
      <c r="D15" s="116">
        <f t="shared" ref="D15:D21" si="1">C15/$C$42</f>
        <v>2.5290328873162762E-2</v>
      </c>
    </row>
    <row r="16" spans="1:23">
      <c r="A16" s="55" t="s">
        <v>143</v>
      </c>
      <c r="B16" s="30" t="s">
        <v>72</v>
      </c>
      <c r="C16" s="115">
        <f>מניות!L11</f>
        <v>36121.474538132003</v>
      </c>
      <c r="D16" s="116">
        <f t="shared" si="1"/>
        <v>9.9371727810897131E-3</v>
      </c>
    </row>
    <row r="17" spans="1:4">
      <c r="A17" s="55" t="s">
        <v>143</v>
      </c>
      <c r="B17" s="30" t="s">
        <v>256</v>
      </c>
      <c r="C17" s="115">
        <f>'קרנות סל'!K11</f>
        <v>28080.648084525012</v>
      </c>
      <c r="D17" s="116">
        <f t="shared" si="1"/>
        <v>7.7251068897070388E-3</v>
      </c>
    </row>
    <row r="18" spans="1:4">
      <c r="A18" s="55" t="s">
        <v>143</v>
      </c>
      <c r="B18" s="30" t="s">
        <v>73</v>
      </c>
      <c r="C18" s="115">
        <f>'קרנות נאמנות'!L11</f>
        <v>2900.6105901689994</v>
      </c>
      <c r="D18" s="116">
        <f t="shared" si="1"/>
        <v>7.9797043098945859E-4</v>
      </c>
    </row>
    <row r="19" spans="1:4">
      <c r="A19" s="55" t="s">
        <v>143</v>
      </c>
      <c r="B19" s="30" t="s">
        <v>74</v>
      </c>
      <c r="C19" s="115">
        <f>'כתבי אופציה'!I11</f>
        <v>3.2337972549999998</v>
      </c>
      <c r="D19" s="116">
        <f t="shared" si="1"/>
        <v>8.896315134650773E-7</v>
      </c>
    </row>
    <row r="20" spans="1:4">
      <c r="A20" s="55" t="s">
        <v>143</v>
      </c>
      <c r="B20" s="30" t="s">
        <v>75</v>
      </c>
      <c r="C20" s="115">
        <f>אופציות!I11</f>
        <v>26.312533836999997</v>
      </c>
      <c r="D20" s="116">
        <f t="shared" si="1"/>
        <v>7.2386910664599984E-6</v>
      </c>
    </row>
    <row r="21" spans="1:4">
      <c r="A21" s="55" t="s">
        <v>143</v>
      </c>
      <c r="B21" s="30" t="s">
        <v>76</v>
      </c>
      <c r="C21" s="115">
        <f>'חוזים עתידיים'!I11</f>
        <v>443.39657150100004</v>
      </c>
      <c r="D21" s="116">
        <f t="shared" si="1"/>
        <v>1.219803011335233E-4</v>
      </c>
    </row>
    <row r="22" spans="1:4">
      <c r="A22" s="55" t="s">
        <v>143</v>
      </c>
      <c r="B22" s="30" t="s">
        <v>77</v>
      </c>
      <c r="C22" s="115" t="s" vm="4">
        <v>1970</v>
      </c>
      <c r="D22" s="116" t="s" vm="5">
        <v>1970</v>
      </c>
    </row>
    <row r="23" spans="1:4">
      <c r="B23" s="29" t="s">
        <v>200</v>
      </c>
      <c r="C23" s="115">
        <f>C24+C26+C27+C28+C31</f>
        <v>2319772.9061558046</v>
      </c>
      <c r="D23" s="116">
        <f>C23/$C$42</f>
        <v>0.6381794895174</v>
      </c>
    </row>
    <row r="24" spans="1:4">
      <c r="A24" s="55" t="s">
        <v>143</v>
      </c>
      <c r="B24" s="30" t="s">
        <v>78</v>
      </c>
      <c r="C24" s="115">
        <f>'לא סחיר- תעודות התחייבות ממשלתי'!M11</f>
        <v>2193928.2031699996</v>
      </c>
      <c r="D24" s="116">
        <f>C24/$C$42</f>
        <v>0.60355907124420027</v>
      </c>
    </row>
    <row r="25" spans="1:4">
      <c r="A25" s="55" t="s">
        <v>143</v>
      </c>
      <c r="B25" s="30" t="s">
        <v>79</v>
      </c>
      <c r="C25" s="115" t="s" vm="6">
        <v>1970</v>
      </c>
      <c r="D25" s="116" t="s" vm="7">
        <v>1970</v>
      </c>
    </row>
    <row r="26" spans="1:4">
      <c r="A26" s="55" t="s">
        <v>143</v>
      </c>
      <c r="B26" s="30" t="s">
        <v>71</v>
      </c>
      <c r="C26" s="115">
        <f>'לא סחיר - אג"ח קונצרני'!P11</f>
        <v>58103.845820000002</v>
      </c>
      <c r="D26" s="116">
        <f t="shared" ref="D26:D28" si="2">C26/$C$42</f>
        <v>1.5984617531314006E-2</v>
      </c>
    </row>
    <row r="27" spans="1:4">
      <c r="A27" s="55" t="s">
        <v>143</v>
      </c>
      <c r="B27" s="30" t="s">
        <v>80</v>
      </c>
      <c r="C27" s="115">
        <f>'לא סחיר - מניות'!J11</f>
        <v>20108.734270000004</v>
      </c>
      <c r="D27" s="116">
        <f t="shared" si="2"/>
        <v>5.5319991613039981E-3</v>
      </c>
    </row>
    <row r="28" spans="1:4">
      <c r="A28" s="55" t="s">
        <v>143</v>
      </c>
      <c r="B28" s="30" t="s">
        <v>81</v>
      </c>
      <c r="C28" s="115">
        <f>'לא סחיר - קרנות השקעה'!H11</f>
        <v>46594.691960000011</v>
      </c>
      <c r="D28" s="116">
        <f t="shared" si="2"/>
        <v>1.2818399874550539E-2</v>
      </c>
    </row>
    <row r="29" spans="1:4">
      <c r="A29" s="55" t="s">
        <v>143</v>
      </c>
      <c r="B29" s="30" t="s">
        <v>82</v>
      </c>
      <c r="C29" s="115" t="s" vm="8">
        <v>1970</v>
      </c>
      <c r="D29" s="116" t="s" vm="9">
        <v>1970</v>
      </c>
    </row>
    <row r="30" spans="1:4">
      <c r="A30" s="55" t="s">
        <v>143</v>
      </c>
      <c r="B30" s="30" t="s">
        <v>223</v>
      </c>
      <c r="C30" s="115" t="s" vm="10">
        <v>1970</v>
      </c>
      <c r="D30" s="116" t="s" vm="11">
        <v>1970</v>
      </c>
    </row>
    <row r="31" spans="1:4">
      <c r="A31" s="55" t="s">
        <v>143</v>
      </c>
      <c r="B31" s="30" t="s">
        <v>106</v>
      </c>
      <c r="C31" s="115">
        <f>'לא סחיר - חוזים עתידיים'!I11</f>
        <v>1037.430935805</v>
      </c>
      <c r="D31" s="116">
        <f>C31/$C$42</f>
        <v>2.8540170603110171E-4</v>
      </c>
    </row>
    <row r="32" spans="1:4">
      <c r="A32" s="55" t="s">
        <v>143</v>
      </c>
      <c r="B32" s="30" t="s">
        <v>83</v>
      </c>
      <c r="C32" s="115" t="s" vm="12">
        <v>1970</v>
      </c>
      <c r="D32" s="116" t="s" vm="13">
        <v>1970</v>
      </c>
    </row>
    <row r="33" spans="1:4">
      <c r="A33" s="55" t="s">
        <v>143</v>
      </c>
      <c r="B33" s="29" t="s">
        <v>201</v>
      </c>
      <c r="C33" s="115">
        <f>הלוואות!O10</f>
        <v>91042.474149999995</v>
      </c>
      <c r="D33" s="116">
        <f>C33/$C$42</f>
        <v>2.5046175650758191E-2</v>
      </c>
    </row>
    <row r="34" spans="1:4">
      <c r="A34" s="55" t="s">
        <v>143</v>
      </c>
      <c r="B34" s="29" t="s">
        <v>202</v>
      </c>
      <c r="C34" s="115" t="s" vm="14">
        <v>1970</v>
      </c>
      <c r="D34" s="116" t="s" vm="15">
        <v>1970</v>
      </c>
    </row>
    <row r="35" spans="1:4">
      <c r="A35" s="55" t="s">
        <v>143</v>
      </c>
      <c r="B35" s="29" t="s">
        <v>203</v>
      </c>
      <c r="C35" s="115">
        <f>'זכויות מקרקעין'!G10</f>
        <v>19620.114719999998</v>
      </c>
      <c r="D35" s="116">
        <f>C35/$C$42</f>
        <v>5.3975778245603217E-3</v>
      </c>
    </row>
    <row r="36" spans="1:4">
      <c r="A36" s="55" t="s">
        <v>143</v>
      </c>
      <c r="B36" s="56" t="s">
        <v>204</v>
      </c>
      <c r="C36" s="115" t="s" vm="16">
        <v>1970</v>
      </c>
      <c r="D36" s="116" t="s" vm="17">
        <v>1970</v>
      </c>
    </row>
    <row r="37" spans="1:4">
      <c r="A37" s="55" t="s">
        <v>143</v>
      </c>
      <c r="B37" s="29" t="s">
        <v>205</v>
      </c>
      <c r="C37" s="115">
        <f>'השקעות אחרות '!I10</f>
        <v>9.6662153540000002</v>
      </c>
      <c r="D37" s="116">
        <f>C37/$C$42</f>
        <v>2.6592173586523712E-6</v>
      </c>
    </row>
    <row r="38" spans="1:4">
      <c r="A38" s="55"/>
      <c r="B38" s="68" t="s">
        <v>207</v>
      </c>
      <c r="C38" s="115">
        <v>0</v>
      </c>
      <c r="D38" s="116">
        <f>C38/$C$42</f>
        <v>0</v>
      </c>
    </row>
    <row r="39" spans="1:4">
      <c r="A39" s="55" t="s">
        <v>143</v>
      </c>
      <c r="B39" s="69" t="s">
        <v>208</v>
      </c>
      <c r="C39" s="115" t="s" vm="18">
        <v>1970</v>
      </c>
      <c r="D39" s="116" t="s" vm="19">
        <v>1970</v>
      </c>
    </row>
    <row r="40" spans="1:4">
      <c r="A40" s="55" t="s">
        <v>143</v>
      </c>
      <c r="B40" s="69" t="s">
        <v>241</v>
      </c>
      <c r="C40" s="115" t="s" vm="20">
        <v>1970</v>
      </c>
      <c r="D40" s="116" t="s" vm="21">
        <v>1970</v>
      </c>
    </row>
    <row r="41" spans="1:4">
      <c r="A41" s="55" t="s">
        <v>143</v>
      </c>
      <c r="B41" s="69" t="s">
        <v>209</v>
      </c>
      <c r="C41" s="115" t="s" vm="22">
        <v>1970</v>
      </c>
      <c r="D41" s="116" t="s" vm="23">
        <v>1970</v>
      </c>
    </row>
    <row r="42" spans="1:4">
      <c r="B42" s="69" t="s">
        <v>84</v>
      </c>
      <c r="C42" s="115">
        <f>C38+C10</f>
        <v>3634985.0539854369</v>
      </c>
      <c r="D42" s="116">
        <f>C42/$C$42</f>
        <v>1</v>
      </c>
    </row>
    <row r="43" spans="1:4">
      <c r="A43" s="55" t="s">
        <v>143</v>
      </c>
      <c r="B43" s="69" t="s">
        <v>206</v>
      </c>
      <c r="C43" s="140">
        <f>'יתרת התחייבות להשקעה'!C10</f>
        <v>37248.472350783224</v>
      </c>
      <c r="D43" s="116"/>
    </row>
    <row r="44" spans="1:4">
      <c r="B44" s="6" t="s">
        <v>111</v>
      </c>
    </row>
    <row r="45" spans="1:4">
      <c r="C45" s="75" t="s">
        <v>188</v>
      </c>
      <c r="D45" s="36" t="s">
        <v>105</v>
      </c>
    </row>
    <row r="46" spans="1:4">
      <c r="C46" s="76" t="s">
        <v>1</v>
      </c>
      <c r="D46" s="25" t="s">
        <v>2</v>
      </c>
    </row>
    <row r="47" spans="1:4">
      <c r="C47" s="117" t="s">
        <v>169</v>
      </c>
      <c r="D47" s="118" vm="24">
        <v>2.4230999999999998</v>
      </c>
    </row>
    <row r="48" spans="1:4">
      <c r="C48" s="117" t="s">
        <v>178</v>
      </c>
      <c r="D48" s="118">
        <v>0.85865487341300406</v>
      </c>
    </row>
    <row r="49" spans="2:4">
      <c r="C49" s="117" t="s">
        <v>174</v>
      </c>
      <c r="D49" s="118" vm="25">
        <v>2.6535000000000002</v>
      </c>
    </row>
    <row r="50" spans="2:4">
      <c r="B50" s="12"/>
      <c r="C50" s="117" t="s">
        <v>1231</v>
      </c>
      <c r="D50" s="118" vm="26">
        <v>3.5750000000000002</v>
      </c>
    </row>
    <row r="51" spans="2:4">
      <c r="C51" s="117" t="s">
        <v>167</v>
      </c>
      <c r="D51" s="118" vm="27">
        <v>3.8782000000000001</v>
      </c>
    </row>
    <row r="52" spans="2:4">
      <c r="C52" s="117" t="s">
        <v>168</v>
      </c>
      <c r="D52" s="118" vm="28">
        <v>4.5597000000000003</v>
      </c>
    </row>
    <row r="53" spans="2:4">
      <c r="C53" s="117" t="s">
        <v>170</v>
      </c>
      <c r="D53" s="118">
        <v>0.44351475174210436</v>
      </c>
    </row>
    <row r="54" spans="2:4">
      <c r="C54" s="117" t="s">
        <v>175</v>
      </c>
      <c r="D54" s="118" vm="29">
        <v>3.1846999999999999</v>
      </c>
    </row>
    <row r="55" spans="2:4">
      <c r="C55" s="117" t="s">
        <v>176</v>
      </c>
      <c r="D55" s="118">
        <v>0.18275657839072681</v>
      </c>
    </row>
    <row r="56" spans="2:4">
      <c r="C56" s="117" t="s">
        <v>173</v>
      </c>
      <c r="D56" s="118" vm="30">
        <v>0.51910000000000001</v>
      </c>
    </row>
    <row r="57" spans="2:4">
      <c r="C57" s="117" t="s">
        <v>1971</v>
      </c>
      <c r="D57" s="118">
        <v>2.3265791999999998</v>
      </c>
    </row>
    <row r="58" spans="2:4">
      <c r="C58" s="117" t="s">
        <v>172</v>
      </c>
      <c r="D58" s="118" vm="31">
        <v>0.3715</v>
      </c>
    </row>
    <row r="59" spans="2:4">
      <c r="C59" s="117" t="s">
        <v>165</v>
      </c>
      <c r="D59" s="118" vm="32">
        <v>3.456</v>
      </c>
    </row>
    <row r="60" spans="2:4">
      <c r="C60" s="117" t="s">
        <v>179</v>
      </c>
      <c r="D60" s="118" vm="33">
        <v>0.2465</v>
      </c>
    </row>
    <row r="61" spans="2:4">
      <c r="C61" s="117" t="s">
        <v>1972</v>
      </c>
      <c r="D61" s="118" vm="34">
        <v>0.39319999999999999</v>
      </c>
    </row>
    <row r="62" spans="2:4">
      <c r="C62" s="117" t="s">
        <v>1973</v>
      </c>
      <c r="D62" s="118">
        <v>5.5684993087713533E-2</v>
      </c>
    </row>
    <row r="63" spans="2:4">
      <c r="C63" s="117" t="s">
        <v>1974</v>
      </c>
      <c r="D63" s="118">
        <v>0.49632352941176472</v>
      </c>
    </row>
    <row r="64" spans="2:4">
      <c r="C64" s="117" t="s">
        <v>166</v>
      </c>
      <c r="D64" s="118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2" sqref="K12:K15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9.28515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181</v>
      </c>
      <c r="C1" s="78" t="s" vm="1">
        <v>262</v>
      </c>
    </row>
    <row r="2" spans="2:60">
      <c r="B2" s="57" t="s">
        <v>180</v>
      </c>
      <c r="C2" s="78" t="s">
        <v>263</v>
      </c>
    </row>
    <row r="3" spans="2:60">
      <c r="B3" s="57" t="s">
        <v>182</v>
      </c>
      <c r="C3" s="78" t="s">
        <v>264</v>
      </c>
    </row>
    <row r="4" spans="2:60">
      <c r="B4" s="57" t="s">
        <v>183</v>
      </c>
      <c r="C4" s="78">
        <v>2207</v>
      </c>
    </row>
    <row r="6" spans="2:60" ht="26.25" customHeight="1">
      <c r="B6" s="157" t="s">
        <v>211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60" ht="26.25" customHeight="1">
      <c r="B7" s="157" t="s">
        <v>94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BH7" s="3"/>
    </row>
    <row r="8" spans="2:60" s="3" customFormat="1" ht="78.75">
      <c r="B8" s="23" t="s">
        <v>118</v>
      </c>
      <c r="C8" s="31" t="s">
        <v>44</v>
      </c>
      <c r="D8" s="31" t="s">
        <v>121</v>
      </c>
      <c r="E8" s="31" t="s">
        <v>65</v>
      </c>
      <c r="F8" s="31" t="s">
        <v>103</v>
      </c>
      <c r="G8" s="31" t="s">
        <v>240</v>
      </c>
      <c r="H8" s="31" t="s">
        <v>239</v>
      </c>
      <c r="I8" s="31" t="s">
        <v>62</v>
      </c>
      <c r="J8" s="31" t="s">
        <v>59</v>
      </c>
      <c r="K8" s="31" t="s">
        <v>184</v>
      </c>
      <c r="L8" s="31" t="s">
        <v>186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247</v>
      </c>
      <c r="H9" s="17"/>
      <c r="I9" s="17" t="s">
        <v>243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0" t="s">
        <v>47</v>
      </c>
      <c r="C11" s="121"/>
      <c r="D11" s="121"/>
      <c r="E11" s="121"/>
      <c r="F11" s="121"/>
      <c r="G11" s="122"/>
      <c r="H11" s="123"/>
      <c r="I11" s="122">
        <v>3.2337972549999998</v>
      </c>
      <c r="J11" s="121"/>
      <c r="K11" s="124">
        <f>I11/$I$11</f>
        <v>1</v>
      </c>
      <c r="L11" s="124">
        <f>I11/'סכום נכסי הקרן'!$C$42</f>
        <v>8.896315134650773E-7</v>
      </c>
      <c r="BC11" s="96"/>
      <c r="BD11" s="3"/>
      <c r="BE11" s="96"/>
      <c r="BG11" s="96"/>
    </row>
    <row r="12" spans="2:60" s="4" customFormat="1" ht="18" customHeight="1">
      <c r="B12" s="125" t="s">
        <v>25</v>
      </c>
      <c r="C12" s="121"/>
      <c r="D12" s="121"/>
      <c r="E12" s="121"/>
      <c r="F12" s="121"/>
      <c r="G12" s="122"/>
      <c r="H12" s="123"/>
      <c r="I12" s="122">
        <v>3.2337972549999998</v>
      </c>
      <c r="J12" s="121"/>
      <c r="K12" s="124">
        <f t="shared" ref="K12:K15" si="0">I12/$I$11</f>
        <v>1</v>
      </c>
      <c r="L12" s="124">
        <f>I12/'סכום נכסי הקרן'!$C$42</f>
        <v>8.896315134650773E-7</v>
      </c>
      <c r="BC12" s="96"/>
      <c r="BD12" s="3"/>
      <c r="BE12" s="96"/>
      <c r="BG12" s="96"/>
    </row>
    <row r="13" spans="2:60">
      <c r="B13" s="99" t="s">
        <v>1521</v>
      </c>
      <c r="C13" s="82"/>
      <c r="D13" s="82"/>
      <c r="E13" s="82"/>
      <c r="F13" s="82"/>
      <c r="G13" s="90"/>
      <c r="H13" s="92"/>
      <c r="I13" s="90">
        <v>3.2337972549999998</v>
      </c>
      <c r="J13" s="82"/>
      <c r="K13" s="91">
        <f t="shared" si="0"/>
        <v>1</v>
      </c>
      <c r="L13" s="91">
        <f>I13/'סכום נכסי הקרן'!$C$42</f>
        <v>8.896315134650773E-7</v>
      </c>
      <c r="BD13" s="3"/>
    </row>
    <row r="14" spans="2:60" ht="20.25">
      <c r="B14" s="86" t="s">
        <v>1522</v>
      </c>
      <c r="C14" s="80" t="s">
        <v>1523</v>
      </c>
      <c r="D14" s="93" t="s">
        <v>122</v>
      </c>
      <c r="E14" s="93" t="s">
        <v>192</v>
      </c>
      <c r="F14" s="93" t="s">
        <v>166</v>
      </c>
      <c r="G14" s="87">
        <v>1481.0495999999998</v>
      </c>
      <c r="H14" s="89">
        <v>205.7</v>
      </c>
      <c r="I14" s="87">
        <v>3.046519027</v>
      </c>
      <c r="J14" s="88">
        <v>1.332967567042153E-4</v>
      </c>
      <c r="K14" s="88">
        <f t="shared" si="0"/>
        <v>0.94208720793783973</v>
      </c>
      <c r="L14" s="88">
        <f>I14/'סכום נכסי הקרן'!$C$42</f>
        <v>8.3811046861382925E-7</v>
      </c>
      <c r="BD14" s="4"/>
    </row>
    <row r="15" spans="2:60">
      <c r="B15" s="86" t="s">
        <v>1524</v>
      </c>
      <c r="C15" s="80" t="s">
        <v>1525</v>
      </c>
      <c r="D15" s="93" t="s">
        <v>122</v>
      </c>
      <c r="E15" s="93" t="s">
        <v>192</v>
      </c>
      <c r="F15" s="93" t="s">
        <v>166</v>
      </c>
      <c r="G15" s="87">
        <v>368.65793000000008</v>
      </c>
      <c r="H15" s="89">
        <v>50.8</v>
      </c>
      <c r="I15" s="87">
        <v>0.18727822800000002</v>
      </c>
      <c r="J15" s="88">
        <v>3.0735299438664539E-4</v>
      </c>
      <c r="K15" s="88">
        <f t="shared" si="0"/>
        <v>5.7912792062160379E-2</v>
      </c>
      <c r="L15" s="88">
        <f>I15/'סכום נכסי הקרן'!$C$42</f>
        <v>5.1521044851248051E-8</v>
      </c>
    </row>
    <row r="16" spans="2:60">
      <c r="B16" s="83"/>
      <c r="C16" s="80"/>
      <c r="D16" s="80"/>
      <c r="E16" s="80"/>
      <c r="F16" s="80"/>
      <c r="G16" s="87"/>
      <c r="H16" s="89"/>
      <c r="I16" s="80"/>
      <c r="J16" s="80"/>
      <c r="K16" s="88"/>
      <c r="L16" s="80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56" ht="20.25">
      <c r="B19" s="95" t="s">
        <v>255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BC19" s="4"/>
    </row>
    <row r="20" spans="2:56">
      <c r="B20" s="95" t="s">
        <v>114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BD20" s="3"/>
    </row>
    <row r="21" spans="2:56">
      <c r="B21" s="95" t="s">
        <v>238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6">
      <c r="B22" s="95" t="s">
        <v>246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2:12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D25" sqref="D25"/>
    </sheetView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69.28515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181</v>
      </c>
      <c r="C1" s="78" t="s" vm="1">
        <v>262</v>
      </c>
    </row>
    <row r="2" spans="2:61">
      <c r="B2" s="57" t="s">
        <v>180</v>
      </c>
      <c r="C2" s="78" t="s">
        <v>263</v>
      </c>
    </row>
    <row r="3" spans="2:61">
      <c r="B3" s="57" t="s">
        <v>182</v>
      </c>
      <c r="C3" s="78" t="s">
        <v>264</v>
      </c>
    </row>
    <row r="4" spans="2:61">
      <c r="B4" s="57" t="s">
        <v>183</v>
      </c>
      <c r="C4" s="78">
        <v>2207</v>
      </c>
    </row>
    <row r="6" spans="2:61" ht="26.25" customHeight="1">
      <c r="B6" s="157" t="s">
        <v>211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61" ht="26.25" customHeight="1">
      <c r="B7" s="157" t="s">
        <v>95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BI7" s="3"/>
    </row>
    <row r="8" spans="2:61" s="3" customFormat="1" ht="78.75">
      <c r="B8" s="23" t="s">
        <v>118</v>
      </c>
      <c r="C8" s="31" t="s">
        <v>44</v>
      </c>
      <c r="D8" s="31" t="s">
        <v>121</v>
      </c>
      <c r="E8" s="31" t="s">
        <v>65</v>
      </c>
      <c r="F8" s="31" t="s">
        <v>103</v>
      </c>
      <c r="G8" s="31" t="s">
        <v>240</v>
      </c>
      <c r="H8" s="31" t="s">
        <v>239</v>
      </c>
      <c r="I8" s="31" t="s">
        <v>62</v>
      </c>
      <c r="J8" s="31" t="s">
        <v>59</v>
      </c>
      <c r="K8" s="31" t="s">
        <v>184</v>
      </c>
      <c r="L8" s="32" t="s">
        <v>186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247</v>
      </c>
      <c r="H9" s="17"/>
      <c r="I9" s="17" t="s">
        <v>243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6" t="s">
        <v>49</v>
      </c>
      <c r="C11" s="82"/>
      <c r="D11" s="82"/>
      <c r="E11" s="82"/>
      <c r="F11" s="82"/>
      <c r="G11" s="90"/>
      <c r="H11" s="92"/>
      <c r="I11" s="90">
        <v>26.312533836999997</v>
      </c>
      <c r="J11" s="82"/>
      <c r="K11" s="91">
        <f>I11/$I$11</f>
        <v>1</v>
      </c>
      <c r="L11" s="91">
        <f>I11/'סכום נכסי הקרן'!$C$42</f>
        <v>7.2386910664599984E-6</v>
      </c>
      <c r="BD11" s="1"/>
      <c r="BE11" s="3"/>
      <c r="BF11" s="1"/>
      <c r="BH11" s="1"/>
    </row>
    <row r="12" spans="2:61" s="96" customFormat="1">
      <c r="B12" s="125" t="s">
        <v>235</v>
      </c>
      <c r="C12" s="121"/>
      <c r="D12" s="121"/>
      <c r="E12" s="121"/>
      <c r="F12" s="121"/>
      <c r="G12" s="122"/>
      <c r="H12" s="123"/>
      <c r="I12" s="122">
        <v>22.339164799999999</v>
      </c>
      <c r="J12" s="121"/>
      <c r="K12" s="124">
        <f>I12/$I$11</f>
        <v>0.84899329492119269</v>
      </c>
      <c r="L12" s="124">
        <f>I12/'סכום נכסי הקרן'!$C$42</f>
        <v>6.1456001794304757E-6</v>
      </c>
      <c r="BE12" s="3"/>
    </row>
    <row r="13" spans="2:61" ht="20.25">
      <c r="B13" s="99" t="s">
        <v>229</v>
      </c>
      <c r="C13" s="82"/>
      <c r="D13" s="82"/>
      <c r="E13" s="82"/>
      <c r="F13" s="82"/>
      <c r="G13" s="90"/>
      <c r="H13" s="92"/>
      <c r="I13" s="90">
        <v>22.339164799999999</v>
      </c>
      <c r="J13" s="82"/>
      <c r="K13" s="91">
        <f>I13/$I$11</f>
        <v>0.84899329492119269</v>
      </c>
      <c r="L13" s="91">
        <f>I13/'סכום נכסי הקרן'!$C$42</f>
        <v>6.1456001794304757E-6</v>
      </c>
      <c r="BE13" s="4"/>
    </row>
    <row r="14" spans="2:61">
      <c r="B14" s="86" t="s">
        <v>1526</v>
      </c>
      <c r="C14" s="80" t="s">
        <v>1527</v>
      </c>
      <c r="D14" s="93" t="s">
        <v>122</v>
      </c>
      <c r="E14" s="93" t="s">
        <v>1528</v>
      </c>
      <c r="F14" s="93" t="s">
        <v>166</v>
      </c>
      <c r="G14" s="87">
        <v>12.342079999999999</v>
      </c>
      <c r="H14" s="89">
        <v>200000</v>
      </c>
      <c r="I14" s="87">
        <v>24.684159999999999</v>
      </c>
      <c r="J14" s="80"/>
      <c r="K14" s="88">
        <f t="shared" ref="K14:K15" si="0">I14/$I$11</f>
        <v>0.93811413803446697</v>
      </c>
      <c r="L14" s="88">
        <f>I14/'סכום נכסי הקרן'!$C$42</f>
        <v>6.7907184303099177E-6</v>
      </c>
    </row>
    <row r="15" spans="2:61">
      <c r="B15" s="86" t="s">
        <v>1529</v>
      </c>
      <c r="C15" s="80" t="s">
        <v>1530</v>
      </c>
      <c r="D15" s="93" t="s">
        <v>122</v>
      </c>
      <c r="E15" s="93" t="s">
        <v>1528</v>
      </c>
      <c r="F15" s="93" t="s">
        <v>166</v>
      </c>
      <c r="G15" s="87">
        <v>-12.342079999999999</v>
      </c>
      <c r="H15" s="89">
        <v>19000</v>
      </c>
      <c r="I15" s="87">
        <v>-2.3449952000000001</v>
      </c>
      <c r="J15" s="80"/>
      <c r="K15" s="88">
        <f t="shared" si="0"/>
        <v>-8.9120843113274367E-2</v>
      </c>
      <c r="L15" s="88">
        <f>I15/'סכום נכסי הקרן'!$C$42</f>
        <v>-6.4511825087944223E-7</v>
      </c>
    </row>
    <row r="16" spans="2:61">
      <c r="B16" s="83"/>
      <c r="C16" s="80"/>
      <c r="D16" s="80"/>
      <c r="E16" s="80"/>
      <c r="F16" s="80"/>
      <c r="G16" s="87"/>
      <c r="H16" s="89"/>
      <c r="I16" s="80"/>
      <c r="J16" s="80"/>
      <c r="K16" s="88"/>
      <c r="L16" s="80"/>
    </row>
    <row r="17" spans="2:56" s="96" customFormat="1">
      <c r="B17" s="125" t="s">
        <v>234</v>
      </c>
      <c r="C17" s="121"/>
      <c r="D17" s="121"/>
      <c r="E17" s="121"/>
      <c r="F17" s="121"/>
      <c r="G17" s="122"/>
      <c r="H17" s="123"/>
      <c r="I17" s="122">
        <v>3.9733690369999981</v>
      </c>
      <c r="J17" s="121"/>
      <c r="K17" s="124">
        <f t="shared" ref="K17:K22" si="1">I17/$I$11</f>
        <v>0.15100670507880737</v>
      </c>
      <c r="L17" s="124">
        <f>I17/'סכום נכסי הקרן'!$C$42</f>
        <v>1.0930908870295225E-6</v>
      </c>
    </row>
    <row r="18" spans="2:56" ht="20.25">
      <c r="B18" s="99" t="s">
        <v>229</v>
      </c>
      <c r="C18" s="82"/>
      <c r="D18" s="82"/>
      <c r="E18" s="82"/>
      <c r="F18" s="82"/>
      <c r="G18" s="90"/>
      <c r="H18" s="92"/>
      <c r="I18" s="90">
        <v>3.9733690369999981</v>
      </c>
      <c r="J18" s="82"/>
      <c r="K18" s="91">
        <f t="shared" si="1"/>
        <v>0.15100670507880737</v>
      </c>
      <c r="L18" s="91">
        <f>I18/'סכום נכסי הקרן'!$C$42</f>
        <v>1.0930908870295225E-6</v>
      </c>
      <c r="BD18" s="4"/>
    </row>
    <row r="19" spans="2:56">
      <c r="B19" s="86" t="s">
        <v>1531</v>
      </c>
      <c r="C19" s="80" t="s">
        <v>1532</v>
      </c>
      <c r="D19" s="93" t="s">
        <v>27</v>
      </c>
      <c r="E19" s="93" t="s">
        <v>1528</v>
      </c>
      <c r="F19" s="93" t="s">
        <v>165</v>
      </c>
      <c r="G19" s="87">
        <v>-6.49559</v>
      </c>
      <c r="H19" s="89">
        <v>526</v>
      </c>
      <c r="I19" s="87">
        <v>-11.808047549000001</v>
      </c>
      <c r="J19" s="80"/>
      <c r="K19" s="88">
        <f t="shared" si="1"/>
        <v>-0.44876132500762178</v>
      </c>
      <c r="L19" s="88">
        <f>I19/'סכום נכסי הקרן'!$C$42</f>
        <v>-3.2484445943054239E-6</v>
      </c>
    </row>
    <row r="20" spans="2:56">
      <c r="B20" s="86" t="s">
        <v>1533</v>
      </c>
      <c r="C20" s="80" t="s">
        <v>1534</v>
      </c>
      <c r="D20" s="93" t="s">
        <v>27</v>
      </c>
      <c r="E20" s="93" t="s">
        <v>1528</v>
      </c>
      <c r="F20" s="93" t="s">
        <v>165</v>
      </c>
      <c r="G20" s="87">
        <v>6.49559</v>
      </c>
      <c r="H20" s="89">
        <v>2065</v>
      </c>
      <c r="I20" s="87">
        <v>46.356688624</v>
      </c>
      <c r="J20" s="80"/>
      <c r="K20" s="88">
        <f t="shared" si="1"/>
        <v>1.7617721239303239</v>
      </c>
      <c r="L20" s="88">
        <f>I20/'סכום נכסי הקרן'!$C$42</f>
        <v>1.2752924134632692E-5</v>
      </c>
    </row>
    <row r="21" spans="2:56">
      <c r="B21" s="86" t="s">
        <v>1535</v>
      </c>
      <c r="C21" s="80" t="s">
        <v>1536</v>
      </c>
      <c r="D21" s="93" t="s">
        <v>27</v>
      </c>
      <c r="E21" s="93" t="s">
        <v>1528</v>
      </c>
      <c r="F21" s="93" t="s">
        <v>165</v>
      </c>
      <c r="G21" s="87">
        <v>-1.110927</v>
      </c>
      <c r="H21" s="89">
        <v>7837</v>
      </c>
      <c r="I21" s="87">
        <v>-30.089093411</v>
      </c>
      <c r="J21" s="80"/>
      <c r="K21" s="88">
        <f t="shared" si="1"/>
        <v>-1.1435270201416141</v>
      </c>
      <c r="L21" s="88">
        <f>I21/'סכום נכסי הקרן'!$C$42</f>
        <v>-8.277638824954726E-6</v>
      </c>
      <c r="BD21" s="3"/>
    </row>
    <row r="22" spans="2:56">
      <c r="B22" s="86" t="s">
        <v>1537</v>
      </c>
      <c r="C22" s="80" t="s">
        <v>1538</v>
      </c>
      <c r="D22" s="93" t="s">
        <v>1171</v>
      </c>
      <c r="E22" s="93" t="s">
        <v>1528</v>
      </c>
      <c r="F22" s="93" t="s">
        <v>165</v>
      </c>
      <c r="G22" s="87">
        <v>-2.0996519999999999</v>
      </c>
      <c r="H22" s="89">
        <v>67</v>
      </c>
      <c r="I22" s="87">
        <v>-0.48617862700000003</v>
      </c>
      <c r="J22" s="80"/>
      <c r="K22" s="88">
        <f t="shared" si="1"/>
        <v>-1.847707370228056E-2</v>
      </c>
      <c r="L22" s="88">
        <f>I22/'סכום נכסי הקרן'!$C$42</f>
        <v>-1.3374982834302124E-7</v>
      </c>
    </row>
    <row r="23" spans="2:56">
      <c r="B23" s="83"/>
      <c r="C23" s="80"/>
      <c r="D23" s="80"/>
      <c r="E23" s="80"/>
      <c r="F23" s="80"/>
      <c r="G23" s="87"/>
      <c r="H23" s="89"/>
      <c r="I23" s="80"/>
      <c r="J23" s="80"/>
      <c r="K23" s="88"/>
      <c r="L23" s="80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95" t="s">
        <v>255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95" t="s">
        <v>114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95" t="s">
        <v>238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95" t="s">
        <v>246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2:12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2:12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</row>
    <row r="117" spans="2:12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</row>
    <row r="118" spans="2:12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2:12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</row>
    <row r="120" spans="2:12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</row>
    <row r="121" spans="2:12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</row>
    <row r="122" spans="2:12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6"/>
    </sheetView>
  </sheetViews>
  <sheetFormatPr defaultColWidth="9.140625" defaultRowHeight="18"/>
  <cols>
    <col min="1" max="1" width="6.28515625" style="2" customWidth="1"/>
    <col min="2" max="2" width="33" style="2" bestFit="1" customWidth="1"/>
    <col min="3" max="3" width="69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181</v>
      </c>
      <c r="C1" s="78" t="s" vm="1">
        <v>262</v>
      </c>
    </row>
    <row r="2" spans="1:60">
      <c r="B2" s="57" t="s">
        <v>180</v>
      </c>
      <c r="C2" s="78" t="s">
        <v>263</v>
      </c>
    </row>
    <row r="3" spans="1:60">
      <c r="B3" s="57" t="s">
        <v>182</v>
      </c>
      <c r="C3" s="78" t="s">
        <v>264</v>
      </c>
    </row>
    <row r="4" spans="1:60">
      <c r="B4" s="57" t="s">
        <v>183</v>
      </c>
      <c r="C4" s="78">
        <v>2207</v>
      </c>
    </row>
    <row r="6" spans="1:60" ht="26.25" customHeight="1">
      <c r="B6" s="157" t="s">
        <v>211</v>
      </c>
      <c r="C6" s="158"/>
      <c r="D6" s="158"/>
      <c r="E6" s="158"/>
      <c r="F6" s="158"/>
      <c r="G6" s="158"/>
      <c r="H6" s="158"/>
      <c r="I6" s="158"/>
      <c r="J6" s="158"/>
      <c r="K6" s="159"/>
      <c r="BD6" s="1" t="s">
        <v>122</v>
      </c>
      <c r="BF6" s="1" t="s">
        <v>189</v>
      </c>
      <c r="BH6" s="3" t="s">
        <v>166</v>
      </c>
    </row>
    <row r="7" spans="1:60" ht="26.25" customHeight="1">
      <c r="B7" s="157" t="s">
        <v>96</v>
      </c>
      <c r="C7" s="158"/>
      <c r="D7" s="158"/>
      <c r="E7" s="158"/>
      <c r="F7" s="158"/>
      <c r="G7" s="158"/>
      <c r="H7" s="158"/>
      <c r="I7" s="158"/>
      <c r="J7" s="158"/>
      <c r="K7" s="159"/>
      <c r="BD7" s="3" t="s">
        <v>124</v>
      </c>
      <c r="BF7" s="1" t="s">
        <v>144</v>
      </c>
      <c r="BH7" s="3" t="s">
        <v>165</v>
      </c>
    </row>
    <row r="8" spans="1:60" s="3" customFormat="1" ht="78.75">
      <c r="A8" s="2"/>
      <c r="B8" s="23" t="s">
        <v>118</v>
      </c>
      <c r="C8" s="31" t="s">
        <v>44</v>
      </c>
      <c r="D8" s="31" t="s">
        <v>121</v>
      </c>
      <c r="E8" s="31" t="s">
        <v>65</v>
      </c>
      <c r="F8" s="31" t="s">
        <v>103</v>
      </c>
      <c r="G8" s="31" t="s">
        <v>240</v>
      </c>
      <c r="H8" s="31" t="s">
        <v>239</v>
      </c>
      <c r="I8" s="31" t="s">
        <v>62</v>
      </c>
      <c r="J8" s="31" t="s">
        <v>184</v>
      </c>
      <c r="K8" s="31" t="s">
        <v>186</v>
      </c>
      <c r="BC8" s="1" t="s">
        <v>137</v>
      </c>
      <c r="BD8" s="1" t="s">
        <v>138</v>
      </c>
      <c r="BE8" s="1" t="s">
        <v>145</v>
      </c>
      <c r="BG8" s="4" t="s">
        <v>167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247</v>
      </c>
      <c r="H9" s="17"/>
      <c r="I9" s="17" t="s">
        <v>243</v>
      </c>
      <c r="J9" s="33" t="s">
        <v>20</v>
      </c>
      <c r="K9" s="58" t="s">
        <v>20</v>
      </c>
      <c r="BC9" s="1" t="s">
        <v>134</v>
      </c>
      <c r="BE9" s="1" t="s">
        <v>146</v>
      </c>
      <c r="BG9" s="4" t="s">
        <v>168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130</v>
      </c>
      <c r="BD10" s="3"/>
      <c r="BE10" s="1" t="s">
        <v>190</v>
      </c>
      <c r="BG10" s="1" t="s">
        <v>174</v>
      </c>
    </row>
    <row r="11" spans="1:60" s="4" customFormat="1" ht="18" customHeight="1">
      <c r="A11" s="114"/>
      <c r="B11" s="120" t="s">
        <v>48</v>
      </c>
      <c r="C11" s="121"/>
      <c r="D11" s="121"/>
      <c r="E11" s="121"/>
      <c r="F11" s="121"/>
      <c r="G11" s="122"/>
      <c r="H11" s="123"/>
      <c r="I11" s="122">
        <v>443.39657150100004</v>
      </c>
      <c r="J11" s="124">
        <f>I11/$I$11</f>
        <v>1</v>
      </c>
      <c r="K11" s="124">
        <f>I11/'סכום נכסי הקרן'!$C$42</f>
        <v>1.219803011335233E-4</v>
      </c>
      <c r="L11" s="3"/>
      <c r="M11" s="3"/>
      <c r="N11" s="3"/>
      <c r="O11" s="3"/>
      <c r="BC11" s="96" t="s">
        <v>129</v>
      </c>
      <c r="BD11" s="3"/>
      <c r="BE11" s="96" t="s">
        <v>147</v>
      </c>
      <c r="BG11" s="96" t="s">
        <v>169</v>
      </c>
    </row>
    <row r="12" spans="1:60" s="96" customFormat="1" ht="20.25">
      <c r="A12" s="114"/>
      <c r="B12" s="125" t="s">
        <v>236</v>
      </c>
      <c r="C12" s="121"/>
      <c r="D12" s="121"/>
      <c r="E12" s="121"/>
      <c r="F12" s="121"/>
      <c r="G12" s="122"/>
      <c r="H12" s="123"/>
      <c r="I12" s="122">
        <v>443.39657150100004</v>
      </c>
      <c r="J12" s="124">
        <f t="shared" ref="J12:J16" si="0">I12/$I$11</f>
        <v>1</v>
      </c>
      <c r="K12" s="124">
        <f>I12/'סכום נכסי הקרן'!$C$42</f>
        <v>1.219803011335233E-4</v>
      </c>
      <c r="L12" s="3"/>
      <c r="M12" s="3"/>
      <c r="N12" s="3"/>
      <c r="O12" s="3"/>
      <c r="BC12" s="96" t="s">
        <v>127</v>
      </c>
      <c r="BD12" s="4"/>
      <c r="BE12" s="96" t="s">
        <v>148</v>
      </c>
      <c r="BG12" s="96" t="s">
        <v>170</v>
      </c>
    </row>
    <row r="13" spans="1:60">
      <c r="B13" s="83" t="s">
        <v>1539</v>
      </c>
      <c r="C13" s="80" t="s">
        <v>1540</v>
      </c>
      <c r="D13" s="93" t="s">
        <v>27</v>
      </c>
      <c r="E13" s="93" t="s">
        <v>1528</v>
      </c>
      <c r="F13" s="93" t="s">
        <v>165</v>
      </c>
      <c r="G13" s="87">
        <v>1.9041290000000002</v>
      </c>
      <c r="H13" s="89">
        <v>112020</v>
      </c>
      <c r="I13" s="87">
        <v>22.867826172999994</v>
      </c>
      <c r="J13" s="88">
        <f t="shared" si="0"/>
        <v>5.1574206123396735E-2</v>
      </c>
      <c r="K13" s="88">
        <f>I13/'סכום נכסי הקרן'!$C$42</f>
        <v>6.2910371936543348E-6</v>
      </c>
      <c r="P13" s="1"/>
      <c r="BC13" s="1" t="s">
        <v>131</v>
      </c>
      <c r="BE13" s="1" t="s">
        <v>149</v>
      </c>
      <c r="BG13" s="1" t="s">
        <v>171</v>
      </c>
    </row>
    <row r="14" spans="1:60">
      <c r="B14" s="83" t="s">
        <v>1541</v>
      </c>
      <c r="C14" s="80" t="s">
        <v>1542</v>
      </c>
      <c r="D14" s="93" t="s">
        <v>27</v>
      </c>
      <c r="E14" s="93" t="s">
        <v>1528</v>
      </c>
      <c r="F14" s="93" t="s">
        <v>165</v>
      </c>
      <c r="G14" s="87">
        <v>41.787519000000003</v>
      </c>
      <c r="H14" s="89">
        <v>323100</v>
      </c>
      <c r="I14" s="87">
        <v>404.36784665499999</v>
      </c>
      <c r="J14" s="88">
        <f t="shared" si="0"/>
        <v>0.91197783800204235</v>
      </c>
      <c r="K14" s="88">
        <f>I14/'סכום נכסי הקרן'!$C$42</f>
        <v>1.1124333130658865E-4</v>
      </c>
      <c r="P14" s="1"/>
      <c r="BC14" s="1" t="s">
        <v>128</v>
      </c>
      <c r="BE14" s="1" t="s">
        <v>150</v>
      </c>
      <c r="BG14" s="1" t="s">
        <v>173</v>
      </c>
    </row>
    <row r="15" spans="1:60">
      <c r="B15" s="83" t="s">
        <v>1543</v>
      </c>
      <c r="C15" s="80" t="s">
        <v>1544</v>
      </c>
      <c r="D15" s="93" t="s">
        <v>27</v>
      </c>
      <c r="E15" s="93" t="s">
        <v>1528</v>
      </c>
      <c r="F15" s="93" t="s">
        <v>167</v>
      </c>
      <c r="G15" s="87">
        <v>72.220253</v>
      </c>
      <c r="H15" s="89">
        <v>41380</v>
      </c>
      <c r="I15" s="87">
        <v>14.793374508999998</v>
      </c>
      <c r="J15" s="88">
        <f t="shared" si="0"/>
        <v>3.3363754841227125E-2</v>
      </c>
      <c r="K15" s="88">
        <f>I15/'סכום נכסי הקרן'!$C$42</f>
        <v>4.0697208624779297E-6</v>
      </c>
      <c r="P15" s="1"/>
      <c r="BC15" s="1" t="s">
        <v>139</v>
      </c>
      <c r="BE15" s="1" t="s">
        <v>191</v>
      </c>
      <c r="BG15" s="1" t="s">
        <v>175</v>
      </c>
    </row>
    <row r="16" spans="1:60" ht="20.25">
      <c r="B16" s="83" t="s">
        <v>1545</v>
      </c>
      <c r="C16" s="80" t="s">
        <v>1546</v>
      </c>
      <c r="D16" s="93" t="s">
        <v>27</v>
      </c>
      <c r="E16" s="93" t="s">
        <v>1528</v>
      </c>
      <c r="F16" s="93" t="s">
        <v>175</v>
      </c>
      <c r="G16" s="87">
        <v>1.1420330000000001</v>
      </c>
      <c r="H16" s="89">
        <v>172100</v>
      </c>
      <c r="I16" s="87">
        <v>1.367524164</v>
      </c>
      <c r="J16" s="88">
        <f t="shared" si="0"/>
        <v>3.0842010333336908E-3</v>
      </c>
      <c r="K16" s="88">
        <f>I16/'סכום נכסי הקרן'!$C$42</f>
        <v>3.7621177080236733E-7</v>
      </c>
      <c r="P16" s="1"/>
      <c r="BC16" s="4" t="s">
        <v>125</v>
      </c>
      <c r="BD16" s="1" t="s">
        <v>140</v>
      </c>
      <c r="BE16" s="1" t="s">
        <v>151</v>
      </c>
      <c r="BG16" s="1" t="s">
        <v>176</v>
      </c>
    </row>
    <row r="17" spans="2:60">
      <c r="B17" s="105"/>
      <c r="C17" s="80"/>
      <c r="D17" s="80"/>
      <c r="E17" s="80"/>
      <c r="F17" s="80"/>
      <c r="G17" s="87"/>
      <c r="H17" s="89"/>
      <c r="I17" s="80"/>
      <c r="J17" s="88"/>
      <c r="K17" s="80"/>
      <c r="P17" s="1"/>
      <c r="BC17" s="1" t="s">
        <v>135</v>
      </c>
      <c r="BE17" s="1" t="s">
        <v>152</v>
      </c>
      <c r="BG17" s="1" t="s">
        <v>177</v>
      </c>
    </row>
    <row r="18" spans="2:60">
      <c r="B18" s="79"/>
      <c r="C18" s="79"/>
      <c r="D18" s="79"/>
      <c r="E18" s="79"/>
      <c r="F18" s="79"/>
      <c r="G18" s="79"/>
      <c r="H18" s="79"/>
      <c r="I18" s="79"/>
      <c r="J18" s="79"/>
      <c r="K18" s="79"/>
      <c r="BD18" s="1" t="s">
        <v>123</v>
      </c>
      <c r="BF18" s="1" t="s">
        <v>153</v>
      </c>
      <c r="BH18" s="1" t="s">
        <v>27</v>
      </c>
    </row>
    <row r="19" spans="2:60">
      <c r="B19" s="79"/>
      <c r="C19" s="79"/>
      <c r="D19" s="79"/>
      <c r="E19" s="79"/>
      <c r="F19" s="79"/>
      <c r="G19" s="79"/>
      <c r="H19" s="79"/>
      <c r="I19" s="79"/>
      <c r="J19" s="79"/>
      <c r="K19" s="79"/>
      <c r="BD19" s="1" t="s">
        <v>136</v>
      </c>
      <c r="BF19" s="1" t="s">
        <v>154</v>
      </c>
    </row>
    <row r="20" spans="2:60">
      <c r="B20" s="95" t="s">
        <v>255</v>
      </c>
      <c r="C20" s="79"/>
      <c r="D20" s="79"/>
      <c r="E20" s="79"/>
      <c r="F20" s="79"/>
      <c r="G20" s="79"/>
      <c r="H20" s="79"/>
      <c r="I20" s="79"/>
      <c r="J20" s="79"/>
      <c r="K20" s="79"/>
      <c r="BD20" s="1" t="s">
        <v>141</v>
      </c>
      <c r="BF20" s="1" t="s">
        <v>155</v>
      </c>
    </row>
    <row r="21" spans="2:60">
      <c r="B21" s="95" t="s">
        <v>114</v>
      </c>
      <c r="C21" s="79"/>
      <c r="D21" s="79"/>
      <c r="E21" s="79"/>
      <c r="F21" s="79"/>
      <c r="G21" s="79"/>
      <c r="H21" s="79"/>
      <c r="I21" s="79"/>
      <c r="J21" s="79"/>
      <c r="K21" s="79"/>
      <c r="BD21" s="1" t="s">
        <v>126</v>
      </c>
      <c r="BE21" s="1" t="s">
        <v>142</v>
      </c>
      <c r="BF21" s="1" t="s">
        <v>156</v>
      </c>
    </row>
    <row r="22" spans="2:60">
      <c r="B22" s="95" t="s">
        <v>238</v>
      </c>
      <c r="C22" s="79"/>
      <c r="D22" s="79"/>
      <c r="E22" s="79"/>
      <c r="F22" s="79"/>
      <c r="G22" s="79"/>
      <c r="H22" s="79"/>
      <c r="I22" s="79"/>
      <c r="J22" s="79"/>
      <c r="K22" s="79"/>
      <c r="BD22" s="1" t="s">
        <v>132</v>
      </c>
      <c r="BF22" s="1" t="s">
        <v>157</v>
      </c>
    </row>
    <row r="23" spans="2:60">
      <c r="B23" s="95" t="s">
        <v>246</v>
      </c>
      <c r="C23" s="79"/>
      <c r="D23" s="79"/>
      <c r="E23" s="79"/>
      <c r="F23" s="79"/>
      <c r="G23" s="79"/>
      <c r="H23" s="79"/>
      <c r="I23" s="79"/>
      <c r="J23" s="79"/>
      <c r="K23" s="79"/>
      <c r="BD23" s="1" t="s">
        <v>27</v>
      </c>
      <c r="BE23" s="1" t="s">
        <v>133</v>
      </c>
      <c r="BF23" s="1" t="s">
        <v>192</v>
      </c>
    </row>
    <row r="24" spans="2:60">
      <c r="B24" s="79"/>
      <c r="C24" s="79"/>
      <c r="D24" s="79"/>
      <c r="E24" s="79"/>
      <c r="F24" s="79"/>
      <c r="G24" s="79"/>
      <c r="H24" s="79"/>
      <c r="I24" s="79"/>
      <c r="J24" s="79"/>
      <c r="K24" s="79"/>
      <c r="BF24" s="1" t="s">
        <v>195</v>
      </c>
    </row>
    <row r="25" spans="2:60">
      <c r="B25" s="79"/>
      <c r="C25" s="79"/>
      <c r="D25" s="79"/>
      <c r="E25" s="79"/>
      <c r="F25" s="79"/>
      <c r="G25" s="79"/>
      <c r="H25" s="79"/>
      <c r="I25" s="79"/>
      <c r="J25" s="79"/>
      <c r="K25" s="79"/>
      <c r="BF25" s="1" t="s">
        <v>158</v>
      </c>
    </row>
    <row r="26" spans="2:60">
      <c r="B26" s="79"/>
      <c r="C26" s="79"/>
      <c r="D26" s="79"/>
      <c r="E26" s="79"/>
      <c r="F26" s="79"/>
      <c r="G26" s="79"/>
      <c r="H26" s="79"/>
      <c r="I26" s="79"/>
      <c r="J26" s="79"/>
      <c r="K26" s="79"/>
      <c r="BF26" s="1" t="s">
        <v>159</v>
      </c>
    </row>
    <row r="27" spans="2:60">
      <c r="B27" s="79"/>
      <c r="C27" s="79"/>
      <c r="D27" s="79"/>
      <c r="E27" s="79"/>
      <c r="F27" s="79"/>
      <c r="G27" s="79"/>
      <c r="H27" s="79"/>
      <c r="I27" s="79"/>
      <c r="J27" s="79"/>
      <c r="K27" s="79"/>
      <c r="BF27" s="1" t="s">
        <v>194</v>
      </c>
    </row>
    <row r="28" spans="2:60">
      <c r="B28" s="79"/>
      <c r="C28" s="79"/>
      <c r="D28" s="79"/>
      <c r="E28" s="79"/>
      <c r="F28" s="79"/>
      <c r="G28" s="79"/>
      <c r="H28" s="79"/>
      <c r="I28" s="79"/>
      <c r="J28" s="79"/>
      <c r="K28" s="79"/>
      <c r="BF28" s="1" t="s">
        <v>160</v>
      </c>
    </row>
    <row r="29" spans="2:60">
      <c r="B29" s="79"/>
      <c r="C29" s="79"/>
      <c r="D29" s="79"/>
      <c r="E29" s="79"/>
      <c r="F29" s="79"/>
      <c r="G29" s="79"/>
      <c r="H29" s="79"/>
      <c r="I29" s="79"/>
      <c r="J29" s="79"/>
      <c r="K29" s="79"/>
      <c r="BF29" s="1" t="s">
        <v>161</v>
      </c>
    </row>
    <row r="30" spans="2:60">
      <c r="B30" s="79"/>
      <c r="C30" s="79"/>
      <c r="D30" s="79"/>
      <c r="E30" s="79"/>
      <c r="F30" s="79"/>
      <c r="G30" s="79"/>
      <c r="H30" s="79"/>
      <c r="I30" s="79"/>
      <c r="J30" s="79"/>
      <c r="K30" s="79"/>
      <c r="BF30" s="1" t="s">
        <v>193</v>
      </c>
    </row>
    <row r="31" spans="2:60">
      <c r="B31" s="79"/>
      <c r="C31" s="79"/>
      <c r="D31" s="79"/>
      <c r="E31" s="79"/>
      <c r="F31" s="79"/>
      <c r="G31" s="79"/>
      <c r="H31" s="79"/>
      <c r="I31" s="79"/>
      <c r="J31" s="79"/>
      <c r="K31" s="79"/>
      <c r="BF31" s="1" t="s">
        <v>27</v>
      </c>
    </row>
    <row r="32" spans="2:60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B111" s="79"/>
      <c r="C111" s="79"/>
      <c r="D111" s="79"/>
      <c r="E111" s="79"/>
      <c r="F111" s="79"/>
      <c r="G111" s="79"/>
      <c r="H111" s="79"/>
      <c r="I111" s="79"/>
      <c r="J111" s="79"/>
      <c r="K111" s="79"/>
    </row>
    <row r="112" spans="2:11">
      <c r="B112" s="79"/>
      <c r="C112" s="79"/>
      <c r="D112" s="79"/>
      <c r="E112" s="79"/>
      <c r="F112" s="79"/>
      <c r="G112" s="79"/>
      <c r="H112" s="79"/>
      <c r="I112" s="79"/>
      <c r="J112" s="79"/>
      <c r="K112" s="79"/>
    </row>
    <row r="113" spans="2:11">
      <c r="B113" s="79"/>
      <c r="C113" s="79"/>
      <c r="D113" s="79"/>
      <c r="E113" s="79"/>
      <c r="F113" s="79"/>
      <c r="G113" s="79"/>
      <c r="H113" s="79"/>
      <c r="I113" s="79"/>
      <c r="J113" s="79"/>
      <c r="K113" s="79"/>
    </row>
    <row r="114" spans="2:11">
      <c r="B114" s="79"/>
      <c r="C114" s="79"/>
      <c r="D114" s="79"/>
      <c r="E114" s="79"/>
      <c r="F114" s="79"/>
      <c r="G114" s="79"/>
      <c r="H114" s="79"/>
      <c r="I114" s="79"/>
      <c r="J114" s="79"/>
      <c r="K114" s="79"/>
    </row>
    <row r="115" spans="2:11">
      <c r="B115" s="79"/>
      <c r="C115" s="79"/>
      <c r="D115" s="79"/>
      <c r="E115" s="79"/>
      <c r="F115" s="79"/>
      <c r="G115" s="79"/>
      <c r="H115" s="79"/>
      <c r="I115" s="79"/>
      <c r="J115" s="79"/>
      <c r="K115" s="79"/>
    </row>
    <row r="116" spans="2:11">
      <c r="B116" s="79"/>
      <c r="C116" s="79"/>
      <c r="D116" s="79"/>
      <c r="E116" s="79"/>
      <c r="F116" s="79"/>
      <c r="G116" s="79"/>
      <c r="H116" s="79"/>
      <c r="I116" s="79"/>
      <c r="J116" s="79"/>
      <c r="K116" s="79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181</v>
      </c>
      <c r="C1" s="78" t="s" vm="1">
        <v>262</v>
      </c>
    </row>
    <row r="2" spans="2:81">
      <c r="B2" s="57" t="s">
        <v>180</v>
      </c>
      <c r="C2" s="78" t="s">
        <v>263</v>
      </c>
    </row>
    <row r="3" spans="2:81">
      <c r="B3" s="57" t="s">
        <v>182</v>
      </c>
      <c r="C3" s="78" t="s">
        <v>264</v>
      </c>
      <c r="E3" s="2"/>
    </row>
    <row r="4" spans="2:81">
      <c r="B4" s="57" t="s">
        <v>183</v>
      </c>
      <c r="C4" s="78">
        <v>2207</v>
      </c>
    </row>
    <row r="6" spans="2:81" ht="26.25" customHeight="1">
      <c r="B6" s="157" t="s">
        <v>211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81" ht="26.25" customHeight="1">
      <c r="B7" s="157" t="s">
        <v>97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81" s="3" customFormat="1" ht="47.25">
      <c r="B8" s="23" t="s">
        <v>118</v>
      </c>
      <c r="C8" s="31" t="s">
        <v>44</v>
      </c>
      <c r="D8" s="14" t="s">
        <v>50</v>
      </c>
      <c r="E8" s="31" t="s">
        <v>15</v>
      </c>
      <c r="F8" s="31" t="s">
        <v>66</v>
      </c>
      <c r="G8" s="31" t="s">
        <v>104</v>
      </c>
      <c r="H8" s="31" t="s">
        <v>18</v>
      </c>
      <c r="I8" s="31" t="s">
        <v>103</v>
      </c>
      <c r="J8" s="31" t="s">
        <v>17</v>
      </c>
      <c r="K8" s="31" t="s">
        <v>19</v>
      </c>
      <c r="L8" s="31" t="s">
        <v>240</v>
      </c>
      <c r="M8" s="31" t="s">
        <v>239</v>
      </c>
      <c r="N8" s="31" t="s">
        <v>62</v>
      </c>
      <c r="O8" s="31" t="s">
        <v>59</v>
      </c>
      <c r="P8" s="31" t="s">
        <v>184</v>
      </c>
      <c r="Q8" s="32" t="s">
        <v>186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247</v>
      </c>
      <c r="M9" s="33"/>
      <c r="N9" s="33" t="s">
        <v>243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115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5" t="s">
        <v>255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81">
      <c r="B13" s="95" t="s">
        <v>114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81">
      <c r="B14" s="95" t="s">
        <v>238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81">
      <c r="B15" s="95" t="s">
        <v>246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8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topLeftCell="A94" workbookViewId="0">
      <selection activeCell="E118" sqref="E118"/>
    </sheetView>
  </sheetViews>
  <sheetFormatPr defaultColWidth="9.140625" defaultRowHeight="18"/>
  <cols>
    <col min="1" max="1" width="3" style="1" customWidth="1"/>
    <col min="2" max="2" width="35.42578125" style="2" bestFit="1" customWidth="1"/>
    <col min="3" max="3" width="69.28515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9.57031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181</v>
      </c>
      <c r="C1" s="78" t="s" vm="1">
        <v>262</v>
      </c>
    </row>
    <row r="2" spans="2:72">
      <c r="B2" s="57" t="s">
        <v>180</v>
      </c>
      <c r="C2" s="78" t="s">
        <v>263</v>
      </c>
    </row>
    <row r="3" spans="2:72">
      <c r="B3" s="57" t="s">
        <v>182</v>
      </c>
      <c r="C3" s="78" t="s">
        <v>264</v>
      </c>
    </row>
    <row r="4" spans="2:72">
      <c r="B4" s="57" t="s">
        <v>183</v>
      </c>
      <c r="C4" s="78">
        <v>2207</v>
      </c>
    </row>
    <row r="6" spans="2:72" ht="26.25" customHeight="1">
      <c r="B6" s="157" t="s">
        <v>212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72" ht="26.25" customHeight="1">
      <c r="B7" s="157" t="s">
        <v>89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2:72" s="3" customFormat="1" ht="78.75">
      <c r="B8" s="23" t="s">
        <v>118</v>
      </c>
      <c r="C8" s="31" t="s">
        <v>44</v>
      </c>
      <c r="D8" s="31" t="s">
        <v>15</v>
      </c>
      <c r="E8" s="31" t="s">
        <v>66</v>
      </c>
      <c r="F8" s="31" t="s">
        <v>104</v>
      </c>
      <c r="G8" s="31" t="s">
        <v>18</v>
      </c>
      <c r="H8" s="31" t="s">
        <v>103</v>
      </c>
      <c r="I8" s="31" t="s">
        <v>17</v>
      </c>
      <c r="J8" s="31" t="s">
        <v>19</v>
      </c>
      <c r="K8" s="31" t="s">
        <v>240</v>
      </c>
      <c r="L8" s="31" t="s">
        <v>239</v>
      </c>
      <c r="M8" s="31" t="s">
        <v>112</v>
      </c>
      <c r="N8" s="31" t="s">
        <v>59</v>
      </c>
      <c r="O8" s="31" t="s">
        <v>184</v>
      </c>
      <c r="P8" s="32" t="s">
        <v>186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247</v>
      </c>
      <c r="L9" s="33"/>
      <c r="M9" s="33" t="s">
        <v>243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7" t="s">
        <v>26</v>
      </c>
      <c r="C11" s="98"/>
      <c r="D11" s="98"/>
      <c r="E11" s="98"/>
      <c r="F11" s="98"/>
      <c r="G11" s="100">
        <v>7.159518896974717</v>
      </c>
      <c r="H11" s="98"/>
      <c r="I11" s="98"/>
      <c r="J11" s="101">
        <v>4.8514433219759082E-2</v>
      </c>
      <c r="K11" s="100"/>
      <c r="L11" s="98"/>
      <c r="M11" s="100">
        <v>2193928.2031699996</v>
      </c>
      <c r="N11" s="98"/>
      <c r="O11" s="103">
        <f>M11/$M$11</f>
        <v>1</v>
      </c>
      <c r="P11" s="103">
        <f>M11/'סכום נכסי הקרן'!$C$42</f>
        <v>0.60355907124420027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1" t="s">
        <v>235</v>
      </c>
      <c r="C12" s="82"/>
      <c r="D12" s="82"/>
      <c r="E12" s="82"/>
      <c r="F12" s="82"/>
      <c r="G12" s="90">
        <v>7.1595188969747143</v>
      </c>
      <c r="H12" s="82"/>
      <c r="I12" s="82"/>
      <c r="J12" s="104">
        <v>4.8514433219759089E-2</v>
      </c>
      <c r="K12" s="90"/>
      <c r="L12" s="82"/>
      <c r="M12" s="90">
        <v>2193928.2031699996</v>
      </c>
      <c r="N12" s="82"/>
      <c r="O12" s="91">
        <f t="shared" ref="O12:O75" si="0">M12/$M$11</f>
        <v>1</v>
      </c>
      <c r="P12" s="91">
        <f>M12/'סכום נכסי הקרן'!$C$42</f>
        <v>0.60355907124420027</v>
      </c>
    </row>
    <row r="13" spans="2:72">
      <c r="B13" s="99" t="s">
        <v>67</v>
      </c>
      <c r="C13" s="82"/>
      <c r="D13" s="82"/>
      <c r="E13" s="82"/>
      <c r="F13" s="82"/>
      <c r="G13" s="90">
        <v>7.1595188969747143</v>
      </c>
      <c r="H13" s="82"/>
      <c r="I13" s="82"/>
      <c r="J13" s="104">
        <v>4.8514433219759089E-2</v>
      </c>
      <c r="K13" s="90"/>
      <c r="L13" s="82"/>
      <c r="M13" s="90">
        <v>2193928.2031699996</v>
      </c>
      <c r="N13" s="82"/>
      <c r="O13" s="91">
        <f t="shared" si="0"/>
        <v>1</v>
      </c>
      <c r="P13" s="91">
        <f>M13/'סכום נכסי הקרן'!$C$42</f>
        <v>0.60355907124420027</v>
      </c>
    </row>
    <row r="14" spans="2:72">
      <c r="B14" s="86" t="s">
        <v>1547</v>
      </c>
      <c r="C14" s="80" t="s">
        <v>1548</v>
      </c>
      <c r="D14" s="80" t="s">
        <v>267</v>
      </c>
      <c r="E14" s="80"/>
      <c r="F14" s="107">
        <v>38718</v>
      </c>
      <c r="G14" s="87">
        <v>0.97</v>
      </c>
      <c r="H14" s="93" t="s">
        <v>166</v>
      </c>
      <c r="I14" s="94">
        <v>4.8000000000000001E-2</v>
      </c>
      <c r="J14" s="94">
        <v>4.8300000000000003E-2</v>
      </c>
      <c r="K14" s="87">
        <v>84116</v>
      </c>
      <c r="L14" s="108">
        <v>124.08499999999999</v>
      </c>
      <c r="M14" s="87">
        <v>104.3733</v>
      </c>
      <c r="N14" s="80"/>
      <c r="O14" s="88">
        <f t="shared" si="0"/>
        <v>4.7573708131921258E-5</v>
      </c>
      <c r="P14" s="88">
        <f>M14/'סכום נכסי הקרן'!$C$42</f>
        <v>2.8713543095745053E-5</v>
      </c>
    </row>
    <row r="15" spans="2:72">
      <c r="B15" s="86" t="s">
        <v>1549</v>
      </c>
      <c r="C15" s="80" t="s">
        <v>1550</v>
      </c>
      <c r="D15" s="80" t="s">
        <v>267</v>
      </c>
      <c r="E15" s="80"/>
      <c r="F15" s="107">
        <v>39203</v>
      </c>
      <c r="G15" s="87">
        <v>2.2200000000000002</v>
      </c>
      <c r="H15" s="93" t="s">
        <v>166</v>
      </c>
      <c r="I15" s="94">
        <v>4.8000000000000001E-2</v>
      </c>
      <c r="J15" s="94">
        <v>4.8600000000000004E-2</v>
      </c>
      <c r="K15" s="87">
        <v>7430124</v>
      </c>
      <c r="L15" s="108">
        <v>122.7804</v>
      </c>
      <c r="M15" s="87">
        <v>9122.9637700000003</v>
      </c>
      <c r="N15" s="80"/>
      <c r="O15" s="88">
        <f t="shared" si="0"/>
        <v>4.1582781773889686E-3</v>
      </c>
      <c r="P15" s="88">
        <f>M15/'סכום נכסי הקרן'!$C$42</f>
        <v>2.5097665147199117E-3</v>
      </c>
    </row>
    <row r="16" spans="2:72">
      <c r="B16" s="86" t="s">
        <v>1551</v>
      </c>
      <c r="C16" s="80" t="s">
        <v>1552</v>
      </c>
      <c r="D16" s="80" t="s">
        <v>267</v>
      </c>
      <c r="E16" s="80"/>
      <c r="F16" s="107">
        <v>39295</v>
      </c>
      <c r="G16" s="87">
        <v>2.42</v>
      </c>
      <c r="H16" s="93" t="s">
        <v>166</v>
      </c>
      <c r="I16" s="94">
        <v>4.8000000000000001E-2</v>
      </c>
      <c r="J16" s="94">
        <v>4.8499999999999995E-2</v>
      </c>
      <c r="K16" s="87">
        <v>6727677</v>
      </c>
      <c r="L16" s="108">
        <v>122.7578</v>
      </c>
      <c r="M16" s="87">
        <v>8258.9709899999998</v>
      </c>
      <c r="N16" s="80"/>
      <c r="O16" s="88">
        <f t="shared" si="0"/>
        <v>3.7644673048400764E-3</v>
      </c>
      <c r="P16" s="88">
        <f>M16/'סכום נכסי הקרן'!$C$42</f>
        <v>2.2720783902384343E-3</v>
      </c>
    </row>
    <row r="17" spans="2:16">
      <c r="B17" s="86" t="s">
        <v>1553</v>
      </c>
      <c r="C17" s="80" t="s">
        <v>1554</v>
      </c>
      <c r="D17" s="80" t="s">
        <v>267</v>
      </c>
      <c r="E17" s="80"/>
      <c r="F17" s="107">
        <v>39873</v>
      </c>
      <c r="G17" s="87">
        <v>3.77</v>
      </c>
      <c r="H17" s="93" t="s">
        <v>166</v>
      </c>
      <c r="I17" s="94">
        <v>4.8000000000000001E-2</v>
      </c>
      <c r="J17" s="94">
        <v>4.8499999999999995E-2</v>
      </c>
      <c r="K17" s="87">
        <v>2931318</v>
      </c>
      <c r="L17" s="108">
        <v>115.64570000000001</v>
      </c>
      <c r="M17" s="87">
        <v>3390.2259599999998</v>
      </c>
      <c r="N17" s="80"/>
      <c r="O17" s="88">
        <f t="shared" si="0"/>
        <v>1.5452766207670213E-3</v>
      </c>
      <c r="P17" s="88">
        <f>M17/'סכום נכסי הקרן'!$C$42</f>
        <v>9.3266572204551968E-4</v>
      </c>
    </row>
    <row r="18" spans="2:16">
      <c r="B18" s="86" t="s">
        <v>1555</v>
      </c>
      <c r="C18" s="80" t="s">
        <v>1556</v>
      </c>
      <c r="D18" s="80" t="s">
        <v>267</v>
      </c>
      <c r="E18" s="80"/>
      <c r="F18" s="107">
        <v>39448</v>
      </c>
      <c r="G18" s="87">
        <v>2.7699999999999996</v>
      </c>
      <c r="H18" s="93" t="s">
        <v>166</v>
      </c>
      <c r="I18" s="94">
        <v>4.8000000000000001E-2</v>
      </c>
      <c r="J18" s="94">
        <v>4.8500000000000008E-2</v>
      </c>
      <c r="K18" s="87">
        <v>2727906</v>
      </c>
      <c r="L18" s="108">
        <v>121.0663</v>
      </c>
      <c r="M18" s="87">
        <v>3302.8062200000004</v>
      </c>
      <c r="N18" s="80"/>
      <c r="O18" s="88">
        <f t="shared" si="0"/>
        <v>1.5054304034324308E-3</v>
      </c>
      <c r="P18" s="88">
        <f>M18/'סכום נכסי הקרן'!$C$42</f>
        <v>9.0861617611845966E-4</v>
      </c>
    </row>
    <row r="19" spans="2:16">
      <c r="B19" s="86" t="s">
        <v>1557</v>
      </c>
      <c r="C19" s="80" t="s">
        <v>1558</v>
      </c>
      <c r="D19" s="80" t="s">
        <v>267</v>
      </c>
      <c r="E19" s="80"/>
      <c r="F19" s="107">
        <v>40148</v>
      </c>
      <c r="G19" s="87">
        <v>4.4300000000000006</v>
      </c>
      <c r="H19" s="93" t="s">
        <v>166</v>
      </c>
      <c r="I19" s="94">
        <v>4.8000000000000001E-2</v>
      </c>
      <c r="J19" s="94">
        <v>4.8499999999999995E-2</v>
      </c>
      <c r="K19" s="87">
        <v>4008000</v>
      </c>
      <c r="L19" s="108">
        <v>109.7045</v>
      </c>
      <c r="M19" s="87">
        <v>4396.6287499999999</v>
      </c>
      <c r="N19" s="80"/>
      <c r="O19" s="88">
        <f t="shared" si="0"/>
        <v>2.0039984643286527E-3</v>
      </c>
      <c r="P19" s="88">
        <f>M19/'סכום נכסי הקרן'!$C$42</f>
        <v>1.2095314519050054E-3</v>
      </c>
    </row>
    <row r="20" spans="2:16">
      <c r="B20" s="86" t="s">
        <v>1559</v>
      </c>
      <c r="C20" s="80" t="s">
        <v>1560</v>
      </c>
      <c r="D20" s="80" t="s">
        <v>267</v>
      </c>
      <c r="E20" s="80"/>
      <c r="F20" s="107">
        <v>40269</v>
      </c>
      <c r="G20" s="87">
        <v>4.6500000000000004</v>
      </c>
      <c r="H20" s="93" t="s">
        <v>166</v>
      </c>
      <c r="I20" s="94">
        <v>4.8000000000000001E-2</v>
      </c>
      <c r="J20" s="94">
        <v>4.8500000000000008E-2</v>
      </c>
      <c r="K20" s="87">
        <v>27130000</v>
      </c>
      <c r="L20" s="108">
        <v>111.31570000000001</v>
      </c>
      <c r="M20" s="87">
        <v>30200.60943</v>
      </c>
      <c r="N20" s="80"/>
      <c r="O20" s="88">
        <f t="shared" si="0"/>
        <v>1.3765541363825507E-2</v>
      </c>
      <c r="P20" s="88">
        <f>M20/'סכום נכסי הקרן'!$C$42</f>
        <v>8.3083173607241458E-3</v>
      </c>
    </row>
    <row r="21" spans="2:16">
      <c r="B21" s="86" t="s">
        <v>1561</v>
      </c>
      <c r="C21" s="80" t="s">
        <v>1562</v>
      </c>
      <c r="D21" s="80" t="s">
        <v>267</v>
      </c>
      <c r="E21" s="80"/>
      <c r="F21" s="107">
        <v>40391</v>
      </c>
      <c r="G21" s="87">
        <v>4.87</v>
      </c>
      <c r="H21" s="93" t="s">
        <v>166</v>
      </c>
      <c r="I21" s="94">
        <v>4.8000000000000001E-2</v>
      </c>
      <c r="J21" s="94">
        <v>4.8500000000000008E-2</v>
      </c>
      <c r="K21" s="87">
        <v>6327000</v>
      </c>
      <c r="L21" s="108">
        <v>110.40089999999999</v>
      </c>
      <c r="M21" s="87">
        <v>6984.9175599999999</v>
      </c>
      <c r="N21" s="80"/>
      <c r="O21" s="88">
        <f t="shared" si="0"/>
        <v>3.1837493815465409E-3</v>
      </c>
      <c r="P21" s="88">
        <f>M21/'סכום נכסי הקרן'!$C$42</f>
        <v>1.9215808198005274E-3</v>
      </c>
    </row>
    <row r="22" spans="2:16">
      <c r="B22" s="86" t="s">
        <v>1563</v>
      </c>
      <c r="C22" s="80" t="s">
        <v>1564</v>
      </c>
      <c r="D22" s="80" t="s">
        <v>267</v>
      </c>
      <c r="E22" s="80"/>
      <c r="F22" s="107">
        <v>40452</v>
      </c>
      <c r="G22" s="87">
        <v>5.04</v>
      </c>
      <c r="H22" s="93" t="s">
        <v>166</v>
      </c>
      <c r="I22" s="94">
        <v>4.8000000000000001E-2</v>
      </c>
      <c r="J22" s="94">
        <v>4.8599999999999997E-2</v>
      </c>
      <c r="K22" s="87">
        <v>6348000</v>
      </c>
      <c r="L22" s="108">
        <v>108.4757</v>
      </c>
      <c r="M22" s="87">
        <v>6886.2699499999999</v>
      </c>
      <c r="N22" s="80"/>
      <c r="O22" s="88">
        <f t="shared" si="0"/>
        <v>3.13878546255527E-3</v>
      </c>
      <c r="P22" s="88">
        <f>M22/'סכום נכסי הקרן'!$C$42</f>
        <v>1.8944424386146564E-3</v>
      </c>
    </row>
    <row r="23" spans="2:16">
      <c r="B23" s="86" t="s">
        <v>1565</v>
      </c>
      <c r="C23" s="80" t="s">
        <v>1566</v>
      </c>
      <c r="D23" s="80" t="s">
        <v>267</v>
      </c>
      <c r="E23" s="80"/>
      <c r="F23" s="107">
        <v>38384</v>
      </c>
      <c r="G23" s="87">
        <v>0.09</v>
      </c>
      <c r="H23" s="93" t="s">
        <v>166</v>
      </c>
      <c r="I23" s="94">
        <v>4.8000000000000001E-2</v>
      </c>
      <c r="J23" s="94">
        <v>4.6100000000000002E-2</v>
      </c>
      <c r="K23" s="87">
        <v>815824</v>
      </c>
      <c r="L23" s="108">
        <v>126.794</v>
      </c>
      <c r="M23" s="87">
        <v>1034.40626</v>
      </c>
      <c r="N23" s="80"/>
      <c r="O23" s="88">
        <f t="shared" si="0"/>
        <v>4.7148592123725369E-4</v>
      </c>
      <c r="P23" s="88">
        <f>M23/'סכום נכסי הקרן'!$C$42</f>
        <v>2.8456960472667301E-4</v>
      </c>
    </row>
    <row r="24" spans="2:16">
      <c r="B24" s="86" t="s">
        <v>1567</v>
      </c>
      <c r="C24" s="80" t="s">
        <v>1568</v>
      </c>
      <c r="D24" s="80" t="s">
        <v>267</v>
      </c>
      <c r="E24" s="80"/>
      <c r="F24" s="107">
        <v>40909</v>
      </c>
      <c r="G24" s="87">
        <v>5.89</v>
      </c>
      <c r="H24" s="93" t="s">
        <v>166</v>
      </c>
      <c r="I24" s="94">
        <v>4.8000000000000001E-2</v>
      </c>
      <c r="J24" s="94">
        <v>4.8499999999999995E-2</v>
      </c>
      <c r="K24" s="87">
        <v>44209000</v>
      </c>
      <c r="L24" s="108">
        <v>106.37869999999999</v>
      </c>
      <c r="M24" s="87">
        <v>47027.212520000001</v>
      </c>
      <c r="N24" s="80"/>
      <c r="O24" s="88">
        <f t="shared" si="0"/>
        <v>2.1435164766126138E-2</v>
      </c>
      <c r="P24" s="88">
        <f>M24/'סכום נכסי הקרן'!$C$42</f>
        <v>1.2937388138209497E-2</v>
      </c>
    </row>
    <row r="25" spans="2:16">
      <c r="B25" s="86" t="s">
        <v>1569</v>
      </c>
      <c r="C25" s="80">
        <v>8793</v>
      </c>
      <c r="D25" s="80" t="s">
        <v>267</v>
      </c>
      <c r="E25" s="80"/>
      <c r="F25" s="107">
        <v>41122</v>
      </c>
      <c r="G25" s="87">
        <v>6.33</v>
      </c>
      <c r="H25" s="93" t="s">
        <v>166</v>
      </c>
      <c r="I25" s="94">
        <v>4.8000000000000001E-2</v>
      </c>
      <c r="J25" s="94">
        <v>4.8499999999999995E-2</v>
      </c>
      <c r="K25" s="87">
        <v>19359000</v>
      </c>
      <c r="L25" s="108">
        <v>104.9419</v>
      </c>
      <c r="M25" s="87">
        <v>20315.703730000001</v>
      </c>
      <c r="N25" s="80"/>
      <c r="O25" s="88">
        <f t="shared" si="0"/>
        <v>9.2599674413437541E-3</v>
      </c>
      <c r="P25" s="88">
        <f>M25/'סכום נכסי הקרן'!$C$42</f>
        <v>5.5889373486489704E-3</v>
      </c>
    </row>
    <row r="26" spans="2:16">
      <c r="B26" s="86" t="s">
        <v>1570</v>
      </c>
      <c r="C26" s="80" t="s">
        <v>1571</v>
      </c>
      <c r="D26" s="80" t="s">
        <v>267</v>
      </c>
      <c r="E26" s="80"/>
      <c r="F26" s="107">
        <v>41154</v>
      </c>
      <c r="G26" s="87">
        <v>6.41</v>
      </c>
      <c r="H26" s="93" t="s">
        <v>166</v>
      </c>
      <c r="I26" s="94">
        <v>4.8000000000000001E-2</v>
      </c>
      <c r="J26" s="94">
        <v>4.8599999999999997E-2</v>
      </c>
      <c r="K26" s="87">
        <v>5375000</v>
      </c>
      <c r="L26" s="108">
        <v>104.4203</v>
      </c>
      <c r="M26" s="87">
        <v>5612.5914899999998</v>
      </c>
      <c r="N26" s="80"/>
      <c r="O26" s="88">
        <f t="shared" si="0"/>
        <v>2.5582384518738513E-3</v>
      </c>
      <c r="P26" s="88">
        <f>M26/'סכום נכסי הקרן'!$C$42</f>
        <v>1.5440480240341823E-3</v>
      </c>
    </row>
    <row r="27" spans="2:16">
      <c r="B27" s="86" t="s">
        <v>1572</v>
      </c>
      <c r="C27" s="80" t="s">
        <v>1573</v>
      </c>
      <c r="D27" s="80" t="s">
        <v>267</v>
      </c>
      <c r="E27" s="80"/>
      <c r="F27" s="107">
        <v>41184</v>
      </c>
      <c r="G27" s="87">
        <v>6.4899999999999993</v>
      </c>
      <c r="H27" s="93" t="s">
        <v>166</v>
      </c>
      <c r="I27" s="94">
        <v>4.8000000000000001E-2</v>
      </c>
      <c r="J27" s="94">
        <v>4.8599999999999997E-2</v>
      </c>
      <c r="K27" s="87">
        <v>7085000</v>
      </c>
      <c r="L27" s="108">
        <v>102.923</v>
      </c>
      <c r="M27" s="87">
        <v>7292.0799400000005</v>
      </c>
      <c r="N27" s="80"/>
      <c r="O27" s="88">
        <f t="shared" si="0"/>
        <v>3.3237550478924962E-3</v>
      </c>
      <c r="P27" s="88">
        <f>M27/'סכום נכסי הקרן'!$C$42</f>
        <v>2.0060825097492174E-3</v>
      </c>
    </row>
    <row r="28" spans="2:16">
      <c r="B28" s="86" t="s">
        <v>1574</v>
      </c>
      <c r="C28" s="80" t="s">
        <v>1575</v>
      </c>
      <c r="D28" s="80" t="s">
        <v>267</v>
      </c>
      <c r="E28" s="80"/>
      <c r="F28" s="107">
        <v>41245</v>
      </c>
      <c r="G28" s="87">
        <v>6.660000000000001</v>
      </c>
      <c r="H28" s="93" t="s">
        <v>166</v>
      </c>
      <c r="I28" s="94">
        <v>4.8000000000000001E-2</v>
      </c>
      <c r="J28" s="94">
        <v>4.8600000000000004E-2</v>
      </c>
      <c r="K28" s="87">
        <v>2909000</v>
      </c>
      <c r="L28" s="108">
        <v>102.3087</v>
      </c>
      <c r="M28" s="87">
        <v>2976.1610299999998</v>
      </c>
      <c r="N28" s="80"/>
      <c r="O28" s="88">
        <f t="shared" si="0"/>
        <v>1.3565444054640231E-3</v>
      </c>
      <c r="P28" s="88">
        <f>M28/'סכום נכסי הקרן'!$C$42</f>
        <v>8.187546814633817E-4</v>
      </c>
    </row>
    <row r="29" spans="2:16">
      <c r="B29" s="86" t="s">
        <v>1576</v>
      </c>
      <c r="C29" s="80" t="s">
        <v>1577</v>
      </c>
      <c r="D29" s="80" t="s">
        <v>267</v>
      </c>
      <c r="E29" s="80"/>
      <c r="F29" s="107">
        <v>41275</v>
      </c>
      <c r="G29" s="87">
        <v>6.59</v>
      </c>
      <c r="H29" s="93" t="s">
        <v>166</v>
      </c>
      <c r="I29" s="94">
        <v>4.8000000000000001E-2</v>
      </c>
      <c r="J29" s="94">
        <v>4.8499999999999995E-2</v>
      </c>
      <c r="K29" s="87">
        <v>10748000</v>
      </c>
      <c r="L29" s="108">
        <v>104.85339999999999</v>
      </c>
      <c r="M29" s="87">
        <v>11269.694820000001</v>
      </c>
      <c r="N29" s="80"/>
      <c r="O29" s="88">
        <f t="shared" si="0"/>
        <v>5.1367655530916902E-3</v>
      </c>
      <c r="P29" s="88">
        <f>M29/'סכום נכסי הקרן'!$C$42</f>
        <v>3.1003414464232213E-3</v>
      </c>
    </row>
    <row r="30" spans="2:16">
      <c r="B30" s="86" t="s">
        <v>1578</v>
      </c>
      <c r="C30" s="80" t="s">
        <v>1579</v>
      </c>
      <c r="D30" s="80" t="s">
        <v>267</v>
      </c>
      <c r="E30" s="80"/>
      <c r="F30" s="107">
        <v>41306</v>
      </c>
      <c r="G30" s="87">
        <v>6.67</v>
      </c>
      <c r="H30" s="93" t="s">
        <v>166</v>
      </c>
      <c r="I30" s="94">
        <v>4.8000000000000001E-2</v>
      </c>
      <c r="J30" s="94">
        <v>4.8499999999999995E-2</v>
      </c>
      <c r="K30" s="87">
        <v>6369000</v>
      </c>
      <c r="L30" s="108">
        <v>104.24290000000001</v>
      </c>
      <c r="M30" s="87">
        <v>6639.4354299999995</v>
      </c>
      <c r="N30" s="80"/>
      <c r="O30" s="88">
        <f t="shared" si="0"/>
        <v>3.0262774417169629E-3</v>
      </c>
      <c r="P30" s="88">
        <f>M30/'סכום נכסי הקרן'!$C$42</f>
        <v>1.8265372020499647E-3</v>
      </c>
    </row>
    <row r="31" spans="2:16">
      <c r="B31" s="86" t="s">
        <v>1580</v>
      </c>
      <c r="C31" s="80" t="s">
        <v>1581</v>
      </c>
      <c r="D31" s="80" t="s">
        <v>267</v>
      </c>
      <c r="E31" s="80"/>
      <c r="F31" s="107">
        <v>41334</v>
      </c>
      <c r="G31" s="87">
        <v>6.75</v>
      </c>
      <c r="H31" s="93" t="s">
        <v>166</v>
      </c>
      <c r="I31" s="94">
        <v>4.8000000000000001E-2</v>
      </c>
      <c r="J31" s="94">
        <v>4.8499999999999995E-2</v>
      </c>
      <c r="K31" s="87">
        <v>8061000</v>
      </c>
      <c r="L31" s="108">
        <v>104.0129</v>
      </c>
      <c r="M31" s="87">
        <v>8384.4830499999989</v>
      </c>
      <c r="N31" s="80"/>
      <c r="O31" s="88">
        <f t="shared" si="0"/>
        <v>3.8216761322842231E-3</v>
      </c>
      <c r="P31" s="88">
        <f>M31/'סכום נכסי הקרן'!$C$42</f>
        <v>2.3066072969975932E-3</v>
      </c>
    </row>
    <row r="32" spans="2:16">
      <c r="B32" s="86" t="s">
        <v>1582</v>
      </c>
      <c r="C32" s="80" t="s">
        <v>1583</v>
      </c>
      <c r="D32" s="80" t="s">
        <v>267</v>
      </c>
      <c r="E32" s="80"/>
      <c r="F32" s="107">
        <v>41366</v>
      </c>
      <c r="G32" s="87">
        <v>6.8299999999999992</v>
      </c>
      <c r="H32" s="93" t="s">
        <v>166</v>
      </c>
      <c r="I32" s="94">
        <v>4.8000000000000001E-2</v>
      </c>
      <c r="J32" s="94">
        <v>4.8599999999999997E-2</v>
      </c>
      <c r="K32" s="87">
        <v>2348000</v>
      </c>
      <c r="L32" s="108">
        <v>103.5925</v>
      </c>
      <c r="M32" s="87">
        <v>2432.4116400000003</v>
      </c>
      <c r="N32" s="80"/>
      <c r="O32" s="88">
        <f t="shared" si="0"/>
        <v>1.1087015684858861E-3</v>
      </c>
      <c r="P32" s="88">
        <f>M32/'סכום נכסי הקרן'!$C$42</f>
        <v>6.6916688896232954E-4</v>
      </c>
    </row>
    <row r="33" spans="2:16">
      <c r="B33" s="86" t="s">
        <v>1584</v>
      </c>
      <c r="C33" s="80">
        <v>2704</v>
      </c>
      <c r="D33" s="80" t="s">
        <v>267</v>
      </c>
      <c r="E33" s="80"/>
      <c r="F33" s="107">
        <v>41395</v>
      </c>
      <c r="G33" s="87">
        <v>6.9200000000000008</v>
      </c>
      <c r="H33" s="93" t="s">
        <v>166</v>
      </c>
      <c r="I33" s="94">
        <v>4.8000000000000001E-2</v>
      </c>
      <c r="J33" s="94">
        <v>4.8500000000000008E-2</v>
      </c>
      <c r="K33" s="87">
        <v>2895000</v>
      </c>
      <c r="L33" s="108">
        <v>102.988</v>
      </c>
      <c r="M33" s="87">
        <v>2981.5020499999996</v>
      </c>
      <c r="N33" s="80"/>
      <c r="O33" s="88">
        <f t="shared" si="0"/>
        <v>1.3589788606992869E-3</v>
      </c>
      <c r="P33" s="88">
        <f>M33/'סכום נכסי הקרן'!$C$42</f>
        <v>8.2022401900416308E-4</v>
      </c>
    </row>
    <row r="34" spans="2:16">
      <c r="B34" s="86" t="s">
        <v>1585</v>
      </c>
      <c r="C34" s="80" t="s">
        <v>1586</v>
      </c>
      <c r="D34" s="80" t="s">
        <v>267</v>
      </c>
      <c r="E34" s="80"/>
      <c r="F34" s="107">
        <v>41427</v>
      </c>
      <c r="G34" s="87">
        <v>7</v>
      </c>
      <c r="H34" s="93" t="s">
        <v>166</v>
      </c>
      <c r="I34" s="94">
        <v>4.8000000000000001E-2</v>
      </c>
      <c r="J34" s="94">
        <v>4.8600000000000004E-2</v>
      </c>
      <c r="K34" s="87">
        <v>3293000</v>
      </c>
      <c r="L34" s="108">
        <v>102.1662</v>
      </c>
      <c r="M34" s="87">
        <v>3364.3400699999997</v>
      </c>
      <c r="N34" s="80"/>
      <c r="O34" s="88">
        <f t="shared" si="0"/>
        <v>1.533477743318526E-3</v>
      </c>
      <c r="P34" s="88">
        <f>M34/'סכום נכסי הקרן'!$C$42</f>
        <v>9.2554440253098179E-4</v>
      </c>
    </row>
    <row r="35" spans="2:16">
      <c r="B35" s="86" t="s">
        <v>1587</v>
      </c>
      <c r="C35" s="80">
        <v>8805</v>
      </c>
      <c r="D35" s="80" t="s">
        <v>267</v>
      </c>
      <c r="E35" s="80"/>
      <c r="F35" s="107">
        <v>41487</v>
      </c>
      <c r="G35" s="87">
        <v>7</v>
      </c>
      <c r="H35" s="93" t="s">
        <v>166</v>
      </c>
      <c r="I35" s="94">
        <v>4.8000000000000001E-2</v>
      </c>
      <c r="J35" s="94">
        <v>4.8500000000000015E-2</v>
      </c>
      <c r="K35" s="87">
        <v>4833000</v>
      </c>
      <c r="L35" s="108">
        <v>102.8857</v>
      </c>
      <c r="M35" s="87">
        <v>4972.6272199999994</v>
      </c>
      <c r="N35" s="80"/>
      <c r="O35" s="88">
        <f t="shared" si="0"/>
        <v>2.2665405425825089E-3</v>
      </c>
      <c r="P35" s="88">
        <f>M35/'סכום נכסי הקרן'!$C$42</f>
        <v>1.3679911048184248E-3</v>
      </c>
    </row>
    <row r="36" spans="2:16">
      <c r="B36" s="86" t="s">
        <v>1588</v>
      </c>
      <c r="C36" s="80">
        <v>8806</v>
      </c>
      <c r="D36" s="80" t="s">
        <v>267</v>
      </c>
      <c r="E36" s="80"/>
      <c r="F36" s="107">
        <v>41518</v>
      </c>
      <c r="G36" s="87">
        <v>7.0900000000000007</v>
      </c>
      <c r="H36" s="93" t="s">
        <v>166</v>
      </c>
      <c r="I36" s="94">
        <v>4.8000000000000001E-2</v>
      </c>
      <c r="J36" s="94">
        <v>4.8499999999999995E-2</v>
      </c>
      <c r="K36" s="87">
        <v>3757000</v>
      </c>
      <c r="L36" s="108">
        <v>102.1831</v>
      </c>
      <c r="M36" s="87">
        <v>3838.87104</v>
      </c>
      <c r="N36" s="80"/>
      <c r="O36" s="88">
        <f t="shared" si="0"/>
        <v>1.7497705870471185E-3</v>
      </c>
      <c r="P36" s="88">
        <f>M36/'סכום נכסי הקרן'!$C$42</f>
        <v>1.056089910408578E-3</v>
      </c>
    </row>
    <row r="37" spans="2:16">
      <c r="B37" s="86" t="s">
        <v>1589</v>
      </c>
      <c r="C37" s="80" t="s">
        <v>1590</v>
      </c>
      <c r="D37" s="80" t="s">
        <v>267</v>
      </c>
      <c r="E37" s="80"/>
      <c r="F37" s="107">
        <v>41548</v>
      </c>
      <c r="G37" s="87">
        <v>7.169999999999999</v>
      </c>
      <c r="H37" s="93" t="s">
        <v>166</v>
      </c>
      <c r="I37" s="94">
        <v>4.8000000000000001E-2</v>
      </c>
      <c r="J37" s="94">
        <v>4.8599999999999997E-2</v>
      </c>
      <c r="K37" s="87">
        <v>10010000</v>
      </c>
      <c r="L37" s="108">
        <v>101.5748</v>
      </c>
      <c r="M37" s="87">
        <v>10166.48306</v>
      </c>
      <c r="N37" s="80"/>
      <c r="O37" s="88">
        <f t="shared" si="0"/>
        <v>4.6339178489571732E-3</v>
      </c>
      <c r="P37" s="88">
        <f>M37/'סכום נכסי הקרן'!$C$42</f>
        <v>2.7968431531385138E-3</v>
      </c>
    </row>
    <row r="38" spans="2:16">
      <c r="B38" s="86" t="s">
        <v>1591</v>
      </c>
      <c r="C38" s="80" t="s">
        <v>1592</v>
      </c>
      <c r="D38" s="80" t="s">
        <v>267</v>
      </c>
      <c r="E38" s="80"/>
      <c r="F38" s="107">
        <v>41579</v>
      </c>
      <c r="G38" s="87">
        <v>7.2500000000000009</v>
      </c>
      <c r="H38" s="93" t="s">
        <v>166</v>
      </c>
      <c r="I38" s="94">
        <v>4.8000000000000001E-2</v>
      </c>
      <c r="J38" s="94">
        <v>4.8500000000000008E-2</v>
      </c>
      <c r="K38" s="87">
        <v>67696000</v>
      </c>
      <c r="L38" s="108">
        <v>101.17529999999999</v>
      </c>
      <c r="M38" s="87">
        <v>68485.142240000001</v>
      </c>
      <c r="N38" s="80"/>
      <c r="O38" s="88">
        <f t="shared" si="0"/>
        <v>3.1215762731454041E-2</v>
      </c>
      <c r="P38" s="88">
        <f>M38/'סכום נכסי הקרן'!$C$42</f>
        <v>1.8840556762375723E-2</v>
      </c>
    </row>
    <row r="39" spans="2:16">
      <c r="B39" s="86" t="s">
        <v>1593</v>
      </c>
      <c r="C39" s="80" t="s">
        <v>1594</v>
      </c>
      <c r="D39" s="80" t="s">
        <v>267</v>
      </c>
      <c r="E39" s="80"/>
      <c r="F39" s="107">
        <v>41609</v>
      </c>
      <c r="G39" s="87">
        <v>7.34</v>
      </c>
      <c r="H39" s="93" t="s">
        <v>166</v>
      </c>
      <c r="I39" s="94">
        <v>4.8000000000000001E-2</v>
      </c>
      <c r="J39" s="94">
        <v>4.8499999999999995E-2</v>
      </c>
      <c r="K39" s="87">
        <v>24633000</v>
      </c>
      <c r="L39" s="108">
        <v>100.4819</v>
      </c>
      <c r="M39" s="87">
        <v>24751.12759</v>
      </c>
      <c r="N39" s="80"/>
      <c r="O39" s="88">
        <f t="shared" si="0"/>
        <v>1.1281648849874475E-2</v>
      </c>
      <c r="P39" s="88">
        <f>M39/'סכום נכסי הקרן'!$C$42</f>
        <v>6.8091415019334387E-3</v>
      </c>
    </row>
    <row r="40" spans="2:16">
      <c r="B40" s="86" t="s">
        <v>1595</v>
      </c>
      <c r="C40" s="80" t="s">
        <v>1596</v>
      </c>
      <c r="D40" s="80" t="s">
        <v>267</v>
      </c>
      <c r="E40" s="80"/>
      <c r="F40" s="107">
        <v>41672</v>
      </c>
      <c r="G40" s="87">
        <v>7.330000000000001</v>
      </c>
      <c r="H40" s="93" t="s">
        <v>166</v>
      </c>
      <c r="I40" s="94">
        <v>4.8000000000000001E-2</v>
      </c>
      <c r="J40" s="94">
        <v>4.8500000000000008E-2</v>
      </c>
      <c r="K40" s="87">
        <v>2888000</v>
      </c>
      <c r="L40" s="108">
        <v>102.37869999999999</v>
      </c>
      <c r="M40" s="87">
        <v>2956.66228</v>
      </c>
      <c r="N40" s="80"/>
      <c r="O40" s="88">
        <f t="shared" si="0"/>
        <v>1.3476568083348984E-3</v>
      </c>
      <c r="P40" s="88">
        <f>M40/'סכום נכסי הקרן'!$C$42</f>
        <v>8.1339049159453449E-4</v>
      </c>
    </row>
    <row r="41" spans="2:16">
      <c r="B41" s="86" t="s">
        <v>1597</v>
      </c>
      <c r="C41" s="80" t="s">
        <v>1598</v>
      </c>
      <c r="D41" s="80" t="s">
        <v>267</v>
      </c>
      <c r="E41" s="80"/>
      <c r="F41" s="107">
        <v>41700</v>
      </c>
      <c r="G41" s="87">
        <v>7.41</v>
      </c>
      <c r="H41" s="93" t="s">
        <v>166</v>
      </c>
      <c r="I41" s="94">
        <v>4.8000000000000001E-2</v>
      </c>
      <c r="J41" s="94">
        <v>4.8600000000000004E-2</v>
      </c>
      <c r="K41" s="87">
        <v>4206000</v>
      </c>
      <c r="L41" s="108">
        <v>102.5752</v>
      </c>
      <c r="M41" s="87">
        <v>4314.4400599999999</v>
      </c>
      <c r="N41" s="80"/>
      <c r="O41" s="88">
        <f t="shared" si="0"/>
        <v>1.9665365775261377E-3</v>
      </c>
      <c r="P41" s="88">
        <f>M41/'סכום נכסי הקרן'!$C$42</f>
        <v>1.186920990299424E-3</v>
      </c>
    </row>
    <row r="42" spans="2:16">
      <c r="B42" s="86" t="s">
        <v>1599</v>
      </c>
      <c r="C42" s="80" t="s">
        <v>1600</v>
      </c>
      <c r="D42" s="80" t="s">
        <v>267</v>
      </c>
      <c r="E42" s="80"/>
      <c r="F42" s="107">
        <v>41730</v>
      </c>
      <c r="G42" s="87">
        <v>7.49</v>
      </c>
      <c r="H42" s="93" t="s">
        <v>166</v>
      </c>
      <c r="I42" s="94">
        <v>4.8000000000000001E-2</v>
      </c>
      <c r="J42" s="94">
        <v>4.8499999999999995E-2</v>
      </c>
      <c r="K42" s="87">
        <v>497000</v>
      </c>
      <c r="L42" s="108">
        <v>102.3811</v>
      </c>
      <c r="M42" s="87">
        <v>508.91376000000002</v>
      </c>
      <c r="N42" s="80"/>
      <c r="O42" s="88">
        <f t="shared" si="0"/>
        <v>2.3196463734076266E-4</v>
      </c>
      <c r="P42" s="88">
        <f>M42/'סכום נכסי הקרן'!$C$42</f>
        <v>1.4000436107488846E-4</v>
      </c>
    </row>
    <row r="43" spans="2:16">
      <c r="B43" s="86" t="s">
        <v>1601</v>
      </c>
      <c r="C43" s="80" t="s">
        <v>1602</v>
      </c>
      <c r="D43" s="80" t="s">
        <v>267</v>
      </c>
      <c r="E43" s="80"/>
      <c r="F43" s="107">
        <v>41821</v>
      </c>
      <c r="G43" s="87">
        <v>7.5600000000000014</v>
      </c>
      <c r="H43" s="93" t="s">
        <v>166</v>
      </c>
      <c r="I43" s="94">
        <v>4.8000000000000001E-2</v>
      </c>
      <c r="J43" s="94">
        <v>4.8499999999999995E-2</v>
      </c>
      <c r="K43" s="87">
        <v>7513000</v>
      </c>
      <c r="L43" s="108">
        <v>103.0945</v>
      </c>
      <c r="M43" s="87">
        <v>7745.4958099999994</v>
      </c>
      <c r="N43" s="80"/>
      <c r="O43" s="88">
        <f t="shared" si="0"/>
        <v>3.5304235566180142E-3</v>
      </c>
      <c r="P43" s="88">
        <f>M43/'סכום נכסי הקרן'!$C$42</f>
        <v>2.130819162931015E-3</v>
      </c>
    </row>
    <row r="44" spans="2:16">
      <c r="B44" s="86" t="s">
        <v>1603</v>
      </c>
      <c r="C44" s="80" t="s">
        <v>1604</v>
      </c>
      <c r="D44" s="80" t="s">
        <v>267</v>
      </c>
      <c r="E44" s="80"/>
      <c r="F44" s="107">
        <v>41852</v>
      </c>
      <c r="G44" s="87">
        <v>7.6499999999999995</v>
      </c>
      <c r="H44" s="93" t="s">
        <v>166</v>
      </c>
      <c r="I44" s="94">
        <v>4.8000000000000001E-2</v>
      </c>
      <c r="J44" s="94">
        <v>4.8499999999999995E-2</v>
      </c>
      <c r="K44" s="87">
        <v>5430000</v>
      </c>
      <c r="L44" s="108">
        <v>102.3854</v>
      </c>
      <c r="M44" s="87">
        <v>5559.6253200000001</v>
      </c>
      <c r="N44" s="80"/>
      <c r="O44" s="88">
        <f t="shared" si="0"/>
        <v>2.5340962899182006E-3</v>
      </c>
      <c r="P44" s="88">
        <f>M44/'סכום נכסי הקרן'!$C$42</f>
        <v>1.5294768031864029E-3</v>
      </c>
    </row>
    <row r="45" spans="2:16">
      <c r="B45" s="86" t="s">
        <v>1605</v>
      </c>
      <c r="C45" s="80" t="s">
        <v>1606</v>
      </c>
      <c r="D45" s="80" t="s">
        <v>267</v>
      </c>
      <c r="E45" s="80"/>
      <c r="F45" s="107">
        <v>41913</v>
      </c>
      <c r="G45" s="87">
        <v>7.81</v>
      </c>
      <c r="H45" s="93" t="s">
        <v>166</v>
      </c>
      <c r="I45" s="94">
        <v>4.8000000000000001E-2</v>
      </c>
      <c r="J45" s="94">
        <v>4.8500000000000008E-2</v>
      </c>
      <c r="K45" s="87">
        <v>6882000</v>
      </c>
      <c r="L45" s="108">
        <v>101.5806</v>
      </c>
      <c r="M45" s="87">
        <v>6991.1038200000003</v>
      </c>
      <c r="N45" s="80"/>
      <c r="O45" s="88">
        <f t="shared" si="0"/>
        <v>3.1865691000729089E-3</v>
      </c>
      <c r="P45" s="88">
        <f>M45/'סכום נכסי הקרן'!$C$42</f>
        <v>1.9232826864954721E-3</v>
      </c>
    </row>
    <row r="46" spans="2:16">
      <c r="B46" s="86" t="s">
        <v>1607</v>
      </c>
      <c r="C46" s="80" t="s">
        <v>1608</v>
      </c>
      <c r="D46" s="80" t="s">
        <v>267</v>
      </c>
      <c r="E46" s="80"/>
      <c r="F46" s="107">
        <v>41945</v>
      </c>
      <c r="G46" s="87">
        <v>7.9</v>
      </c>
      <c r="H46" s="93" t="s">
        <v>166</v>
      </c>
      <c r="I46" s="94">
        <v>4.8000000000000001E-2</v>
      </c>
      <c r="J46" s="94">
        <v>4.8500000000000008E-2</v>
      </c>
      <c r="K46" s="87">
        <v>7386000</v>
      </c>
      <c r="L46" s="108">
        <v>101.4635</v>
      </c>
      <c r="M46" s="87">
        <v>7494.1227699999999</v>
      </c>
      <c r="N46" s="80"/>
      <c r="O46" s="88">
        <f t="shared" si="0"/>
        <v>3.4158468627969534E-3</v>
      </c>
      <c r="P46" s="88">
        <f>M46/'סכום נכסי הקרן'!$C$42</f>
        <v>2.0616653600221443E-3</v>
      </c>
    </row>
    <row r="47" spans="2:16">
      <c r="B47" s="86" t="s">
        <v>1609</v>
      </c>
      <c r="C47" s="80" t="s">
        <v>1610</v>
      </c>
      <c r="D47" s="80" t="s">
        <v>267</v>
      </c>
      <c r="E47" s="80"/>
      <c r="F47" s="107">
        <v>41974</v>
      </c>
      <c r="G47" s="87">
        <v>7.98</v>
      </c>
      <c r="H47" s="93" t="s">
        <v>166</v>
      </c>
      <c r="I47" s="94">
        <v>4.8000000000000001E-2</v>
      </c>
      <c r="J47" s="94">
        <v>4.8499999999999995E-2</v>
      </c>
      <c r="K47" s="87">
        <v>74000</v>
      </c>
      <c r="L47" s="108">
        <v>100.77719999999999</v>
      </c>
      <c r="M47" s="87">
        <v>74.578050000000005</v>
      </c>
      <c r="N47" s="80"/>
      <c r="O47" s="88">
        <f t="shared" si="0"/>
        <v>3.3992930986639589E-5</v>
      </c>
      <c r="P47" s="88">
        <f>M47/'סכום נכסי הקרן'!$C$42</f>
        <v>2.0516741855164391E-5</v>
      </c>
    </row>
    <row r="48" spans="2:16">
      <c r="B48" s="86" t="s">
        <v>1611</v>
      </c>
      <c r="C48" s="80" t="s">
        <v>1612</v>
      </c>
      <c r="D48" s="80" t="s">
        <v>267</v>
      </c>
      <c r="E48" s="80"/>
      <c r="F48" s="107">
        <v>42005</v>
      </c>
      <c r="G48" s="87">
        <v>7.8800000000000008</v>
      </c>
      <c r="H48" s="93" t="s">
        <v>166</v>
      </c>
      <c r="I48" s="94">
        <v>4.8000000000000001E-2</v>
      </c>
      <c r="J48" s="94">
        <v>4.8499999999999995E-2</v>
      </c>
      <c r="K48" s="87">
        <v>4523000</v>
      </c>
      <c r="L48" s="108">
        <v>102.99339999999999</v>
      </c>
      <c r="M48" s="87">
        <v>4658.3934300000001</v>
      </c>
      <c r="N48" s="80"/>
      <c r="O48" s="88">
        <f t="shared" si="0"/>
        <v>2.1233117033041932E-3</v>
      </c>
      <c r="P48" s="88">
        <f>M48/'סכום נכסי הקרן'!$C$42</f>
        <v>1.2815440396082198E-3</v>
      </c>
    </row>
    <row r="49" spans="2:16">
      <c r="B49" s="86" t="s">
        <v>1613</v>
      </c>
      <c r="C49" s="80" t="s">
        <v>1614</v>
      </c>
      <c r="D49" s="80" t="s">
        <v>267</v>
      </c>
      <c r="E49" s="80"/>
      <c r="F49" s="107">
        <v>42036</v>
      </c>
      <c r="G49" s="87">
        <v>7.96</v>
      </c>
      <c r="H49" s="93" t="s">
        <v>166</v>
      </c>
      <c r="I49" s="94">
        <v>4.8000000000000001E-2</v>
      </c>
      <c r="J49" s="94">
        <v>4.8500000000000008E-2</v>
      </c>
      <c r="K49" s="87">
        <v>23460000</v>
      </c>
      <c r="L49" s="108">
        <v>102.58710000000001</v>
      </c>
      <c r="M49" s="87">
        <v>24066.936610000001</v>
      </c>
      <c r="N49" s="80"/>
      <c r="O49" s="88">
        <f t="shared" si="0"/>
        <v>1.0969792254471119E-2</v>
      </c>
      <c r="P49" s="88">
        <f>M49/'סכום נכסי הקרן'!$C$42</f>
        <v>6.6209176248504106E-3</v>
      </c>
    </row>
    <row r="50" spans="2:16">
      <c r="B50" s="86" t="s">
        <v>1615</v>
      </c>
      <c r="C50" s="80" t="s">
        <v>1616</v>
      </c>
      <c r="D50" s="80" t="s">
        <v>267</v>
      </c>
      <c r="E50" s="80"/>
      <c r="F50" s="107">
        <v>42064</v>
      </c>
      <c r="G50" s="87">
        <v>8.0399999999999991</v>
      </c>
      <c r="H50" s="93" t="s">
        <v>166</v>
      </c>
      <c r="I50" s="94">
        <v>4.8000000000000001E-2</v>
      </c>
      <c r="J50" s="94">
        <v>4.8499999999999995E-2</v>
      </c>
      <c r="K50" s="87">
        <v>15659000</v>
      </c>
      <c r="L50" s="108">
        <v>103.1007</v>
      </c>
      <c r="M50" s="87">
        <v>16144.53926</v>
      </c>
      <c r="N50" s="80"/>
      <c r="O50" s="88">
        <f t="shared" si="0"/>
        <v>7.3587363691632246E-3</v>
      </c>
      <c r="P50" s="88">
        <f>M50/'סכום נכסי הקרן'!$C$42</f>
        <v>4.4414320885030742E-3</v>
      </c>
    </row>
    <row r="51" spans="2:16">
      <c r="B51" s="86" t="s">
        <v>1617</v>
      </c>
      <c r="C51" s="80" t="s">
        <v>1618</v>
      </c>
      <c r="D51" s="80" t="s">
        <v>267</v>
      </c>
      <c r="E51" s="80"/>
      <c r="F51" s="107">
        <v>42095</v>
      </c>
      <c r="G51" s="87">
        <v>8.120000000000001</v>
      </c>
      <c r="H51" s="93" t="s">
        <v>166</v>
      </c>
      <c r="I51" s="94">
        <v>4.8000000000000001E-2</v>
      </c>
      <c r="J51" s="94">
        <v>4.8499999999999995E-2</v>
      </c>
      <c r="K51" s="87">
        <v>30858000</v>
      </c>
      <c r="L51" s="108">
        <v>103.43049999999999</v>
      </c>
      <c r="M51" s="87">
        <v>31916.582409999999</v>
      </c>
      <c r="N51" s="80"/>
      <c r="O51" s="88">
        <f t="shared" si="0"/>
        <v>1.4547687733757118E-2</v>
      </c>
      <c r="P51" s="88">
        <f>M51/'סכום נכסי הקרן'!$C$42</f>
        <v>8.7803888973370919E-3</v>
      </c>
    </row>
    <row r="52" spans="2:16">
      <c r="B52" s="86" t="s">
        <v>1619</v>
      </c>
      <c r="C52" s="80" t="s">
        <v>1620</v>
      </c>
      <c r="D52" s="80" t="s">
        <v>267</v>
      </c>
      <c r="E52" s="80"/>
      <c r="F52" s="107">
        <v>42125</v>
      </c>
      <c r="G52" s="87">
        <v>8.2100000000000009</v>
      </c>
      <c r="H52" s="93" t="s">
        <v>166</v>
      </c>
      <c r="I52" s="94">
        <v>4.8000000000000001E-2</v>
      </c>
      <c r="J52" s="94">
        <v>4.8499999999999995E-2</v>
      </c>
      <c r="K52" s="87">
        <v>3766000</v>
      </c>
      <c r="L52" s="108">
        <v>102.70959999999999</v>
      </c>
      <c r="M52" s="87">
        <v>3868.0443399999999</v>
      </c>
      <c r="N52" s="80"/>
      <c r="O52" s="88">
        <f t="shared" si="0"/>
        <v>1.7630678772491623E-3</v>
      </c>
      <c r="P52" s="88">
        <f>M52/'סכום נכסי הקרן'!$C$42</f>
        <v>1.0641156105329881E-3</v>
      </c>
    </row>
    <row r="53" spans="2:16">
      <c r="B53" s="86" t="s">
        <v>1621</v>
      </c>
      <c r="C53" s="80" t="s">
        <v>1622</v>
      </c>
      <c r="D53" s="80" t="s">
        <v>267</v>
      </c>
      <c r="E53" s="80"/>
      <c r="F53" s="107">
        <v>42156</v>
      </c>
      <c r="G53" s="87">
        <v>8.2899999999999991</v>
      </c>
      <c r="H53" s="93" t="s">
        <v>166</v>
      </c>
      <c r="I53" s="94">
        <v>4.8000000000000001E-2</v>
      </c>
      <c r="J53" s="94">
        <v>4.8499999999999995E-2</v>
      </c>
      <c r="K53" s="87">
        <v>33682000</v>
      </c>
      <c r="L53" s="108">
        <v>101.6874</v>
      </c>
      <c r="M53" s="87">
        <v>34250.67553</v>
      </c>
      <c r="N53" s="80"/>
      <c r="O53" s="88">
        <f t="shared" si="0"/>
        <v>1.5611575383602486E-2</v>
      </c>
      <c r="P53" s="88">
        <f>M53/'סכום נכסי הקרן'!$C$42</f>
        <v>9.4225079391859375E-3</v>
      </c>
    </row>
    <row r="54" spans="2:16">
      <c r="B54" s="86" t="s">
        <v>1623</v>
      </c>
      <c r="C54" s="80" t="s">
        <v>1624</v>
      </c>
      <c r="D54" s="80" t="s">
        <v>267</v>
      </c>
      <c r="E54" s="80"/>
      <c r="F54" s="107">
        <v>42218</v>
      </c>
      <c r="G54" s="87">
        <v>8.27</v>
      </c>
      <c r="H54" s="93" t="s">
        <v>166</v>
      </c>
      <c r="I54" s="94">
        <v>4.8000000000000001E-2</v>
      </c>
      <c r="J54" s="94">
        <v>4.8499999999999995E-2</v>
      </c>
      <c r="K54" s="87">
        <v>14923000</v>
      </c>
      <c r="L54" s="108">
        <v>102.7769</v>
      </c>
      <c r="M54" s="87">
        <v>15337.391750000001</v>
      </c>
      <c r="N54" s="80"/>
      <c r="O54" s="88">
        <f t="shared" si="0"/>
        <v>6.9908357656549812E-3</v>
      </c>
      <c r="P54" s="88">
        <f>M54/'סכום נכסי הקרן'!$C$42</f>
        <v>4.2193823419394583E-3</v>
      </c>
    </row>
    <row r="55" spans="2:16">
      <c r="B55" s="86" t="s">
        <v>1625</v>
      </c>
      <c r="C55" s="80" t="s">
        <v>1626</v>
      </c>
      <c r="D55" s="80" t="s">
        <v>267</v>
      </c>
      <c r="E55" s="80"/>
      <c r="F55" s="107">
        <v>42309</v>
      </c>
      <c r="G55" s="87">
        <v>8.51</v>
      </c>
      <c r="H55" s="93" t="s">
        <v>166</v>
      </c>
      <c r="I55" s="94">
        <v>4.8000000000000001E-2</v>
      </c>
      <c r="J55" s="94">
        <v>4.8499999999999995E-2</v>
      </c>
      <c r="K55" s="87">
        <v>14985000</v>
      </c>
      <c r="L55" s="108">
        <v>101.9867</v>
      </c>
      <c r="M55" s="87">
        <v>15282.71333</v>
      </c>
      <c r="N55" s="80"/>
      <c r="O55" s="88">
        <f t="shared" si="0"/>
        <v>6.9659131542764516E-3</v>
      </c>
      <c r="P55" s="88">
        <f>M55/'סכום נכסי הקרן'!$C$42</f>
        <v>4.2043400737628535E-3</v>
      </c>
    </row>
    <row r="56" spans="2:16">
      <c r="B56" s="86" t="s">
        <v>1627</v>
      </c>
      <c r="C56" s="80" t="s">
        <v>1628</v>
      </c>
      <c r="D56" s="80" t="s">
        <v>267</v>
      </c>
      <c r="E56" s="80"/>
      <c r="F56" s="107">
        <v>42339</v>
      </c>
      <c r="G56" s="87">
        <v>8.6</v>
      </c>
      <c r="H56" s="93" t="s">
        <v>166</v>
      </c>
      <c r="I56" s="94">
        <v>4.8000000000000001E-2</v>
      </c>
      <c r="J56" s="94">
        <v>4.8499999999999995E-2</v>
      </c>
      <c r="K56" s="87">
        <v>25372000</v>
      </c>
      <c r="L56" s="108">
        <v>101.4823</v>
      </c>
      <c r="M56" s="87">
        <v>25748.092780000003</v>
      </c>
      <c r="N56" s="80"/>
      <c r="O56" s="88">
        <f t="shared" si="0"/>
        <v>1.1736069002985908E-2</v>
      </c>
      <c r="P56" s="88">
        <f>M56/'סכום נכסי הקרן'!$C$42</f>
        <v>7.0834109075000231E-3</v>
      </c>
    </row>
    <row r="57" spans="2:16">
      <c r="B57" s="86" t="s">
        <v>1629</v>
      </c>
      <c r="C57" s="80" t="s">
        <v>1630</v>
      </c>
      <c r="D57" s="80" t="s">
        <v>267</v>
      </c>
      <c r="E57" s="80"/>
      <c r="F57" s="107">
        <v>42370</v>
      </c>
      <c r="G57" s="87">
        <v>8.48</v>
      </c>
      <c r="H57" s="93" t="s">
        <v>166</v>
      </c>
      <c r="I57" s="94">
        <v>4.8000000000000001E-2</v>
      </c>
      <c r="J57" s="94">
        <v>4.8499999999999995E-2</v>
      </c>
      <c r="K57" s="87">
        <v>15147000</v>
      </c>
      <c r="L57" s="108">
        <v>103.9255</v>
      </c>
      <c r="M57" s="87">
        <v>15741.589550000001</v>
      </c>
      <c r="N57" s="80"/>
      <c r="O57" s="88">
        <f t="shared" si="0"/>
        <v>7.1750705092605265E-3</v>
      </c>
      <c r="P57" s="88">
        <f>M57/'סכום נכסי הקרן'!$C$42</f>
        <v>4.3305788926809342E-3</v>
      </c>
    </row>
    <row r="58" spans="2:16">
      <c r="B58" s="86" t="s">
        <v>1631</v>
      </c>
      <c r="C58" s="80" t="s">
        <v>1632</v>
      </c>
      <c r="D58" s="80" t="s">
        <v>267</v>
      </c>
      <c r="E58" s="80"/>
      <c r="F58" s="107">
        <v>42461</v>
      </c>
      <c r="G58" s="87">
        <v>8.7200000000000006</v>
      </c>
      <c r="H58" s="93" t="s">
        <v>166</v>
      </c>
      <c r="I58" s="94">
        <v>4.8000000000000001E-2</v>
      </c>
      <c r="J58" s="94">
        <v>4.8500000000000008E-2</v>
      </c>
      <c r="K58" s="87">
        <v>36491000</v>
      </c>
      <c r="L58" s="108">
        <v>103.6403</v>
      </c>
      <c r="M58" s="87">
        <v>37819.395400000001</v>
      </c>
      <c r="N58" s="80"/>
      <c r="O58" s="88">
        <f t="shared" si="0"/>
        <v>1.7238210140767086E-2</v>
      </c>
      <c r="P58" s="88">
        <f>M58/'סכום נכסי הקרן'!$C$42</f>
        <v>1.0404278102473739E-2</v>
      </c>
    </row>
    <row r="59" spans="2:16">
      <c r="B59" s="86" t="s">
        <v>1633</v>
      </c>
      <c r="C59" s="80" t="s">
        <v>1634</v>
      </c>
      <c r="D59" s="80" t="s">
        <v>267</v>
      </c>
      <c r="E59" s="80"/>
      <c r="F59" s="107">
        <v>42491</v>
      </c>
      <c r="G59" s="87">
        <v>8.8099999999999987</v>
      </c>
      <c r="H59" s="93" t="s">
        <v>166</v>
      </c>
      <c r="I59" s="94">
        <v>4.8000000000000001E-2</v>
      </c>
      <c r="J59" s="94">
        <v>4.8600000000000004E-2</v>
      </c>
      <c r="K59" s="87">
        <v>15511000</v>
      </c>
      <c r="L59" s="108">
        <v>103.4418</v>
      </c>
      <c r="M59" s="87">
        <v>16044.863509999999</v>
      </c>
      <c r="N59" s="80"/>
      <c r="O59" s="88">
        <f t="shared" si="0"/>
        <v>7.3133038204335164E-3</v>
      </c>
      <c r="P59" s="88">
        <f>M59/'סכום נכסי הקרן'!$C$42</f>
        <v>4.4140108615875152E-3</v>
      </c>
    </row>
    <row r="60" spans="2:16">
      <c r="B60" s="86" t="s">
        <v>1635</v>
      </c>
      <c r="C60" s="80" t="s">
        <v>1636</v>
      </c>
      <c r="D60" s="80" t="s">
        <v>267</v>
      </c>
      <c r="E60" s="80"/>
      <c r="F60" s="107">
        <v>42522</v>
      </c>
      <c r="G60" s="87">
        <v>8.89</v>
      </c>
      <c r="H60" s="93" t="s">
        <v>166</v>
      </c>
      <c r="I60" s="94">
        <v>4.8000000000000001E-2</v>
      </c>
      <c r="J60" s="94">
        <v>4.8500000000000008E-2</v>
      </c>
      <c r="K60" s="87">
        <v>13911000</v>
      </c>
      <c r="L60" s="108">
        <v>102.6153</v>
      </c>
      <c r="M60" s="87">
        <v>14274.807409999999</v>
      </c>
      <c r="N60" s="80"/>
      <c r="O60" s="88">
        <f t="shared" si="0"/>
        <v>6.5065061789052062E-3</v>
      </c>
      <c r="P60" s="88">
        <f>M60/'סכום נכסי הקרן'!$C$42</f>
        <v>3.9270608263846773E-3</v>
      </c>
    </row>
    <row r="61" spans="2:16">
      <c r="B61" s="86" t="s">
        <v>1637</v>
      </c>
      <c r="C61" s="80" t="s">
        <v>1638</v>
      </c>
      <c r="D61" s="80" t="s">
        <v>267</v>
      </c>
      <c r="E61" s="80"/>
      <c r="F61" s="107">
        <v>42552</v>
      </c>
      <c r="G61" s="87">
        <v>8.7700000000000014</v>
      </c>
      <c r="H61" s="93" t="s">
        <v>166</v>
      </c>
      <c r="I61" s="94">
        <v>4.8000000000000001E-2</v>
      </c>
      <c r="J61" s="94">
        <v>4.8500000000000008E-2</v>
      </c>
      <c r="K61" s="87">
        <v>15879000</v>
      </c>
      <c r="L61" s="108">
        <v>104.34529999999999</v>
      </c>
      <c r="M61" s="87">
        <v>16569.076699999998</v>
      </c>
      <c r="N61" s="80"/>
      <c r="O61" s="88">
        <f t="shared" si="0"/>
        <v>7.5522419904440778E-3</v>
      </c>
      <c r="P61" s="88">
        <f>M61/'סכום נכסי הקרן'!$C$42</f>
        <v>4.5582241615638782E-3</v>
      </c>
    </row>
    <row r="62" spans="2:16">
      <c r="B62" s="86" t="s">
        <v>1639</v>
      </c>
      <c r="C62" s="80" t="s">
        <v>1640</v>
      </c>
      <c r="D62" s="80" t="s">
        <v>267</v>
      </c>
      <c r="E62" s="80"/>
      <c r="F62" s="107">
        <v>42583</v>
      </c>
      <c r="G62" s="87">
        <v>8.8500000000000014</v>
      </c>
      <c r="H62" s="93" t="s">
        <v>166</v>
      </c>
      <c r="I62" s="94">
        <v>4.8000000000000001E-2</v>
      </c>
      <c r="J62" s="94">
        <v>4.8499999999999995E-2</v>
      </c>
      <c r="K62" s="87">
        <v>26211000</v>
      </c>
      <c r="L62" s="108">
        <v>103.63079999999999</v>
      </c>
      <c r="M62" s="87">
        <v>27162.826539999998</v>
      </c>
      <c r="N62" s="80"/>
      <c r="O62" s="88">
        <f t="shared" si="0"/>
        <v>1.238090950321552E-2</v>
      </c>
      <c r="P62" s="88">
        <f>M62/'סכום נכסי הקרן'!$C$42</f>
        <v>7.4726102409192526E-3</v>
      </c>
    </row>
    <row r="63" spans="2:16">
      <c r="B63" s="86" t="s">
        <v>1641</v>
      </c>
      <c r="C63" s="80" t="s">
        <v>1642</v>
      </c>
      <c r="D63" s="80" t="s">
        <v>267</v>
      </c>
      <c r="E63" s="80"/>
      <c r="F63" s="107">
        <v>42614</v>
      </c>
      <c r="G63" s="87">
        <v>8.93</v>
      </c>
      <c r="H63" s="93" t="s">
        <v>166</v>
      </c>
      <c r="I63" s="94">
        <v>4.8000000000000001E-2</v>
      </c>
      <c r="J63" s="94">
        <v>4.8500000000000008E-2</v>
      </c>
      <c r="K63" s="87">
        <v>10891000</v>
      </c>
      <c r="L63" s="108">
        <v>102.79649999999999</v>
      </c>
      <c r="M63" s="87">
        <v>11196.59786</v>
      </c>
      <c r="N63" s="80"/>
      <c r="O63" s="88">
        <f t="shared" si="0"/>
        <v>5.1034477080070684E-3</v>
      </c>
      <c r="P63" s="88">
        <f>M63/'סכום נכסי הקרן'!$C$42</f>
        <v>3.0802321587880886E-3</v>
      </c>
    </row>
    <row r="64" spans="2:16">
      <c r="B64" s="86" t="s">
        <v>1643</v>
      </c>
      <c r="C64" s="80" t="s">
        <v>1644</v>
      </c>
      <c r="D64" s="80" t="s">
        <v>267</v>
      </c>
      <c r="E64" s="80"/>
      <c r="F64" s="107">
        <v>42644</v>
      </c>
      <c r="G64" s="87">
        <v>9.02</v>
      </c>
      <c r="H64" s="93" t="s">
        <v>166</v>
      </c>
      <c r="I64" s="94">
        <v>4.8000000000000001E-2</v>
      </c>
      <c r="J64" s="94">
        <v>4.8499999999999995E-2</v>
      </c>
      <c r="K64" s="87">
        <v>11173000</v>
      </c>
      <c r="L64" s="108">
        <v>102.7002</v>
      </c>
      <c r="M64" s="87">
        <v>11475.191500000001</v>
      </c>
      <c r="N64" s="80"/>
      <c r="O64" s="88">
        <f t="shared" si="0"/>
        <v>5.2304316446725712E-3</v>
      </c>
      <c r="P64" s="88">
        <f>M64/'סכום נכסי הקרן'!$C$42</f>
        <v>3.1568744656648522E-3</v>
      </c>
    </row>
    <row r="65" spans="2:16">
      <c r="B65" s="86" t="s">
        <v>1645</v>
      </c>
      <c r="C65" s="80" t="s">
        <v>1646</v>
      </c>
      <c r="D65" s="80" t="s">
        <v>267</v>
      </c>
      <c r="E65" s="80"/>
      <c r="F65" s="107">
        <v>42705</v>
      </c>
      <c r="G65" s="87">
        <v>9.1900000000000013</v>
      </c>
      <c r="H65" s="93" t="s">
        <v>166</v>
      </c>
      <c r="I65" s="94">
        <v>4.8000000000000001E-2</v>
      </c>
      <c r="J65" s="94">
        <v>4.8500000000000008E-2</v>
      </c>
      <c r="K65" s="87">
        <v>74559000</v>
      </c>
      <c r="L65" s="108">
        <v>101.7881</v>
      </c>
      <c r="M65" s="87">
        <v>75892.248080000005</v>
      </c>
      <c r="N65" s="80"/>
      <c r="O65" s="88">
        <f t="shared" si="0"/>
        <v>3.4591946979096011E-2</v>
      </c>
      <c r="P65" s="88">
        <f>M65/'סכום נכסי הקרן'!$C$42</f>
        <v>2.0878283391231808E-2</v>
      </c>
    </row>
    <row r="66" spans="2:16">
      <c r="B66" s="86" t="s">
        <v>1647</v>
      </c>
      <c r="C66" s="80" t="s">
        <v>1648</v>
      </c>
      <c r="D66" s="80" t="s">
        <v>267</v>
      </c>
      <c r="E66" s="80"/>
      <c r="F66" s="107">
        <v>42736</v>
      </c>
      <c r="G66" s="87">
        <v>9.0500000000000007</v>
      </c>
      <c r="H66" s="93" t="s">
        <v>166</v>
      </c>
      <c r="I66" s="94">
        <v>4.8000000000000001E-2</v>
      </c>
      <c r="J66" s="94">
        <v>4.8500000000000008E-2</v>
      </c>
      <c r="K66" s="87">
        <v>24952000</v>
      </c>
      <c r="L66" s="108">
        <v>104.24</v>
      </c>
      <c r="M66" s="87">
        <v>26009.959899999998</v>
      </c>
      <c r="N66" s="80"/>
      <c r="O66" s="88">
        <f t="shared" si="0"/>
        <v>1.1855428934464807E-2</v>
      </c>
      <c r="P66" s="88">
        <f>M66/'סכום נכסי הקרן'!$C$42</f>
        <v>7.1554516768871984E-3</v>
      </c>
    </row>
    <row r="67" spans="2:16">
      <c r="B67" s="86" t="s">
        <v>1649</v>
      </c>
      <c r="C67" s="80" t="s">
        <v>1650</v>
      </c>
      <c r="D67" s="80" t="s">
        <v>267</v>
      </c>
      <c r="E67" s="80"/>
      <c r="F67" s="107">
        <v>42767</v>
      </c>
      <c r="G67" s="87">
        <v>9.1300000000000008</v>
      </c>
      <c r="H67" s="93" t="s">
        <v>166</v>
      </c>
      <c r="I67" s="94">
        <v>4.8000000000000001E-2</v>
      </c>
      <c r="J67" s="94">
        <v>4.8499999999999995E-2</v>
      </c>
      <c r="K67" s="87">
        <v>34384000</v>
      </c>
      <c r="L67" s="108">
        <v>103.8287</v>
      </c>
      <c r="M67" s="87">
        <v>35700.444229999994</v>
      </c>
      <c r="N67" s="80"/>
      <c r="O67" s="88">
        <f t="shared" si="0"/>
        <v>1.627238492965109E-2</v>
      </c>
      <c r="P67" s="88">
        <f>M67/'סכום נכסי הקרן'!$C$42</f>
        <v>9.8213455350683321E-3</v>
      </c>
    </row>
    <row r="68" spans="2:16">
      <c r="B68" s="86" t="s">
        <v>1651</v>
      </c>
      <c r="C68" s="80" t="s">
        <v>1652</v>
      </c>
      <c r="D68" s="80" t="s">
        <v>267</v>
      </c>
      <c r="E68" s="80"/>
      <c r="F68" s="107">
        <v>42795</v>
      </c>
      <c r="G68" s="87">
        <v>9.2199999999999989</v>
      </c>
      <c r="H68" s="93" t="s">
        <v>166</v>
      </c>
      <c r="I68" s="94">
        <v>4.8000000000000001E-2</v>
      </c>
      <c r="J68" s="94">
        <v>4.8499999999999995E-2</v>
      </c>
      <c r="K68" s="87">
        <v>19027000</v>
      </c>
      <c r="L68" s="108">
        <v>103.6262</v>
      </c>
      <c r="M68" s="87">
        <v>19716.965960000001</v>
      </c>
      <c r="N68" s="80"/>
      <c r="O68" s="88">
        <f t="shared" si="0"/>
        <v>8.9870607121559504E-3</v>
      </c>
      <c r="P68" s="88">
        <f>M68/'סכום נכסי הקרן'!$C$42</f>
        <v>5.4242220166440865E-3</v>
      </c>
    </row>
    <row r="69" spans="2:16">
      <c r="B69" s="86" t="s">
        <v>1653</v>
      </c>
      <c r="C69" s="80" t="s">
        <v>1654</v>
      </c>
      <c r="D69" s="80" t="s">
        <v>267</v>
      </c>
      <c r="E69" s="80"/>
      <c r="F69" s="107">
        <v>42826</v>
      </c>
      <c r="G69" s="87">
        <v>9.2999999999999989</v>
      </c>
      <c r="H69" s="93" t="s">
        <v>166</v>
      </c>
      <c r="I69" s="94">
        <v>4.8000000000000001E-2</v>
      </c>
      <c r="J69" s="94">
        <v>4.8500000000000008E-2</v>
      </c>
      <c r="K69" s="87">
        <v>10097000</v>
      </c>
      <c r="L69" s="108">
        <v>103.21729999999999</v>
      </c>
      <c r="M69" s="87">
        <v>10421.855109999999</v>
      </c>
      <c r="N69" s="80"/>
      <c r="O69" s="88">
        <f t="shared" si="0"/>
        <v>4.7503173052525121E-3</v>
      </c>
      <c r="P69" s="88">
        <f>M69/'סכום נכסי הקרן'!$C$42</f>
        <v>2.8670971008734588E-3</v>
      </c>
    </row>
    <row r="70" spans="2:16">
      <c r="B70" s="86" t="s">
        <v>1655</v>
      </c>
      <c r="C70" s="80" t="s">
        <v>1656</v>
      </c>
      <c r="D70" s="80" t="s">
        <v>267</v>
      </c>
      <c r="E70" s="80"/>
      <c r="F70" s="107">
        <v>42856</v>
      </c>
      <c r="G70" s="87">
        <v>9.379999999999999</v>
      </c>
      <c r="H70" s="93" t="s">
        <v>166</v>
      </c>
      <c r="I70" s="94">
        <v>4.8000000000000001E-2</v>
      </c>
      <c r="J70" s="94">
        <v>4.8499999999999995E-2</v>
      </c>
      <c r="K70" s="87">
        <v>1355000</v>
      </c>
      <c r="L70" s="108">
        <v>102.4982</v>
      </c>
      <c r="M70" s="87">
        <v>1388.90022</v>
      </c>
      <c r="N70" s="80"/>
      <c r="O70" s="88">
        <f t="shared" si="0"/>
        <v>6.330654840906747E-4</v>
      </c>
      <c r="P70" s="88">
        <f>M70/'סכום נכסי הקרן'!$C$42</f>
        <v>3.8209241561452771E-4</v>
      </c>
    </row>
    <row r="71" spans="2:16">
      <c r="B71" s="86" t="s">
        <v>1657</v>
      </c>
      <c r="C71" s="80" t="s">
        <v>1658</v>
      </c>
      <c r="D71" s="80" t="s">
        <v>267</v>
      </c>
      <c r="E71" s="80"/>
      <c r="F71" s="107">
        <v>42887</v>
      </c>
      <c r="G71" s="87">
        <v>9.4699999999999989</v>
      </c>
      <c r="H71" s="93" t="s">
        <v>166</v>
      </c>
      <c r="I71" s="94">
        <v>4.8000000000000001E-2</v>
      </c>
      <c r="J71" s="94">
        <v>4.8499999999999995E-2</v>
      </c>
      <c r="K71" s="87">
        <v>13174000</v>
      </c>
      <c r="L71" s="108">
        <v>101.89319999999999</v>
      </c>
      <c r="M71" s="87">
        <v>13423.49792</v>
      </c>
      <c r="N71" s="80"/>
      <c r="O71" s="88">
        <f t="shared" si="0"/>
        <v>6.1184763934409667E-3</v>
      </c>
      <c r="P71" s="88">
        <f>M71/'סכום נכסי הקרן'!$C$42</f>
        <v>3.6928619294547944E-3</v>
      </c>
    </row>
    <row r="72" spans="2:16">
      <c r="B72" s="86" t="s">
        <v>1659</v>
      </c>
      <c r="C72" s="80" t="s">
        <v>1660</v>
      </c>
      <c r="D72" s="80" t="s">
        <v>267</v>
      </c>
      <c r="E72" s="80"/>
      <c r="F72" s="107">
        <v>42918</v>
      </c>
      <c r="G72" s="87">
        <v>9.33</v>
      </c>
      <c r="H72" s="93" t="s">
        <v>166</v>
      </c>
      <c r="I72" s="94">
        <v>4.8000000000000001E-2</v>
      </c>
      <c r="J72" s="94">
        <v>4.8499999999999995E-2</v>
      </c>
      <c r="K72" s="87">
        <v>115948000</v>
      </c>
      <c r="L72" s="108">
        <v>103.4996</v>
      </c>
      <c r="M72" s="87">
        <v>120005.92396</v>
      </c>
      <c r="N72" s="80"/>
      <c r="O72" s="88">
        <f t="shared" si="0"/>
        <v>5.4699111751516677E-2</v>
      </c>
      <c r="P72" s="88">
        <f>M72/'סכום נכסי הקרן'!$C$42</f>
        <v>3.301414508662813E-2</v>
      </c>
    </row>
    <row r="73" spans="2:16">
      <c r="B73" s="86" t="s">
        <v>1661</v>
      </c>
      <c r="C73" s="80" t="s">
        <v>1662</v>
      </c>
      <c r="D73" s="80" t="s">
        <v>267</v>
      </c>
      <c r="E73" s="80"/>
      <c r="F73" s="107">
        <v>42949</v>
      </c>
      <c r="G73" s="87">
        <v>9.4100000000000019</v>
      </c>
      <c r="H73" s="93" t="s">
        <v>166</v>
      </c>
      <c r="I73" s="94">
        <v>4.8000000000000001E-2</v>
      </c>
      <c r="J73" s="94">
        <v>4.8500000000000008E-2</v>
      </c>
      <c r="K73" s="87">
        <v>23562000</v>
      </c>
      <c r="L73" s="108">
        <v>103.8266</v>
      </c>
      <c r="M73" s="87">
        <v>24463.626079999998</v>
      </c>
      <c r="N73" s="80"/>
      <c r="O73" s="88">
        <f t="shared" si="0"/>
        <v>1.1150604675509702E-2</v>
      </c>
      <c r="P73" s="88">
        <f>M73/'סכום נכסי הקרן'!$C$42</f>
        <v>6.7300486017618736E-3</v>
      </c>
    </row>
    <row r="74" spans="2:16">
      <c r="B74" s="86" t="s">
        <v>1663</v>
      </c>
      <c r="C74" s="80" t="s">
        <v>1664</v>
      </c>
      <c r="D74" s="80" t="s">
        <v>267</v>
      </c>
      <c r="E74" s="80"/>
      <c r="F74" s="107">
        <v>42979</v>
      </c>
      <c r="G74" s="87">
        <v>9.49</v>
      </c>
      <c r="H74" s="93" t="s">
        <v>166</v>
      </c>
      <c r="I74" s="94">
        <v>4.8000000000000001E-2</v>
      </c>
      <c r="J74" s="94">
        <v>4.8499999999999995E-2</v>
      </c>
      <c r="K74" s="87">
        <v>72355000</v>
      </c>
      <c r="L74" s="108">
        <v>103.5342</v>
      </c>
      <c r="M74" s="87">
        <v>74912.173900000009</v>
      </c>
      <c r="N74" s="80"/>
      <c r="O74" s="88">
        <f t="shared" si="0"/>
        <v>3.4145225806277366E-2</v>
      </c>
      <c r="P74" s="88">
        <f>M74/'סכום נכסי הקרן'!$C$42</f>
        <v>2.060866077506027E-2</v>
      </c>
    </row>
    <row r="75" spans="2:16">
      <c r="B75" s="86" t="s">
        <v>1665</v>
      </c>
      <c r="C75" s="80" t="s">
        <v>1666</v>
      </c>
      <c r="D75" s="80" t="s">
        <v>267</v>
      </c>
      <c r="E75" s="80"/>
      <c r="F75" s="107">
        <v>43040</v>
      </c>
      <c r="G75" s="87">
        <v>9.66</v>
      </c>
      <c r="H75" s="93" t="s">
        <v>166</v>
      </c>
      <c r="I75" s="94">
        <v>4.8000000000000001E-2</v>
      </c>
      <c r="J75" s="94">
        <v>4.8499999999999995E-2</v>
      </c>
      <c r="K75" s="87">
        <v>2502000</v>
      </c>
      <c r="L75" s="108">
        <v>102.3092</v>
      </c>
      <c r="M75" s="87">
        <v>2559.7789900000002</v>
      </c>
      <c r="N75" s="80"/>
      <c r="O75" s="88">
        <f t="shared" si="0"/>
        <v>1.1667560434755267E-3</v>
      </c>
      <c r="P75" s="88">
        <f>M75/'סכום נכסי הקרן'!$C$42</f>
        <v>7.0420619396864667E-4</v>
      </c>
    </row>
    <row r="76" spans="2:16">
      <c r="B76" s="86" t="s">
        <v>1667</v>
      </c>
      <c r="C76" s="80" t="s">
        <v>1668</v>
      </c>
      <c r="D76" s="80" t="s">
        <v>267</v>
      </c>
      <c r="E76" s="80"/>
      <c r="F76" s="107">
        <v>43070</v>
      </c>
      <c r="G76" s="87">
        <v>9.740000000000002</v>
      </c>
      <c r="H76" s="93" t="s">
        <v>166</v>
      </c>
      <c r="I76" s="94">
        <v>4.8000000000000001E-2</v>
      </c>
      <c r="J76" s="94">
        <v>4.8500000000000015E-2</v>
      </c>
      <c r="K76" s="87">
        <v>2723000</v>
      </c>
      <c r="L76" s="108">
        <v>101.60169999999999</v>
      </c>
      <c r="M76" s="87">
        <v>2766.6155099999996</v>
      </c>
      <c r="N76" s="80"/>
      <c r="O76" s="88">
        <f t="shared" ref="O76:O104" si="1">M76/$M$11</f>
        <v>1.2610328387239499E-3</v>
      </c>
      <c r="P76" s="88">
        <f>M76/'סכום נכסי הקרן'!$C$42</f>
        <v>7.6110780894866469E-4</v>
      </c>
    </row>
    <row r="77" spans="2:16">
      <c r="B77" s="86" t="s">
        <v>1669</v>
      </c>
      <c r="C77" s="80" t="s">
        <v>1670</v>
      </c>
      <c r="D77" s="80" t="s">
        <v>267</v>
      </c>
      <c r="E77" s="80"/>
      <c r="F77" s="107">
        <v>43101</v>
      </c>
      <c r="G77" s="87">
        <v>9.6</v>
      </c>
      <c r="H77" s="93" t="s">
        <v>166</v>
      </c>
      <c r="I77" s="94">
        <v>4.8000000000000001E-2</v>
      </c>
      <c r="J77" s="94">
        <v>4.8499999999999995E-2</v>
      </c>
      <c r="K77" s="87">
        <v>48365000</v>
      </c>
      <c r="L77" s="108">
        <v>103.93980000000001</v>
      </c>
      <c r="M77" s="87">
        <v>50270.473530000003</v>
      </c>
      <c r="N77" s="80"/>
      <c r="O77" s="88">
        <f t="shared" si="1"/>
        <v>2.2913454258605345E-2</v>
      </c>
      <c r="P77" s="88">
        <f>M77/'סכום נכסי הקרן'!$C$42</f>
        <v>1.382962317132031E-2</v>
      </c>
    </row>
    <row r="78" spans="2:16">
      <c r="B78" s="86" t="s">
        <v>1671</v>
      </c>
      <c r="C78" s="80" t="s">
        <v>1672</v>
      </c>
      <c r="D78" s="80" t="s">
        <v>267</v>
      </c>
      <c r="E78" s="80"/>
      <c r="F78" s="107">
        <v>43132</v>
      </c>
      <c r="G78" s="87">
        <v>9.68</v>
      </c>
      <c r="H78" s="93" t="s">
        <v>166</v>
      </c>
      <c r="I78" s="94">
        <v>4.8000000000000001E-2</v>
      </c>
      <c r="J78" s="94">
        <v>4.8499999999999995E-2</v>
      </c>
      <c r="K78" s="87">
        <v>60706000</v>
      </c>
      <c r="L78" s="108">
        <v>103.4211</v>
      </c>
      <c r="M78" s="87">
        <v>62786.152860000002</v>
      </c>
      <c r="N78" s="80"/>
      <c r="O78" s="88">
        <f t="shared" si="1"/>
        <v>2.8618143824980461E-2</v>
      </c>
      <c r="P78" s="88">
        <f>M78/'סכום נכסי הקרן'!$C$42</f>
        <v>1.7272740307738153E-2</v>
      </c>
    </row>
    <row r="79" spans="2:16">
      <c r="B79" s="86" t="s">
        <v>1673</v>
      </c>
      <c r="C79" s="80" t="s">
        <v>1674</v>
      </c>
      <c r="D79" s="80" t="s">
        <v>267</v>
      </c>
      <c r="E79" s="80"/>
      <c r="F79" s="107">
        <v>43345</v>
      </c>
      <c r="G79" s="87">
        <v>10.029999999999999</v>
      </c>
      <c r="H79" s="93" t="s">
        <v>166</v>
      </c>
      <c r="I79" s="94">
        <v>4.8000000000000001E-2</v>
      </c>
      <c r="J79" s="94">
        <v>4.8499999999999995E-2</v>
      </c>
      <c r="K79" s="87">
        <v>1428000</v>
      </c>
      <c r="L79" s="108">
        <v>102.0659</v>
      </c>
      <c r="M79" s="87">
        <v>1457.8433400000001</v>
      </c>
      <c r="N79" s="80"/>
      <c r="O79" s="88">
        <f t="shared" si="1"/>
        <v>6.6448999465596327E-4</v>
      </c>
      <c r="P79" s="88">
        <f>M79/'סכום נכסי הקרן'!$C$42</f>
        <v>4.010589640256168E-4</v>
      </c>
    </row>
    <row r="80" spans="2:16">
      <c r="B80" s="86" t="s">
        <v>1675</v>
      </c>
      <c r="C80" s="80" t="s">
        <v>1676</v>
      </c>
      <c r="D80" s="80" t="s">
        <v>267</v>
      </c>
      <c r="E80" s="80"/>
      <c r="F80" s="107">
        <v>43497</v>
      </c>
      <c r="G80" s="87">
        <v>10.200000000000001</v>
      </c>
      <c r="H80" s="93" t="s">
        <v>166</v>
      </c>
      <c r="I80" s="94">
        <v>4.8000000000000001E-2</v>
      </c>
      <c r="J80" s="94">
        <v>4.8499999999999995E-2</v>
      </c>
      <c r="K80" s="87">
        <v>3809000</v>
      </c>
      <c r="L80" s="108">
        <v>102.6078</v>
      </c>
      <c r="M80" s="87">
        <v>3908.3780400000001</v>
      </c>
      <c r="N80" s="80"/>
      <c r="O80" s="88">
        <f t="shared" si="1"/>
        <v>1.7814521160504694E-3</v>
      </c>
      <c r="P80" s="88">
        <f>M80/'סכום נכסי הקרן'!$C$42</f>
        <v>1.0752115846294366E-3</v>
      </c>
    </row>
    <row r="81" spans="2:16">
      <c r="B81" s="86" t="s">
        <v>1677</v>
      </c>
      <c r="C81" s="80" t="s">
        <v>1678</v>
      </c>
      <c r="D81" s="80" t="s">
        <v>267</v>
      </c>
      <c r="E81" s="80"/>
      <c r="F81" s="107">
        <v>43525</v>
      </c>
      <c r="G81" s="87">
        <v>10.28</v>
      </c>
      <c r="H81" s="93" t="s">
        <v>166</v>
      </c>
      <c r="I81" s="94">
        <v>4.8000000000000001E-2</v>
      </c>
      <c r="J81" s="94">
        <v>4.8500000000000008E-2</v>
      </c>
      <c r="K81" s="87">
        <v>1767000</v>
      </c>
      <c r="L81" s="108">
        <v>102.2958</v>
      </c>
      <c r="M81" s="87">
        <v>1807.7161999999998</v>
      </c>
      <c r="N81" s="80"/>
      <c r="O81" s="88">
        <f t="shared" si="1"/>
        <v>8.2396324427938734E-4</v>
      </c>
      <c r="P81" s="88">
        <f>M81/'סכום נכסי הקרן'!$C$42</f>
        <v>4.9731049045662523E-4</v>
      </c>
    </row>
    <row r="82" spans="2:16">
      <c r="B82" s="86" t="s">
        <v>1679</v>
      </c>
      <c r="C82" s="80" t="s">
        <v>1680</v>
      </c>
      <c r="D82" s="80" t="s">
        <v>267</v>
      </c>
      <c r="E82" s="80"/>
      <c r="F82" s="107">
        <v>43556</v>
      </c>
      <c r="G82" s="87">
        <v>10.370000000000001</v>
      </c>
      <c r="H82" s="93" t="s">
        <v>166</v>
      </c>
      <c r="I82" s="94">
        <v>4.8000000000000001E-2</v>
      </c>
      <c r="J82" s="94">
        <v>4.8499999999999995E-2</v>
      </c>
      <c r="K82" s="87">
        <v>3008000</v>
      </c>
      <c r="L82" s="108">
        <v>101.79900000000001</v>
      </c>
      <c r="M82" s="87">
        <v>3062.1128199999998</v>
      </c>
      <c r="N82" s="80"/>
      <c r="O82" s="88">
        <f t="shared" si="1"/>
        <v>1.3957215261536651E-3</v>
      </c>
      <c r="P82" s="88">
        <f>M82/'סכום נכסי הקרן'!$C$42</f>
        <v>8.4240038804084391E-4</v>
      </c>
    </row>
    <row r="83" spans="2:16">
      <c r="B83" s="86" t="s">
        <v>1681</v>
      </c>
      <c r="C83" s="80" t="s">
        <v>1682</v>
      </c>
      <c r="D83" s="80" t="s">
        <v>267</v>
      </c>
      <c r="E83" s="80"/>
      <c r="F83" s="107">
        <v>43678</v>
      </c>
      <c r="G83" s="87">
        <v>10.45</v>
      </c>
      <c r="H83" s="93" t="s">
        <v>166</v>
      </c>
      <c r="I83" s="94">
        <v>4.8000000000000001E-2</v>
      </c>
      <c r="J83" s="94">
        <v>4.8500000000000008E-2</v>
      </c>
      <c r="K83" s="87">
        <v>15081000</v>
      </c>
      <c r="L83" s="108">
        <v>101.9962</v>
      </c>
      <c r="M83" s="87">
        <v>15382.04545</v>
      </c>
      <c r="N83" s="80"/>
      <c r="O83" s="88">
        <f t="shared" si="1"/>
        <v>7.0111890752735358E-3</v>
      </c>
      <c r="P83" s="88">
        <f>M83/'סכום נכסי הקרן'!$C$42</f>
        <v>4.2316667665895785E-3</v>
      </c>
    </row>
    <row r="84" spans="2:16">
      <c r="B84" s="86" t="s">
        <v>1683</v>
      </c>
      <c r="C84" s="80" t="s">
        <v>1684</v>
      </c>
      <c r="D84" s="80" t="s">
        <v>267</v>
      </c>
      <c r="E84" s="80"/>
      <c r="F84" s="107">
        <v>40057</v>
      </c>
      <c r="G84" s="87">
        <v>4.18</v>
      </c>
      <c r="H84" s="93" t="s">
        <v>166</v>
      </c>
      <c r="I84" s="94">
        <v>4.8000000000000001E-2</v>
      </c>
      <c r="J84" s="94">
        <v>4.8500000000000015E-2</v>
      </c>
      <c r="K84" s="87">
        <v>15840</v>
      </c>
      <c r="L84" s="108">
        <v>111.43989999999999</v>
      </c>
      <c r="M84" s="87">
        <v>17.653919999999999</v>
      </c>
      <c r="N84" s="80"/>
      <c r="O84" s="88">
        <f t="shared" si="1"/>
        <v>8.0467172875082732E-6</v>
      </c>
      <c r="P84" s="88">
        <f>M84/'סכום נכסי הקרן'!$C$42</f>
        <v>4.8566692126131444E-6</v>
      </c>
    </row>
    <row r="85" spans="2:16">
      <c r="B85" s="86" t="s">
        <v>1685</v>
      </c>
      <c r="C85" s="80" t="s">
        <v>1686</v>
      </c>
      <c r="D85" s="80" t="s">
        <v>267</v>
      </c>
      <c r="E85" s="80"/>
      <c r="F85" s="107">
        <v>39600</v>
      </c>
      <c r="G85" s="87">
        <v>3.1799999999999997</v>
      </c>
      <c r="H85" s="93" t="s">
        <v>166</v>
      </c>
      <c r="I85" s="94">
        <v>4.8000000000000001E-2</v>
      </c>
      <c r="J85" s="94">
        <v>4.8699999999999993E-2</v>
      </c>
      <c r="K85" s="87">
        <v>4784054</v>
      </c>
      <c r="L85" s="108">
        <v>116.1795</v>
      </c>
      <c r="M85" s="87">
        <v>5555.2740300000005</v>
      </c>
      <c r="N85" s="80"/>
      <c r="O85" s="88">
        <f t="shared" si="1"/>
        <v>2.5321129570116301E-3</v>
      </c>
      <c r="P85" s="88">
        <f>M85/'סכום נכסי הקרן'!$C$42</f>
        <v>1.5282797446193454E-3</v>
      </c>
    </row>
    <row r="86" spans="2:16">
      <c r="B86" s="86" t="s">
        <v>1687</v>
      </c>
      <c r="C86" s="80" t="s">
        <v>1688</v>
      </c>
      <c r="D86" s="80" t="s">
        <v>267</v>
      </c>
      <c r="E86" s="80"/>
      <c r="F86" s="107">
        <v>39965</v>
      </c>
      <c r="G86" s="87">
        <v>4.0199999999999996</v>
      </c>
      <c r="H86" s="93" t="s">
        <v>166</v>
      </c>
      <c r="I86" s="94">
        <v>4.8000000000000001E-2</v>
      </c>
      <c r="J86" s="94">
        <v>4.8500000000000008E-2</v>
      </c>
      <c r="K86" s="87">
        <v>7756077</v>
      </c>
      <c r="L86" s="108">
        <v>112.7064</v>
      </c>
      <c r="M86" s="87">
        <v>8742.5678699999989</v>
      </c>
      <c r="N86" s="80"/>
      <c r="O86" s="88">
        <f t="shared" si="1"/>
        <v>3.9848924214420014E-3</v>
      </c>
      <c r="P86" s="88">
        <f>M86/'סכום נכסי הקרן'!$C$42</f>
        <v>2.4051179688935869E-3</v>
      </c>
    </row>
    <row r="87" spans="2:16">
      <c r="B87" s="86" t="s">
        <v>1689</v>
      </c>
      <c r="C87" s="80" t="s">
        <v>1690</v>
      </c>
      <c r="D87" s="80" t="s">
        <v>267</v>
      </c>
      <c r="E87" s="80"/>
      <c r="F87" s="107">
        <v>39995</v>
      </c>
      <c r="G87" s="87">
        <v>4.01</v>
      </c>
      <c r="H87" s="93" t="s">
        <v>166</v>
      </c>
      <c r="I87" s="94">
        <v>4.8000000000000001E-2</v>
      </c>
      <c r="J87" s="94">
        <v>4.8499999999999995E-2</v>
      </c>
      <c r="K87" s="87">
        <v>3571000</v>
      </c>
      <c r="L87" s="108">
        <v>114.5086</v>
      </c>
      <c r="M87" s="87">
        <v>4089.3420599999999</v>
      </c>
      <c r="N87" s="80"/>
      <c r="O87" s="88">
        <f t="shared" si="1"/>
        <v>1.8639361370583244E-3</v>
      </c>
      <c r="P87" s="88">
        <f>M87/'סכום נכסי הקרן'!$C$42</f>
        <v>1.1249955637414248E-3</v>
      </c>
    </row>
    <row r="88" spans="2:16">
      <c r="B88" s="86" t="s">
        <v>1691</v>
      </c>
      <c r="C88" s="80" t="s">
        <v>1692</v>
      </c>
      <c r="D88" s="80" t="s">
        <v>267</v>
      </c>
      <c r="E88" s="80"/>
      <c r="F88" s="107">
        <v>40027</v>
      </c>
      <c r="G88" s="87">
        <v>4.09</v>
      </c>
      <c r="H88" s="93" t="s">
        <v>166</v>
      </c>
      <c r="I88" s="94">
        <v>4.8000000000000001E-2</v>
      </c>
      <c r="J88" s="94">
        <v>4.8499999999999995E-2</v>
      </c>
      <c r="K88" s="87">
        <v>5717141</v>
      </c>
      <c r="L88" s="108">
        <v>113.05719999999999</v>
      </c>
      <c r="M88" s="87">
        <v>6464.0368200000003</v>
      </c>
      <c r="N88" s="80"/>
      <c r="O88" s="88">
        <f t="shared" si="1"/>
        <v>2.9463301536760112E-3</v>
      </c>
      <c r="P88" s="88">
        <f>M88/'סכום נכסי הקרן'!$C$42</f>
        <v>1.7782842911314752E-3</v>
      </c>
    </row>
    <row r="89" spans="2:16">
      <c r="B89" s="86" t="s">
        <v>1693</v>
      </c>
      <c r="C89" s="80" t="s">
        <v>1694</v>
      </c>
      <c r="D89" s="80" t="s">
        <v>267</v>
      </c>
      <c r="E89" s="80"/>
      <c r="F89" s="107">
        <v>40179</v>
      </c>
      <c r="G89" s="87">
        <v>4.410000000000001</v>
      </c>
      <c r="H89" s="93" t="s">
        <v>166</v>
      </c>
      <c r="I89" s="94">
        <v>4.8000000000000001E-2</v>
      </c>
      <c r="J89" s="94">
        <v>4.8500000000000008E-2</v>
      </c>
      <c r="K89" s="87">
        <v>2322000</v>
      </c>
      <c r="L89" s="108">
        <v>111.5767</v>
      </c>
      <c r="M89" s="87">
        <v>2590.8115400000002</v>
      </c>
      <c r="N89" s="80"/>
      <c r="O89" s="88">
        <f t="shared" si="1"/>
        <v>1.1809007862046467E-3</v>
      </c>
      <c r="P89" s="88">
        <f>M89/'סכום נכסי הקרן'!$C$42</f>
        <v>7.1274338175322241E-4</v>
      </c>
    </row>
    <row r="90" spans="2:16">
      <c r="B90" s="86" t="s">
        <v>1695</v>
      </c>
      <c r="C90" s="80" t="s">
        <v>1696</v>
      </c>
      <c r="D90" s="80" t="s">
        <v>267</v>
      </c>
      <c r="E90" s="80"/>
      <c r="F90" s="107">
        <v>40210</v>
      </c>
      <c r="G90" s="87">
        <v>4.4899999999999993</v>
      </c>
      <c r="H90" s="93" t="s">
        <v>166</v>
      </c>
      <c r="I90" s="94">
        <v>4.8000000000000001E-2</v>
      </c>
      <c r="J90" s="94">
        <v>4.8499999999999995E-2</v>
      </c>
      <c r="K90" s="87">
        <v>5987000</v>
      </c>
      <c r="L90" s="108">
        <v>111.13679999999999</v>
      </c>
      <c r="M90" s="87">
        <v>6653.7666900000004</v>
      </c>
      <c r="N90" s="80"/>
      <c r="O90" s="88">
        <f t="shared" si="1"/>
        <v>3.0328096791800182E-3</v>
      </c>
      <c r="P90" s="88">
        <f>M90/'סכום נכסי הקרן'!$C$42</f>
        <v>1.8304797932263128E-3</v>
      </c>
    </row>
    <row r="91" spans="2:16">
      <c r="B91" s="86" t="s">
        <v>1697</v>
      </c>
      <c r="C91" s="80" t="s">
        <v>1698</v>
      </c>
      <c r="D91" s="80" t="s">
        <v>267</v>
      </c>
      <c r="E91" s="80"/>
      <c r="F91" s="107">
        <v>40238</v>
      </c>
      <c r="G91" s="87">
        <v>4.5699999999999994</v>
      </c>
      <c r="H91" s="93" t="s">
        <v>166</v>
      </c>
      <c r="I91" s="94">
        <v>4.8000000000000001E-2</v>
      </c>
      <c r="J91" s="94">
        <v>4.8599999999999997E-2</v>
      </c>
      <c r="K91" s="87">
        <v>1288000</v>
      </c>
      <c r="L91" s="108">
        <v>111.4395</v>
      </c>
      <c r="M91" s="87">
        <v>1435.3278600000001</v>
      </c>
      <c r="N91" s="80"/>
      <c r="O91" s="88">
        <f t="shared" si="1"/>
        <v>6.542273616457E-4</v>
      </c>
      <c r="P91" s="88">
        <f>M91/'סכום נכסי הקרן'!$C$42</f>
        <v>3.9486485877742225E-4</v>
      </c>
    </row>
    <row r="92" spans="2:16">
      <c r="B92" s="86" t="s">
        <v>1699</v>
      </c>
      <c r="C92" s="80" t="s">
        <v>1700</v>
      </c>
      <c r="D92" s="80" t="s">
        <v>267</v>
      </c>
      <c r="E92" s="80"/>
      <c r="F92" s="107">
        <v>40360</v>
      </c>
      <c r="G92" s="87">
        <v>4.79</v>
      </c>
      <c r="H92" s="93" t="s">
        <v>166</v>
      </c>
      <c r="I92" s="94">
        <v>4.8000000000000001E-2</v>
      </c>
      <c r="J92" s="94">
        <v>4.8500000000000008E-2</v>
      </c>
      <c r="K92" s="87">
        <v>4867000</v>
      </c>
      <c r="L92" s="108">
        <v>111.1529</v>
      </c>
      <c r="M92" s="87">
        <v>5409.8123900000001</v>
      </c>
      <c r="N92" s="80"/>
      <c r="O92" s="88">
        <f t="shared" si="1"/>
        <v>2.4658110425780479E-3</v>
      </c>
      <c r="P92" s="88">
        <f>M92/'סכום נכסי הקרן'!$C$42</f>
        <v>1.4882626227220998E-3</v>
      </c>
    </row>
    <row r="93" spans="2:16">
      <c r="B93" s="86" t="s">
        <v>1701</v>
      </c>
      <c r="C93" s="80" t="s">
        <v>1702</v>
      </c>
      <c r="D93" s="80" t="s">
        <v>267</v>
      </c>
      <c r="E93" s="80"/>
      <c r="F93" s="107">
        <v>40422</v>
      </c>
      <c r="G93" s="87">
        <v>4.96</v>
      </c>
      <c r="H93" s="93" t="s">
        <v>166</v>
      </c>
      <c r="I93" s="94">
        <v>4.8000000000000001E-2</v>
      </c>
      <c r="J93" s="94">
        <v>4.8500000000000008E-2</v>
      </c>
      <c r="K93" s="87">
        <v>11362000</v>
      </c>
      <c r="L93" s="108">
        <v>109.4447</v>
      </c>
      <c r="M93" s="87">
        <v>12434.8377</v>
      </c>
      <c r="N93" s="80"/>
      <c r="O93" s="88">
        <f t="shared" si="1"/>
        <v>5.6678416741409061E-3</v>
      </c>
      <c r="P93" s="88">
        <f>M93/'סכום נכסי הקרן'!$C$42</f>
        <v>3.4208772568036583E-3</v>
      </c>
    </row>
    <row r="94" spans="2:16">
      <c r="B94" s="86" t="s">
        <v>1703</v>
      </c>
      <c r="C94" s="80" t="s">
        <v>1704</v>
      </c>
      <c r="D94" s="80" t="s">
        <v>267</v>
      </c>
      <c r="E94" s="80"/>
      <c r="F94" s="107">
        <v>40483</v>
      </c>
      <c r="G94" s="87">
        <v>5.12</v>
      </c>
      <c r="H94" s="93" t="s">
        <v>166</v>
      </c>
      <c r="I94" s="94">
        <v>4.8000000000000001E-2</v>
      </c>
      <c r="J94" s="94">
        <v>4.8500000000000008E-2</v>
      </c>
      <c r="K94" s="87">
        <v>4769000</v>
      </c>
      <c r="L94" s="108">
        <v>107.7728</v>
      </c>
      <c r="M94" s="87">
        <v>5139.6869900000002</v>
      </c>
      <c r="N94" s="80"/>
      <c r="O94" s="88">
        <f t="shared" si="1"/>
        <v>2.3426869587499185E-3</v>
      </c>
      <c r="P94" s="88">
        <f>M94/'סכום נכסי הקרן'!$C$42</f>
        <v>1.413949965039001E-3</v>
      </c>
    </row>
    <row r="95" spans="2:16">
      <c r="B95" s="86" t="s">
        <v>1705</v>
      </c>
      <c r="C95" s="80" t="s">
        <v>1706</v>
      </c>
      <c r="D95" s="80" t="s">
        <v>267</v>
      </c>
      <c r="E95" s="80"/>
      <c r="F95" s="107">
        <v>40513</v>
      </c>
      <c r="G95" s="87">
        <v>5.21</v>
      </c>
      <c r="H95" s="93" t="s">
        <v>166</v>
      </c>
      <c r="I95" s="94">
        <v>4.8000000000000001E-2</v>
      </c>
      <c r="J95" s="94">
        <v>4.8499999999999995E-2</v>
      </c>
      <c r="K95" s="87">
        <v>6258000</v>
      </c>
      <c r="L95" s="108">
        <v>107.05029999999999</v>
      </c>
      <c r="M95" s="87">
        <v>6699.1600799999997</v>
      </c>
      <c r="N95" s="80"/>
      <c r="O95" s="88">
        <f t="shared" si="1"/>
        <v>3.0535001420376497E-3</v>
      </c>
      <c r="P95" s="88">
        <f>M95/'סכום נכסי הקרן'!$C$42</f>
        <v>1.8429677097722777E-3</v>
      </c>
    </row>
    <row r="96" spans="2:16">
      <c r="B96" s="86" t="s">
        <v>1707</v>
      </c>
      <c r="C96" s="80" t="s">
        <v>1708</v>
      </c>
      <c r="D96" s="80" t="s">
        <v>267</v>
      </c>
      <c r="E96" s="80"/>
      <c r="F96" s="107">
        <v>40544</v>
      </c>
      <c r="G96" s="87">
        <v>5.17</v>
      </c>
      <c r="H96" s="93" t="s">
        <v>166</v>
      </c>
      <c r="I96" s="94">
        <v>4.8000000000000001E-2</v>
      </c>
      <c r="J96" s="94">
        <v>4.8500000000000008E-2</v>
      </c>
      <c r="K96" s="87">
        <v>3197000</v>
      </c>
      <c r="L96" s="108">
        <v>109.08669999999999</v>
      </c>
      <c r="M96" s="87">
        <v>3487.5023799999999</v>
      </c>
      <c r="N96" s="80"/>
      <c r="O96" s="88">
        <f t="shared" si="1"/>
        <v>1.589615546653222E-3</v>
      </c>
      <c r="P96" s="88">
        <f>M96/'סכום נכסי הקרן'!$C$42</f>
        <v>9.5942688297336043E-4</v>
      </c>
    </row>
    <row r="97" spans="2:16">
      <c r="B97" s="86" t="s">
        <v>1709</v>
      </c>
      <c r="C97" s="80" t="s">
        <v>1710</v>
      </c>
      <c r="D97" s="80" t="s">
        <v>267</v>
      </c>
      <c r="E97" s="80"/>
      <c r="F97" s="107">
        <v>40603</v>
      </c>
      <c r="G97" s="87">
        <v>5.33</v>
      </c>
      <c r="H97" s="93" t="s">
        <v>166</v>
      </c>
      <c r="I97" s="94">
        <v>4.8000000000000001E-2</v>
      </c>
      <c r="J97" s="94">
        <v>4.8600000000000004E-2</v>
      </c>
      <c r="K97" s="87">
        <v>99173000</v>
      </c>
      <c r="L97" s="108">
        <v>107.6056</v>
      </c>
      <c r="M97" s="87">
        <v>106716.43558</v>
      </c>
      <c r="N97" s="80"/>
      <c r="O97" s="88">
        <f t="shared" si="1"/>
        <v>4.8641717366049525E-2</v>
      </c>
      <c r="P97" s="88">
        <f>M97/'סכום נכסי הקרן'!$C$42</f>
        <v>2.9358149757175742E-2</v>
      </c>
    </row>
    <row r="98" spans="2:16">
      <c r="B98" s="86" t="s">
        <v>1711</v>
      </c>
      <c r="C98" s="80" t="s">
        <v>1712</v>
      </c>
      <c r="D98" s="80" t="s">
        <v>267</v>
      </c>
      <c r="E98" s="80"/>
      <c r="F98" s="107">
        <v>40664</v>
      </c>
      <c r="G98" s="87">
        <v>5.5</v>
      </c>
      <c r="H98" s="93" t="s">
        <v>166</v>
      </c>
      <c r="I98" s="94">
        <v>4.8000000000000001E-2</v>
      </c>
      <c r="J98" s="94">
        <v>4.8500000000000008E-2</v>
      </c>
      <c r="K98" s="87">
        <v>138000</v>
      </c>
      <c r="L98" s="108">
        <v>106.24169999999999</v>
      </c>
      <c r="M98" s="87">
        <v>146.61456000000001</v>
      </c>
      <c r="N98" s="80"/>
      <c r="O98" s="88">
        <f t="shared" si="1"/>
        <v>6.6827419324003907E-5</v>
      </c>
      <c r="P98" s="88">
        <f>M98/'סכום נכסי הקרן'!$C$42</f>
        <v>4.0334295140842528E-5</v>
      </c>
    </row>
    <row r="99" spans="2:16">
      <c r="B99" s="86" t="s">
        <v>1713</v>
      </c>
      <c r="C99" s="80" t="s">
        <v>1714</v>
      </c>
      <c r="D99" s="80" t="s">
        <v>267</v>
      </c>
      <c r="E99" s="80"/>
      <c r="F99" s="107">
        <v>40756</v>
      </c>
      <c r="G99" s="87">
        <v>5.620000000000001</v>
      </c>
      <c r="H99" s="93" t="s">
        <v>166</v>
      </c>
      <c r="I99" s="94">
        <v>4.8000000000000001E-2</v>
      </c>
      <c r="J99" s="94">
        <v>4.8499999999999995E-2</v>
      </c>
      <c r="K99" s="87">
        <v>71597000</v>
      </c>
      <c r="L99" s="108">
        <v>105.95310000000001</v>
      </c>
      <c r="M99" s="87">
        <v>75859.10523999999</v>
      </c>
      <c r="N99" s="80"/>
      <c r="O99" s="88">
        <f t="shared" si="1"/>
        <v>3.4576840358946759E-2</v>
      </c>
      <c r="P99" s="88">
        <f>M99/'סכום נכסי הקרן'!$C$42</f>
        <v>2.0869165653604888E-2</v>
      </c>
    </row>
    <row r="100" spans="2:16">
      <c r="B100" s="86" t="s">
        <v>1715</v>
      </c>
      <c r="C100" s="80" t="s">
        <v>1716</v>
      </c>
      <c r="D100" s="80" t="s">
        <v>267</v>
      </c>
      <c r="E100" s="80"/>
      <c r="F100" s="107">
        <v>40848</v>
      </c>
      <c r="G100" s="87">
        <v>5.87</v>
      </c>
      <c r="H100" s="93" t="s">
        <v>166</v>
      </c>
      <c r="I100" s="94">
        <v>4.8000000000000001E-2</v>
      </c>
      <c r="J100" s="94">
        <v>4.8499999999999995E-2</v>
      </c>
      <c r="K100" s="87">
        <v>206678000</v>
      </c>
      <c r="L100" s="108">
        <v>104.7058</v>
      </c>
      <c r="M100" s="87">
        <v>216403.95381000001</v>
      </c>
      <c r="N100" s="80"/>
      <c r="O100" s="88">
        <f t="shared" si="1"/>
        <v>9.863766439454065E-2</v>
      </c>
      <c r="P100" s="88">
        <f>M100/'סכום נכסי הקרן'!$C$42</f>
        <v>5.9533657111666076E-2</v>
      </c>
    </row>
    <row r="101" spans="2:16">
      <c r="B101" s="86" t="s">
        <v>1717</v>
      </c>
      <c r="C101" s="80" t="s">
        <v>1718</v>
      </c>
      <c r="D101" s="80" t="s">
        <v>267</v>
      </c>
      <c r="E101" s="80"/>
      <c r="F101" s="107">
        <v>40940</v>
      </c>
      <c r="G101" s="87">
        <v>5.98</v>
      </c>
      <c r="H101" s="93" t="s">
        <v>166</v>
      </c>
      <c r="I101" s="94">
        <v>4.8000000000000001E-2</v>
      </c>
      <c r="J101" s="94">
        <v>4.8500000000000008E-2</v>
      </c>
      <c r="K101" s="87">
        <v>258650000</v>
      </c>
      <c r="L101" s="108">
        <v>105.9636</v>
      </c>
      <c r="M101" s="87">
        <v>274074.89757999999</v>
      </c>
      <c r="N101" s="80"/>
      <c r="O101" s="88">
        <f t="shared" si="1"/>
        <v>0.12492427837154838</v>
      </c>
      <c r="P101" s="88">
        <f>M101/'סכום נכסי הקרן'!$C$42</f>
        <v>7.5399181429783677E-2</v>
      </c>
    </row>
    <row r="102" spans="2:16">
      <c r="B102" s="86" t="s">
        <v>1719</v>
      </c>
      <c r="C102" s="80" t="s">
        <v>1720</v>
      </c>
      <c r="D102" s="80" t="s">
        <v>267</v>
      </c>
      <c r="E102" s="80"/>
      <c r="F102" s="107">
        <v>40969</v>
      </c>
      <c r="G102" s="87">
        <v>6.06</v>
      </c>
      <c r="H102" s="93" t="s">
        <v>166</v>
      </c>
      <c r="I102" s="94">
        <v>4.8000000000000001E-2</v>
      </c>
      <c r="J102" s="94">
        <v>4.8600000000000004E-2</v>
      </c>
      <c r="K102" s="87">
        <v>146134000</v>
      </c>
      <c r="L102" s="108">
        <v>105.526</v>
      </c>
      <c r="M102" s="87">
        <v>154214.05974</v>
      </c>
      <c r="N102" s="80"/>
      <c r="O102" s="88">
        <f t="shared" si="1"/>
        <v>7.0291297371161285E-2</v>
      </c>
      <c r="P102" s="88">
        <f>M102/'סכום נכסי הקרן'!$C$42</f>
        <v>4.2424950157888004E-2</v>
      </c>
    </row>
    <row r="103" spans="2:16">
      <c r="B103" s="86" t="s">
        <v>1721</v>
      </c>
      <c r="C103" s="80">
        <v>8789</v>
      </c>
      <c r="D103" s="80" t="s">
        <v>267</v>
      </c>
      <c r="E103" s="80"/>
      <c r="F103" s="107">
        <v>41000</v>
      </c>
      <c r="G103" s="87">
        <v>6.14</v>
      </c>
      <c r="H103" s="93" t="s">
        <v>166</v>
      </c>
      <c r="I103" s="94">
        <v>4.8000000000000001E-2</v>
      </c>
      <c r="J103" s="94">
        <v>4.8499999999999995E-2</v>
      </c>
      <c r="K103" s="87">
        <v>84207000</v>
      </c>
      <c r="L103" s="108">
        <v>105.1212</v>
      </c>
      <c r="M103" s="87">
        <v>88519.31865999999</v>
      </c>
      <c r="N103" s="80"/>
      <c r="O103" s="88">
        <f t="shared" si="1"/>
        <v>4.0347409059284037E-2</v>
      </c>
      <c r="P103" s="88">
        <f>M103/'סכום נכסי הקרן'!$C$42</f>
        <v>2.4352044738931305E-2</v>
      </c>
    </row>
    <row r="104" spans="2:16">
      <c r="B104" s="86" t="s">
        <v>1722</v>
      </c>
      <c r="C104" s="80" t="s">
        <v>1723</v>
      </c>
      <c r="D104" s="80" t="s">
        <v>267</v>
      </c>
      <c r="E104" s="80"/>
      <c r="F104" s="107">
        <v>41640</v>
      </c>
      <c r="G104" s="87">
        <v>7.25</v>
      </c>
      <c r="H104" s="93" t="s">
        <v>166</v>
      </c>
      <c r="I104" s="94">
        <v>4.8000000000000001E-2</v>
      </c>
      <c r="J104" s="94">
        <v>4.8500000000000008E-2</v>
      </c>
      <c r="K104" s="87">
        <v>1888000</v>
      </c>
      <c r="L104" s="108">
        <v>102.8934</v>
      </c>
      <c r="M104" s="87">
        <v>1942.6266799999999</v>
      </c>
      <c r="N104" s="80"/>
      <c r="O104" s="88">
        <f t="shared" si="1"/>
        <v>8.8545590379534981E-4</v>
      </c>
      <c r="P104" s="88">
        <f>M104/'סכום נכסי הקרן'!$C$42</f>
        <v>5.3442494292241531E-4</v>
      </c>
    </row>
    <row r="108" spans="2:16">
      <c r="B108" s="95" t="s">
        <v>114</v>
      </c>
    </row>
    <row r="109" spans="2:16">
      <c r="B109" s="95" t="s">
        <v>238</v>
      </c>
    </row>
    <row r="110" spans="2:16">
      <c r="B110" s="95" t="s">
        <v>246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181</v>
      </c>
      <c r="C1" s="78" t="s" vm="1">
        <v>262</v>
      </c>
    </row>
    <row r="2" spans="2:65">
      <c r="B2" s="57" t="s">
        <v>180</v>
      </c>
      <c r="C2" s="78" t="s">
        <v>263</v>
      </c>
    </row>
    <row r="3" spans="2:65">
      <c r="B3" s="57" t="s">
        <v>182</v>
      </c>
      <c r="C3" s="78" t="s">
        <v>264</v>
      </c>
    </row>
    <row r="4" spans="2:65">
      <c r="B4" s="57" t="s">
        <v>183</v>
      </c>
      <c r="C4" s="78">
        <v>2207</v>
      </c>
    </row>
    <row r="6" spans="2:65" ht="26.25" customHeight="1">
      <c r="B6" s="157" t="s">
        <v>212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65" ht="26.25" customHeight="1">
      <c r="B7" s="157" t="s">
        <v>90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65" s="3" customFormat="1" ht="78.75">
      <c r="B8" s="23" t="s">
        <v>118</v>
      </c>
      <c r="C8" s="31" t="s">
        <v>44</v>
      </c>
      <c r="D8" s="31" t="s">
        <v>120</v>
      </c>
      <c r="E8" s="31" t="s">
        <v>119</v>
      </c>
      <c r="F8" s="31" t="s">
        <v>65</v>
      </c>
      <c r="G8" s="31" t="s">
        <v>15</v>
      </c>
      <c r="H8" s="31" t="s">
        <v>66</v>
      </c>
      <c r="I8" s="31" t="s">
        <v>104</v>
      </c>
      <c r="J8" s="31" t="s">
        <v>18</v>
      </c>
      <c r="K8" s="31" t="s">
        <v>103</v>
      </c>
      <c r="L8" s="31" t="s">
        <v>17</v>
      </c>
      <c r="M8" s="71" t="s">
        <v>19</v>
      </c>
      <c r="N8" s="31" t="s">
        <v>240</v>
      </c>
      <c r="O8" s="31" t="s">
        <v>239</v>
      </c>
      <c r="P8" s="31" t="s">
        <v>112</v>
      </c>
      <c r="Q8" s="31" t="s">
        <v>59</v>
      </c>
      <c r="R8" s="31" t="s">
        <v>184</v>
      </c>
      <c r="S8" s="32" t="s">
        <v>186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247</v>
      </c>
      <c r="O9" s="33"/>
      <c r="P9" s="33" t="s">
        <v>243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115</v>
      </c>
      <c r="R10" s="21" t="s">
        <v>116</v>
      </c>
      <c r="S10" s="21" t="s">
        <v>187</v>
      </c>
      <c r="T10" s="5"/>
      <c r="BJ10" s="1"/>
    </row>
    <row r="11" spans="2:6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5"/>
      <c r="BJ11" s="1"/>
      <c r="BM11" s="1"/>
    </row>
    <row r="12" spans="2:65" ht="20.25" customHeight="1">
      <c r="B12" s="95" t="s">
        <v>255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2:65">
      <c r="B13" s="95" t="s">
        <v>114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2:65">
      <c r="B14" s="95" t="s">
        <v>238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2:65">
      <c r="B15" s="95" t="s">
        <v>246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2:6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9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2:19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19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2:19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2:19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2:19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19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2:19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19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1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9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1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1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1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1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1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1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1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10" zoomScale="90" zoomScaleNormal="90" workbookViewId="0">
      <selection activeCell="D36" sqref="D36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69.285156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4.28515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181</v>
      </c>
      <c r="C1" s="78" t="s" vm="1">
        <v>262</v>
      </c>
    </row>
    <row r="2" spans="2:81">
      <c r="B2" s="57" t="s">
        <v>180</v>
      </c>
      <c r="C2" s="78" t="s">
        <v>263</v>
      </c>
    </row>
    <row r="3" spans="2:81">
      <c r="B3" s="57" t="s">
        <v>182</v>
      </c>
      <c r="C3" s="78" t="s">
        <v>264</v>
      </c>
    </row>
    <row r="4" spans="2:81">
      <c r="B4" s="57" t="s">
        <v>183</v>
      </c>
      <c r="C4" s="78">
        <v>2207</v>
      </c>
    </row>
    <row r="6" spans="2:81" ht="26.25" customHeight="1">
      <c r="B6" s="157" t="s">
        <v>212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81" ht="26.25" customHeight="1">
      <c r="B7" s="157" t="s">
        <v>91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81" s="3" customFormat="1" ht="78.75">
      <c r="B8" s="23" t="s">
        <v>118</v>
      </c>
      <c r="C8" s="31" t="s">
        <v>44</v>
      </c>
      <c r="D8" s="31" t="s">
        <v>120</v>
      </c>
      <c r="E8" s="31" t="s">
        <v>119</v>
      </c>
      <c r="F8" s="31" t="s">
        <v>65</v>
      </c>
      <c r="G8" s="31" t="s">
        <v>15</v>
      </c>
      <c r="H8" s="31" t="s">
        <v>66</v>
      </c>
      <c r="I8" s="31" t="s">
        <v>104</v>
      </c>
      <c r="J8" s="31" t="s">
        <v>18</v>
      </c>
      <c r="K8" s="31" t="s">
        <v>103</v>
      </c>
      <c r="L8" s="31" t="s">
        <v>17</v>
      </c>
      <c r="M8" s="71" t="s">
        <v>19</v>
      </c>
      <c r="N8" s="71" t="s">
        <v>240</v>
      </c>
      <c r="O8" s="31" t="s">
        <v>239</v>
      </c>
      <c r="P8" s="31" t="s">
        <v>112</v>
      </c>
      <c r="Q8" s="31" t="s">
        <v>59</v>
      </c>
      <c r="R8" s="31" t="s">
        <v>184</v>
      </c>
      <c r="S8" s="32" t="s">
        <v>186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247</v>
      </c>
      <c r="O9" s="33"/>
      <c r="P9" s="33" t="s">
        <v>243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115</v>
      </c>
      <c r="R10" s="21" t="s">
        <v>116</v>
      </c>
      <c r="S10" s="21" t="s">
        <v>187</v>
      </c>
      <c r="T10" s="5"/>
      <c r="BZ10" s="1"/>
    </row>
    <row r="11" spans="2:81" s="4" customFormat="1" ht="18" customHeight="1">
      <c r="B11" s="109" t="s">
        <v>51</v>
      </c>
      <c r="C11" s="98"/>
      <c r="D11" s="98"/>
      <c r="E11" s="98"/>
      <c r="F11" s="98"/>
      <c r="G11" s="98"/>
      <c r="H11" s="98"/>
      <c r="I11" s="98"/>
      <c r="J11" s="102">
        <v>6.5567460754390385</v>
      </c>
      <c r="K11" s="98"/>
      <c r="L11" s="98"/>
      <c r="M11" s="103">
        <v>1.1157029989843794E-2</v>
      </c>
      <c r="N11" s="100"/>
      <c r="O11" s="102"/>
      <c r="P11" s="100">
        <v>58103.845820000002</v>
      </c>
      <c r="Q11" s="98"/>
      <c r="R11" s="103">
        <f>P11/$P$11</f>
        <v>1</v>
      </c>
      <c r="S11" s="103">
        <f>P11/'סכום נכסי הקרן'!$C$42</f>
        <v>1.5984617531314006E-2</v>
      </c>
      <c r="T11" s="5"/>
      <c r="BZ11" s="1"/>
      <c r="CC11" s="1"/>
    </row>
    <row r="12" spans="2:81" ht="17.25" customHeight="1">
      <c r="B12" s="110" t="s">
        <v>235</v>
      </c>
      <c r="C12" s="82"/>
      <c r="D12" s="82"/>
      <c r="E12" s="82"/>
      <c r="F12" s="82"/>
      <c r="G12" s="82"/>
      <c r="H12" s="82"/>
      <c r="I12" s="82"/>
      <c r="J12" s="92">
        <v>6.513860413144358</v>
      </c>
      <c r="K12" s="82"/>
      <c r="L12" s="82"/>
      <c r="M12" s="91">
        <v>1.0196743685849672E-2</v>
      </c>
      <c r="N12" s="90"/>
      <c r="O12" s="92"/>
      <c r="P12" s="90">
        <v>55963.195989999986</v>
      </c>
      <c r="Q12" s="82"/>
      <c r="R12" s="91">
        <f t="shared" ref="R12:R22" si="0">P12/$P$11</f>
        <v>0.96315820751983372</v>
      </c>
      <c r="S12" s="91">
        <f>P12/'סכום נכסי הקרן'!$C$42</f>
        <v>1.5395715569350507E-2</v>
      </c>
    </row>
    <row r="13" spans="2:81">
      <c r="B13" s="111" t="s">
        <v>60</v>
      </c>
      <c r="C13" s="82"/>
      <c r="D13" s="82"/>
      <c r="E13" s="82"/>
      <c r="F13" s="82"/>
      <c r="G13" s="82"/>
      <c r="H13" s="82"/>
      <c r="I13" s="82"/>
      <c r="J13" s="92">
        <v>7.9451977970326464</v>
      </c>
      <c r="K13" s="82"/>
      <c r="L13" s="82"/>
      <c r="M13" s="91">
        <v>5.7674728884696711E-3</v>
      </c>
      <c r="N13" s="90"/>
      <c r="O13" s="92"/>
      <c r="P13" s="90">
        <v>35817.671049999997</v>
      </c>
      <c r="Q13" s="82"/>
      <c r="R13" s="91">
        <f t="shared" si="0"/>
        <v>0.61644234636308959</v>
      </c>
      <c r="S13" s="91">
        <f>P13/'סכום נכסי הקרן'!$C$42</f>
        <v>9.8535951367197828E-3</v>
      </c>
    </row>
    <row r="14" spans="2:81">
      <c r="B14" s="112" t="s">
        <v>1724</v>
      </c>
      <c r="C14" s="80" t="s">
        <v>1725</v>
      </c>
      <c r="D14" s="93" t="s">
        <v>1726</v>
      </c>
      <c r="E14" s="80" t="s">
        <v>335</v>
      </c>
      <c r="F14" s="93" t="s">
        <v>158</v>
      </c>
      <c r="G14" s="80" t="s">
        <v>293</v>
      </c>
      <c r="H14" s="80" t="s">
        <v>294</v>
      </c>
      <c r="I14" s="107">
        <v>39076</v>
      </c>
      <c r="J14" s="89">
        <v>8</v>
      </c>
      <c r="K14" s="93" t="s">
        <v>166</v>
      </c>
      <c r="L14" s="94">
        <v>4.9000000000000002E-2</v>
      </c>
      <c r="M14" s="88">
        <v>7.6E-3</v>
      </c>
      <c r="N14" s="87">
        <v>2339669</v>
      </c>
      <c r="O14" s="89">
        <v>164.73</v>
      </c>
      <c r="P14" s="87">
        <v>3854.13652</v>
      </c>
      <c r="Q14" s="88">
        <v>1.1918261572986535E-3</v>
      </c>
      <c r="R14" s="88">
        <f t="shared" si="0"/>
        <v>6.6331866085761956E-2</v>
      </c>
      <c r="S14" s="88">
        <f>P14/'סכום נכסי הקרן'!$C$42</f>
        <v>1.0602895095192435E-3</v>
      </c>
    </row>
    <row r="15" spans="2:81">
      <c r="B15" s="112" t="s">
        <v>1727</v>
      </c>
      <c r="C15" s="80" t="s">
        <v>1728</v>
      </c>
      <c r="D15" s="93" t="s">
        <v>1726</v>
      </c>
      <c r="E15" s="80" t="s">
        <v>335</v>
      </c>
      <c r="F15" s="93" t="s">
        <v>158</v>
      </c>
      <c r="G15" s="80" t="s">
        <v>293</v>
      </c>
      <c r="H15" s="80" t="s">
        <v>294</v>
      </c>
      <c r="I15" s="107">
        <v>42639</v>
      </c>
      <c r="J15" s="89">
        <v>12.070000000000002</v>
      </c>
      <c r="K15" s="93" t="s">
        <v>166</v>
      </c>
      <c r="L15" s="94">
        <v>4.0999999999999995E-2</v>
      </c>
      <c r="M15" s="88">
        <v>1.0500000000000001E-2</v>
      </c>
      <c r="N15" s="87">
        <v>11259912.859999999</v>
      </c>
      <c r="O15" s="89">
        <v>147.94</v>
      </c>
      <c r="P15" s="87">
        <v>16657.91516</v>
      </c>
      <c r="Q15" s="88">
        <v>2.673111169748292E-3</v>
      </c>
      <c r="R15" s="88">
        <f t="shared" si="0"/>
        <v>0.28669212725788551</v>
      </c>
      <c r="S15" s="88">
        <f>P15/'סכום נכסי הקרן'!$C$42</f>
        <v>4.5826640034561028E-3</v>
      </c>
    </row>
    <row r="16" spans="2:81">
      <c r="B16" s="112" t="s">
        <v>1729</v>
      </c>
      <c r="C16" s="80" t="s">
        <v>1730</v>
      </c>
      <c r="D16" s="93" t="s">
        <v>1726</v>
      </c>
      <c r="E16" s="80" t="s">
        <v>1731</v>
      </c>
      <c r="F16" s="93" t="s">
        <v>158</v>
      </c>
      <c r="G16" s="80" t="s">
        <v>293</v>
      </c>
      <c r="H16" s="80" t="s">
        <v>294</v>
      </c>
      <c r="I16" s="107">
        <v>38918</v>
      </c>
      <c r="J16" s="89">
        <v>0.86999999999999988</v>
      </c>
      <c r="K16" s="93" t="s">
        <v>166</v>
      </c>
      <c r="L16" s="94">
        <v>0.05</v>
      </c>
      <c r="M16" s="88">
        <v>-3.4999999999999996E-3</v>
      </c>
      <c r="N16" s="87">
        <v>2871.66</v>
      </c>
      <c r="O16" s="89">
        <v>125.17</v>
      </c>
      <c r="P16" s="87">
        <v>3.5944499999999997</v>
      </c>
      <c r="Q16" s="88">
        <v>2.4919382068468556E-4</v>
      </c>
      <c r="R16" s="88">
        <f t="shared" si="0"/>
        <v>6.1862514421769124E-5</v>
      </c>
      <c r="S16" s="88">
        <f>P16/'סכום נכסי הקרן'!$C$42</f>
        <v>9.8884863255737624E-7</v>
      </c>
    </row>
    <row r="17" spans="2:19">
      <c r="B17" s="112" t="s">
        <v>1732</v>
      </c>
      <c r="C17" s="80" t="s">
        <v>1733</v>
      </c>
      <c r="D17" s="93" t="s">
        <v>1726</v>
      </c>
      <c r="E17" s="80" t="s">
        <v>1734</v>
      </c>
      <c r="F17" s="93" t="s">
        <v>946</v>
      </c>
      <c r="G17" s="80" t="s">
        <v>306</v>
      </c>
      <c r="H17" s="80" t="s">
        <v>162</v>
      </c>
      <c r="I17" s="107">
        <v>42796</v>
      </c>
      <c r="J17" s="89">
        <v>7.299999999999998</v>
      </c>
      <c r="K17" s="93" t="s">
        <v>166</v>
      </c>
      <c r="L17" s="94">
        <v>2.1400000000000002E-2</v>
      </c>
      <c r="M17" s="88">
        <v>2.5000000000000001E-3</v>
      </c>
      <c r="N17" s="87">
        <v>3124000</v>
      </c>
      <c r="O17" s="89">
        <v>117.33</v>
      </c>
      <c r="P17" s="87">
        <v>3665.3891800000001</v>
      </c>
      <c r="Q17" s="88">
        <v>1.2031766328000432E-2</v>
      </c>
      <c r="R17" s="88">
        <f t="shared" si="0"/>
        <v>6.3083417771605255E-2</v>
      </c>
      <c r="S17" s="88">
        <f>P17/'סכום נכסי הקרן'!$C$42</f>
        <v>1.0083643056472069E-3</v>
      </c>
    </row>
    <row r="18" spans="2:19">
      <c r="B18" s="112" t="s">
        <v>1735</v>
      </c>
      <c r="C18" s="80" t="s">
        <v>1736</v>
      </c>
      <c r="D18" s="93" t="s">
        <v>1726</v>
      </c>
      <c r="E18" s="80" t="s">
        <v>423</v>
      </c>
      <c r="F18" s="93" t="s">
        <v>424</v>
      </c>
      <c r="G18" s="80" t="s">
        <v>361</v>
      </c>
      <c r="H18" s="80" t="s">
        <v>294</v>
      </c>
      <c r="I18" s="107">
        <v>39856</v>
      </c>
      <c r="J18" s="89">
        <v>0.12000000000000002</v>
      </c>
      <c r="K18" s="93" t="s">
        <v>166</v>
      </c>
      <c r="L18" s="94">
        <v>6.8499999999999991E-2</v>
      </c>
      <c r="M18" s="88">
        <v>5.8999999999999999E-3</v>
      </c>
      <c r="N18" s="87">
        <v>843900</v>
      </c>
      <c r="O18" s="89">
        <v>117.03</v>
      </c>
      <c r="P18" s="87">
        <v>987.61618999999996</v>
      </c>
      <c r="Q18" s="88">
        <v>1.6709203624980448E-3</v>
      </c>
      <c r="R18" s="88">
        <f t="shared" si="0"/>
        <v>1.6997432374089967E-2</v>
      </c>
      <c r="S18" s="88">
        <f>P18/'סכום נכסי הקרן'!$C$42</f>
        <v>2.7169745551420269E-4</v>
      </c>
    </row>
    <row r="19" spans="2:19">
      <c r="B19" s="112" t="s">
        <v>1737</v>
      </c>
      <c r="C19" s="80" t="s">
        <v>1738</v>
      </c>
      <c r="D19" s="93" t="s">
        <v>1726</v>
      </c>
      <c r="E19" s="80" t="s">
        <v>371</v>
      </c>
      <c r="F19" s="93" t="s">
        <v>158</v>
      </c>
      <c r="G19" s="80" t="s">
        <v>349</v>
      </c>
      <c r="H19" s="80" t="s">
        <v>162</v>
      </c>
      <c r="I19" s="107">
        <v>39350</v>
      </c>
      <c r="J19" s="89">
        <v>3.8200000000000003</v>
      </c>
      <c r="K19" s="93" t="s">
        <v>166</v>
      </c>
      <c r="L19" s="94">
        <v>5.5999999999999994E-2</v>
      </c>
      <c r="M19" s="88">
        <v>-3.4999999999999996E-3</v>
      </c>
      <c r="N19" s="87">
        <v>699579.35</v>
      </c>
      <c r="O19" s="89">
        <v>151.13999999999999</v>
      </c>
      <c r="P19" s="87">
        <v>1057.34419</v>
      </c>
      <c r="Q19" s="88">
        <v>9.3657516162556757E-4</v>
      </c>
      <c r="R19" s="88">
        <f t="shared" si="0"/>
        <v>1.8197490632126972E-2</v>
      </c>
      <c r="S19" s="88">
        <f>P19/'סכום נכסי הקרן'!$C$42</f>
        <v>2.9087992778421921E-4</v>
      </c>
    </row>
    <row r="20" spans="2:19">
      <c r="B20" s="112" t="s">
        <v>1739</v>
      </c>
      <c r="C20" s="80" t="s">
        <v>1740</v>
      </c>
      <c r="D20" s="93" t="s">
        <v>1726</v>
      </c>
      <c r="E20" s="80" t="s">
        <v>423</v>
      </c>
      <c r="F20" s="93" t="s">
        <v>424</v>
      </c>
      <c r="G20" s="80" t="s">
        <v>398</v>
      </c>
      <c r="H20" s="80" t="s">
        <v>162</v>
      </c>
      <c r="I20" s="107">
        <v>42935</v>
      </c>
      <c r="J20" s="89">
        <v>1.71</v>
      </c>
      <c r="K20" s="93" t="s">
        <v>166</v>
      </c>
      <c r="L20" s="94">
        <v>0.06</v>
      </c>
      <c r="M20" s="88">
        <v>-6.9999999999999988E-4</v>
      </c>
      <c r="N20" s="87">
        <v>3130000</v>
      </c>
      <c r="O20" s="89">
        <v>120.61</v>
      </c>
      <c r="P20" s="87">
        <v>3775.09285</v>
      </c>
      <c r="Q20" s="88">
        <v>8.4577478216011238E-4</v>
      </c>
      <c r="R20" s="88">
        <f t="shared" si="0"/>
        <v>6.4971479886114014E-2</v>
      </c>
      <c r="S20" s="88">
        <f>P20/'סכום נכסי הקרן'!$C$42</f>
        <v>1.0385442564229933E-3</v>
      </c>
    </row>
    <row r="21" spans="2:19">
      <c r="B21" s="112" t="s">
        <v>1741</v>
      </c>
      <c r="C21" s="80" t="s">
        <v>1742</v>
      </c>
      <c r="D21" s="93" t="s">
        <v>1726</v>
      </c>
      <c r="E21" s="80" t="s">
        <v>338</v>
      </c>
      <c r="F21" s="93" t="s">
        <v>298</v>
      </c>
      <c r="G21" s="80" t="s">
        <v>474</v>
      </c>
      <c r="H21" s="80" t="s">
        <v>294</v>
      </c>
      <c r="I21" s="107">
        <v>39656</v>
      </c>
      <c r="J21" s="89">
        <v>2.64</v>
      </c>
      <c r="K21" s="93" t="s">
        <v>166</v>
      </c>
      <c r="L21" s="94">
        <v>5.7500000000000002E-2</v>
      </c>
      <c r="M21" s="88">
        <v>-5.0000000000000001E-3</v>
      </c>
      <c r="N21" s="87">
        <v>4101971</v>
      </c>
      <c r="O21" s="89">
        <v>141.16</v>
      </c>
      <c r="P21" s="87">
        <v>5790.3424199999999</v>
      </c>
      <c r="Q21" s="88">
        <v>3.1505153609831028E-3</v>
      </c>
      <c r="R21" s="88">
        <f t="shared" si="0"/>
        <v>9.9655063073413611E-2</v>
      </c>
      <c r="S21" s="88">
        <f>P21/'סכום נכסי הקרן'!$C$42</f>
        <v>1.5929480682874901E-3</v>
      </c>
    </row>
    <row r="22" spans="2:19">
      <c r="B22" s="112" t="s">
        <v>1743</v>
      </c>
      <c r="C22" s="80" t="s">
        <v>1744</v>
      </c>
      <c r="D22" s="93" t="s">
        <v>1726</v>
      </c>
      <c r="E22" s="80" t="s">
        <v>1745</v>
      </c>
      <c r="F22" s="93" t="s">
        <v>648</v>
      </c>
      <c r="G22" s="80" t="s">
        <v>1510</v>
      </c>
      <c r="H22" s="80"/>
      <c r="I22" s="107">
        <v>39104</v>
      </c>
      <c r="J22" s="89">
        <v>0.92999999999999994</v>
      </c>
      <c r="K22" s="93" t="s">
        <v>166</v>
      </c>
      <c r="L22" s="94">
        <v>5.5999999999999994E-2</v>
      </c>
      <c r="M22" s="88">
        <v>0.8649</v>
      </c>
      <c r="N22" s="87">
        <v>42146</v>
      </c>
      <c r="O22" s="89">
        <v>62.26</v>
      </c>
      <c r="P22" s="87">
        <v>26.240089999999999</v>
      </c>
      <c r="Q22" s="88">
        <v>6.668670337387884E-5</v>
      </c>
      <c r="R22" s="88">
        <f t="shared" si="0"/>
        <v>4.5160676767058098E-4</v>
      </c>
      <c r="S22" s="88">
        <f>P22/'סכום נכסי הקרן'!$C$42</f>
        <v>7.2187614557672194E-6</v>
      </c>
    </row>
    <row r="23" spans="2:19">
      <c r="B23" s="113"/>
      <c r="C23" s="80"/>
      <c r="D23" s="80"/>
      <c r="E23" s="80"/>
      <c r="F23" s="80"/>
      <c r="G23" s="80"/>
      <c r="H23" s="80"/>
      <c r="I23" s="80"/>
      <c r="J23" s="89"/>
      <c r="K23" s="80"/>
      <c r="L23" s="80"/>
      <c r="M23" s="88"/>
      <c r="N23" s="87"/>
      <c r="O23" s="89"/>
      <c r="P23" s="80"/>
      <c r="Q23" s="80"/>
      <c r="R23" s="88"/>
      <c r="S23" s="80"/>
    </row>
    <row r="24" spans="2:19">
      <c r="B24" s="111" t="s">
        <v>61</v>
      </c>
      <c r="C24" s="82"/>
      <c r="D24" s="82"/>
      <c r="E24" s="82"/>
      <c r="F24" s="82"/>
      <c r="G24" s="82"/>
      <c r="H24" s="82"/>
      <c r="I24" s="82"/>
      <c r="J24" s="92">
        <v>4.3102683966282491</v>
      </c>
      <c r="K24" s="82"/>
      <c r="L24" s="82"/>
      <c r="M24" s="91">
        <v>1.4478004720209072E-2</v>
      </c>
      <c r="N24" s="90"/>
      <c r="O24" s="92"/>
      <c r="P24" s="90">
        <v>16842.677680000001</v>
      </c>
      <c r="Q24" s="82"/>
      <c r="R24" s="91">
        <f t="shared" ref="R24:R30" si="1">P24/$P$11</f>
        <v>0.28987199456946378</v>
      </c>
      <c r="S24" s="91">
        <f>P24/'סכום נכסי הקרן'!$C$42</f>
        <v>4.6334929662320088E-3</v>
      </c>
    </row>
    <row r="25" spans="2:19">
      <c r="B25" s="112" t="s">
        <v>1746</v>
      </c>
      <c r="C25" s="80" t="s">
        <v>1747</v>
      </c>
      <c r="D25" s="93" t="s">
        <v>1726</v>
      </c>
      <c r="E25" s="80" t="s">
        <v>1734</v>
      </c>
      <c r="F25" s="93" t="s">
        <v>946</v>
      </c>
      <c r="G25" s="80" t="s">
        <v>306</v>
      </c>
      <c r="H25" s="80" t="s">
        <v>162</v>
      </c>
      <c r="I25" s="107">
        <v>42796</v>
      </c>
      <c r="J25" s="89">
        <v>6.8100000000000005</v>
      </c>
      <c r="K25" s="93" t="s">
        <v>166</v>
      </c>
      <c r="L25" s="94">
        <v>3.7400000000000003E-2</v>
      </c>
      <c r="M25" s="88">
        <v>1.72E-2</v>
      </c>
      <c r="N25" s="87">
        <v>3657126</v>
      </c>
      <c r="O25" s="89">
        <v>115.39</v>
      </c>
      <c r="P25" s="87">
        <v>4219.9577800000006</v>
      </c>
      <c r="Q25" s="88">
        <v>7.1004158754936339E-3</v>
      </c>
      <c r="R25" s="88">
        <f t="shared" si="1"/>
        <v>7.2627856563453899E-2</v>
      </c>
      <c r="S25" s="88">
        <f>P25/'סכום נכסי הקרן'!$C$42</f>
        <v>1.1609285092859442E-3</v>
      </c>
    </row>
    <row r="26" spans="2:19">
      <c r="B26" s="112" t="s">
        <v>1748</v>
      </c>
      <c r="C26" s="80" t="s">
        <v>1749</v>
      </c>
      <c r="D26" s="93" t="s">
        <v>1726</v>
      </c>
      <c r="E26" s="80" t="s">
        <v>1734</v>
      </c>
      <c r="F26" s="93" t="s">
        <v>946</v>
      </c>
      <c r="G26" s="80" t="s">
        <v>306</v>
      </c>
      <c r="H26" s="80" t="s">
        <v>162</v>
      </c>
      <c r="I26" s="107">
        <v>42796</v>
      </c>
      <c r="J26" s="89">
        <v>3.09</v>
      </c>
      <c r="K26" s="93" t="s">
        <v>166</v>
      </c>
      <c r="L26" s="94">
        <v>2.5000000000000001E-2</v>
      </c>
      <c r="M26" s="88">
        <v>1.0499999999999999E-2</v>
      </c>
      <c r="N26" s="87">
        <v>4957438</v>
      </c>
      <c r="O26" s="89">
        <v>105.26</v>
      </c>
      <c r="P26" s="87">
        <v>5218.1992900000005</v>
      </c>
      <c r="Q26" s="88">
        <v>6.8350549292978315E-3</v>
      </c>
      <c r="R26" s="88">
        <f t="shared" si="1"/>
        <v>8.9808156695263652E-2</v>
      </c>
      <c r="S26" s="88">
        <f>P26/'סכום נכסי הקרן'!$C$42</f>
        <v>1.4355490359661068E-3</v>
      </c>
    </row>
    <row r="27" spans="2:19">
      <c r="B27" s="112" t="s">
        <v>1750</v>
      </c>
      <c r="C27" s="80" t="s">
        <v>1751</v>
      </c>
      <c r="D27" s="93" t="s">
        <v>1726</v>
      </c>
      <c r="E27" s="80" t="s">
        <v>1752</v>
      </c>
      <c r="F27" s="93" t="s">
        <v>360</v>
      </c>
      <c r="G27" s="80" t="s">
        <v>398</v>
      </c>
      <c r="H27" s="80" t="s">
        <v>162</v>
      </c>
      <c r="I27" s="107">
        <v>42598</v>
      </c>
      <c r="J27" s="89">
        <v>4.9499999999999993</v>
      </c>
      <c r="K27" s="93" t="s">
        <v>166</v>
      </c>
      <c r="L27" s="94">
        <v>3.1E-2</v>
      </c>
      <c r="M27" s="88">
        <v>1.61E-2</v>
      </c>
      <c r="N27" s="87">
        <v>2832202.68</v>
      </c>
      <c r="O27" s="89">
        <v>107.58</v>
      </c>
      <c r="P27" s="87">
        <v>3046.88364</v>
      </c>
      <c r="Q27" s="88">
        <v>4.2236659720162936E-3</v>
      </c>
      <c r="R27" s="88">
        <f t="shared" si="1"/>
        <v>5.243858813475008E-2</v>
      </c>
      <c r="S27" s="88">
        <f>P27/'סכום נכסי הקרן'!$C$42</f>
        <v>8.3821077521608071E-4</v>
      </c>
    </row>
    <row r="28" spans="2:19">
      <c r="B28" s="112" t="s">
        <v>1753</v>
      </c>
      <c r="C28" s="80" t="s">
        <v>1754</v>
      </c>
      <c r="D28" s="93" t="s">
        <v>1726</v>
      </c>
      <c r="E28" s="80" t="s">
        <v>1755</v>
      </c>
      <c r="F28" s="93" t="s">
        <v>159</v>
      </c>
      <c r="G28" s="80" t="s">
        <v>482</v>
      </c>
      <c r="H28" s="80" t="s">
        <v>162</v>
      </c>
      <c r="I28" s="107">
        <v>43741</v>
      </c>
      <c r="J28" s="89">
        <v>1.73</v>
      </c>
      <c r="K28" s="93" t="s">
        <v>166</v>
      </c>
      <c r="L28" s="94">
        <v>1.34E-2</v>
      </c>
      <c r="M28" s="88">
        <v>1.23E-2</v>
      </c>
      <c r="N28" s="87">
        <v>2260000</v>
      </c>
      <c r="O28" s="89">
        <v>100.51</v>
      </c>
      <c r="P28" s="87">
        <v>2271.5259999999998</v>
      </c>
      <c r="Q28" s="88">
        <v>4.5199999999999997E-3</v>
      </c>
      <c r="R28" s="88">
        <f t="shared" si="1"/>
        <v>3.9094245276585719E-2</v>
      </c>
      <c r="S28" s="88">
        <f>P28/'סכום נכסי הקרן'!$C$42</f>
        <v>6.2490655842160176E-4</v>
      </c>
    </row>
    <row r="29" spans="2:19">
      <c r="B29" s="112" t="s">
        <v>1756</v>
      </c>
      <c r="C29" s="80" t="s">
        <v>1757</v>
      </c>
      <c r="D29" s="93" t="s">
        <v>1726</v>
      </c>
      <c r="E29" s="80" t="s">
        <v>1758</v>
      </c>
      <c r="F29" s="93" t="s">
        <v>360</v>
      </c>
      <c r="G29" s="80" t="s">
        <v>577</v>
      </c>
      <c r="H29" s="80" t="s">
        <v>294</v>
      </c>
      <c r="I29" s="107">
        <v>43312</v>
      </c>
      <c r="J29" s="89">
        <v>4.29</v>
      </c>
      <c r="K29" s="93" t="s">
        <v>166</v>
      </c>
      <c r="L29" s="94">
        <v>3.5499999999999997E-2</v>
      </c>
      <c r="M29" s="88">
        <v>1.9099999999999999E-2</v>
      </c>
      <c r="N29" s="87">
        <v>1880640</v>
      </c>
      <c r="O29" s="89">
        <v>107.19</v>
      </c>
      <c r="P29" s="87">
        <v>2015.8580200000001</v>
      </c>
      <c r="Q29" s="88">
        <v>6.1218749999999997E-3</v>
      </c>
      <c r="R29" s="88">
        <f t="shared" si="1"/>
        <v>3.4694054955414312E-2</v>
      </c>
      <c r="S29" s="88">
        <f>P29/'סכום נכסי הקרן'!$C$42</f>
        <v>5.5457119907268717E-4</v>
      </c>
    </row>
    <row r="30" spans="2:19">
      <c r="B30" s="112" t="s">
        <v>1759</v>
      </c>
      <c r="C30" s="80" t="s">
        <v>1760</v>
      </c>
      <c r="D30" s="93" t="s">
        <v>1726</v>
      </c>
      <c r="E30" s="80" t="s">
        <v>1761</v>
      </c>
      <c r="F30" s="93" t="s">
        <v>360</v>
      </c>
      <c r="G30" s="80" t="s">
        <v>633</v>
      </c>
      <c r="H30" s="80" t="s">
        <v>162</v>
      </c>
      <c r="I30" s="107">
        <v>41903</v>
      </c>
      <c r="J30" s="89">
        <v>1.06</v>
      </c>
      <c r="K30" s="93" t="s">
        <v>166</v>
      </c>
      <c r="L30" s="94">
        <v>5.1500000000000004E-2</v>
      </c>
      <c r="M30" s="88">
        <v>1.3900000000000001E-2</v>
      </c>
      <c r="N30" s="87">
        <v>66176.479999999996</v>
      </c>
      <c r="O30" s="89">
        <v>106.16</v>
      </c>
      <c r="P30" s="87">
        <v>70.252949999999998</v>
      </c>
      <c r="Q30" s="88">
        <v>2.6470560235327717E-3</v>
      </c>
      <c r="R30" s="88">
        <f t="shared" si="1"/>
        <v>1.2090929439961121E-3</v>
      </c>
      <c r="S30" s="88">
        <f>P30/'סכום נכסי הקרן'!$C$42</f>
        <v>1.9326888269588317E-5</v>
      </c>
    </row>
    <row r="31" spans="2:19">
      <c r="B31" s="113"/>
      <c r="C31" s="80"/>
      <c r="D31" s="80"/>
      <c r="E31" s="80"/>
      <c r="F31" s="80"/>
      <c r="G31" s="80"/>
      <c r="H31" s="80"/>
      <c r="I31" s="80"/>
      <c r="J31" s="89"/>
      <c r="K31" s="80"/>
      <c r="L31" s="80"/>
      <c r="M31" s="88"/>
      <c r="N31" s="87"/>
      <c r="O31" s="89"/>
      <c r="P31" s="80"/>
      <c r="Q31" s="80"/>
      <c r="R31" s="88"/>
      <c r="S31" s="80"/>
    </row>
    <row r="32" spans="2:19">
      <c r="B32" s="111" t="s">
        <v>46</v>
      </c>
      <c r="C32" s="82"/>
      <c r="D32" s="82"/>
      <c r="E32" s="82"/>
      <c r="F32" s="82"/>
      <c r="G32" s="82"/>
      <c r="H32" s="82"/>
      <c r="I32" s="82"/>
      <c r="J32" s="92">
        <v>2.2288358900072178</v>
      </c>
      <c r="K32" s="82"/>
      <c r="L32" s="82"/>
      <c r="M32" s="91">
        <v>3.6397853799027942E-2</v>
      </c>
      <c r="N32" s="90"/>
      <c r="O32" s="92"/>
      <c r="P32" s="90">
        <v>3302.8472599999996</v>
      </c>
      <c r="Q32" s="82"/>
      <c r="R32" s="91">
        <f>P32/$P$11</f>
        <v>5.6843866587280564E-2</v>
      </c>
      <c r="S32" s="91">
        <f>P32/'סכום נכסי הקרן'!$C$42</f>
        <v>9.086274663987193E-4</v>
      </c>
    </row>
    <row r="33" spans="2:19">
      <c r="B33" s="112" t="s">
        <v>1762</v>
      </c>
      <c r="C33" s="80" t="s">
        <v>1763</v>
      </c>
      <c r="D33" s="93" t="s">
        <v>1726</v>
      </c>
      <c r="E33" s="80" t="s">
        <v>856</v>
      </c>
      <c r="F33" s="93" t="s">
        <v>192</v>
      </c>
      <c r="G33" s="80" t="s">
        <v>474</v>
      </c>
      <c r="H33" s="80" t="s">
        <v>294</v>
      </c>
      <c r="I33" s="107">
        <v>42954</v>
      </c>
      <c r="J33" s="89">
        <v>0.7</v>
      </c>
      <c r="K33" s="93" t="s">
        <v>165</v>
      </c>
      <c r="L33" s="94">
        <v>3.7000000000000005E-2</v>
      </c>
      <c r="M33" s="88">
        <v>2.8600000000000007E-2</v>
      </c>
      <c r="N33" s="87">
        <v>161013</v>
      </c>
      <c r="O33" s="89">
        <v>101.67</v>
      </c>
      <c r="P33" s="87">
        <v>565.75387000000001</v>
      </c>
      <c r="Q33" s="88">
        <v>2.3958841735610974E-3</v>
      </c>
      <c r="R33" s="88">
        <f t="shared" ref="R33:R35" si="2">P33/$P$11</f>
        <v>9.7369436052933533E-3</v>
      </c>
      <c r="S33" s="88">
        <f>P33/'סכום נכסי הקרן'!$C$42</f>
        <v>1.5564131945458795E-4</v>
      </c>
    </row>
    <row r="34" spans="2:19">
      <c r="B34" s="112" t="s">
        <v>1764</v>
      </c>
      <c r="C34" s="80" t="s">
        <v>1765</v>
      </c>
      <c r="D34" s="93" t="s">
        <v>1726</v>
      </c>
      <c r="E34" s="80" t="s">
        <v>856</v>
      </c>
      <c r="F34" s="93" t="s">
        <v>192</v>
      </c>
      <c r="G34" s="80" t="s">
        <v>474</v>
      </c>
      <c r="H34" s="80" t="s">
        <v>294</v>
      </c>
      <c r="I34" s="107">
        <v>42625</v>
      </c>
      <c r="J34" s="89">
        <v>2.5499999999999998</v>
      </c>
      <c r="K34" s="93" t="s">
        <v>165</v>
      </c>
      <c r="L34" s="94">
        <v>4.4500000000000005E-2</v>
      </c>
      <c r="M34" s="88">
        <v>3.7599999999999995E-2</v>
      </c>
      <c r="N34" s="87">
        <v>765197</v>
      </c>
      <c r="O34" s="89">
        <v>103.14</v>
      </c>
      <c r="P34" s="87">
        <v>2727.5587</v>
      </c>
      <c r="Q34" s="88">
        <v>5.5801582039392613E-3</v>
      </c>
      <c r="R34" s="88">
        <f t="shared" si="2"/>
        <v>4.6942825582487406E-2</v>
      </c>
      <c r="S34" s="88">
        <f>P34/'סכום נכסי הקרן'!$C$42</f>
        <v>7.5036311277524377E-4</v>
      </c>
    </row>
    <row r="35" spans="2:19">
      <c r="B35" s="112" t="s">
        <v>1766</v>
      </c>
      <c r="C35" s="80" t="s">
        <v>1767</v>
      </c>
      <c r="D35" s="93" t="s">
        <v>1726</v>
      </c>
      <c r="E35" s="80" t="s">
        <v>1768</v>
      </c>
      <c r="F35" s="93" t="s">
        <v>158</v>
      </c>
      <c r="G35" s="80" t="s">
        <v>1510</v>
      </c>
      <c r="H35" s="80"/>
      <c r="I35" s="107">
        <v>41840</v>
      </c>
      <c r="J35" s="89">
        <v>1.07</v>
      </c>
      <c r="K35" s="93" t="s">
        <v>165</v>
      </c>
      <c r="L35" s="94">
        <v>4.7100000000000003E-2</v>
      </c>
      <c r="M35" s="88">
        <v>0.15519999999999998</v>
      </c>
      <c r="N35" s="87">
        <v>3060.89</v>
      </c>
      <c r="O35" s="89">
        <v>90.12</v>
      </c>
      <c r="P35" s="87">
        <v>9.5346900000000012</v>
      </c>
      <c r="Q35" s="88">
        <v>1.9578921014924331E-4</v>
      </c>
      <c r="R35" s="88">
        <f t="shared" si="2"/>
        <v>1.6409739949981163E-4</v>
      </c>
      <c r="S35" s="88">
        <f>P35/'סכום נכסי הקרן'!$C$42</f>
        <v>2.6230341688877274E-6</v>
      </c>
    </row>
    <row r="36" spans="2:19">
      <c r="B36" s="113"/>
      <c r="C36" s="80"/>
      <c r="D36" s="80"/>
      <c r="E36" s="80"/>
      <c r="F36" s="80"/>
      <c r="G36" s="80"/>
      <c r="H36" s="80"/>
      <c r="I36" s="80"/>
      <c r="J36" s="89"/>
      <c r="K36" s="80"/>
      <c r="L36" s="80"/>
      <c r="M36" s="88"/>
      <c r="N36" s="87"/>
      <c r="O36" s="89"/>
      <c r="P36" s="80"/>
      <c r="Q36" s="80"/>
      <c r="R36" s="88"/>
      <c r="S36" s="80"/>
    </row>
    <row r="37" spans="2:19">
      <c r="B37" s="110" t="s">
        <v>234</v>
      </c>
      <c r="C37" s="82"/>
      <c r="D37" s="82"/>
      <c r="E37" s="82"/>
      <c r="F37" s="82"/>
      <c r="G37" s="82"/>
      <c r="H37" s="82"/>
      <c r="I37" s="82"/>
      <c r="J37" s="92">
        <v>7.677909700859388</v>
      </c>
      <c r="K37" s="82"/>
      <c r="L37" s="82"/>
      <c r="M37" s="91">
        <v>3.6261878939817069E-2</v>
      </c>
      <c r="N37" s="90"/>
      <c r="O37" s="92"/>
      <c r="P37" s="90">
        <v>2140.6498300000003</v>
      </c>
      <c r="Q37" s="82"/>
      <c r="R37" s="91">
        <f>P37/$P$11</f>
        <v>3.6841792480165995E-2</v>
      </c>
      <c r="S37" s="91">
        <f>P37/'סכום נכסי הקרן'!$C$42</f>
        <v>5.8890196196349385E-4</v>
      </c>
    </row>
    <row r="38" spans="2:19">
      <c r="B38" s="111" t="s">
        <v>68</v>
      </c>
      <c r="C38" s="82"/>
      <c r="D38" s="82"/>
      <c r="E38" s="82"/>
      <c r="F38" s="82"/>
      <c r="G38" s="82"/>
      <c r="H38" s="82"/>
      <c r="I38" s="82"/>
      <c r="J38" s="92">
        <v>7.677909700859388</v>
      </c>
      <c r="K38" s="82"/>
      <c r="L38" s="82"/>
      <c r="M38" s="91">
        <v>3.6261878939817069E-2</v>
      </c>
      <c r="N38" s="90"/>
      <c r="O38" s="92"/>
      <c r="P38" s="90">
        <v>2140.6498300000003</v>
      </c>
      <c r="Q38" s="82"/>
      <c r="R38" s="91">
        <f>P38/$P$11</f>
        <v>3.6841792480165995E-2</v>
      </c>
      <c r="S38" s="91">
        <f>P38/'סכום נכסי הקרן'!$C$42</f>
        <v>5.8890196196349385E-4</v>
      </c>
    </row>
    <row r="39" spans="2:19">
      <c r="B39" s="112" t="s">
        <v>1769</v>
      </c>
      <c r="C39" s="80">
        <v>4279</v>
      </c>
      <c r="D39" s="93" t="s">
        <v>1726</v>
      </c>
      <c r="E39" s="80"/>
      <c r="F39" s="93" t="s">
        <v>1260</v>
      </c>
      <c r="G39" s="80" t="s">
        <v>1770</v>
      </c>
      <c r="H39" s="80" t="s">
        <v>1771</v>
      </c>
      <c r="I39" s="107">
        <v>43465</v>
      </c>
      <c r="J39" s="89">
        <v>1.83</v>
      </c>
      <c r="K39" s="93" t="s">
        <v>165</v>
      </c>
      <c r="L39" s="94">
        <v>0.06</v>
      </c>
      <c r="M39" s="88">
        <v>3.259999999999999E-2</v>
      </c>
      <c r="N39" s="87">
        <v>258666.65</v>
      </c>
      <c r="O39" s="89">
        <v>106.6</v>
      </c>
      <c r="P39" s="87">
        <v>952.95278000000008</v>
      </c>
      <c r="Q39" s="88">
        <v>3.1353533333333331E-4</v>
      </c>
      <c r="R39" s="88">
        <f>P39/$P$11</f>
        <v>1.6400855512252219E-2</v>
      </c>
      <c r="S39" s="88">
        <f>P39/'סכום נכסי הקרן'!$C$42</f>
        <v>2.6216140254969476E-4</v>
      </c>
    </row>
    <row r="40" spans="2:19">
      <c r="B40" s="112" t="s">
        <v>1772</v>
      </c>
      <c r="C40" s="80">
        <v>5168</v>
      </c>
      <c r="D40" s="93" t="s">
        <v>1726</v>
      </c>
      <c r="E40" s="80"/>
      <c r="F40" s="93" t="s">
        <v>1274</v>
      </c>
      <c r="G40" s="80" t="s">
        <v>1510</v>
      </c>
      <c r="H40" s="80"/>
      <c r="I40" s="107">
        <v>43465</v>
      </c>
      <c r="J40" s="89">
        <v>12.370000000000001</v>
      </c>
      <c r="K40" s="93" t="s">
        <v>174</v>
      </c>
      <c r="L40" s="94">
        <v>3.9510000000000003E-2</v>
      </c>
      <c r="M40" s="88">
        <v>3.9199999999999992E-2</v>
      </c>
      <c r="N40" s="87">
        <v>444000</v>
      </c>
      <c r="O40" s="89">
        <v>100.81</v>
      </c>
      <c r="P40" s="87">
        <v>1187.69705</v>
      </c>
      <c r="Q40" s="88">
        <v>1.1253412141012352E-3</v>
      </c>
      <c r="R40" s="88">
        <f>P40/$P$11</f>
        <v>2.044093696791377E-2</v>
      </c>
      <c r="S40" s="88">
        <f>P40/'סכום נכסי הקרן'!$C$42</f>
        <v>3.2674055941379898E-4</v>
      </c>
    </row>
    <row r="41" spans="2:19">
      <c r="C41" s="1"/>
      <c r="D41" s="1"/>
      <c r="E41" s="1"/>
    </row>
    <row r="42" spans="2:19">
      <c r="C42" s="1"/>
      <c r="D42" s="1"/>
      <c r="E42" s="1"/>
    </row>
    <row r="43" spans="2:19">
      <c r="C43" s="1"/>
      <c r="D43" s="1"/>
      <c r="E43" s="1"/>
    </row>
    <row r="44" spans="2:19">
      <c r="B44" s="95" t="s">
        <v>255</v>
      </c>
      <c r="C44" s="1"/>
      <c r="D44" s="1"/>
      <c r="E44" s="1"/>
    </row>
    <row r="45" spans="2:19">
      <c r="B45" s="95" t="s">
        <v>114</v>
      </c>
      <c r="C45" s="1"/>
      <c r="D45" s="1"/>
      <c r="E45" s="1"/>
    </row>
    <row r="46" spans="2:19">
      <c r="B46" s="95" t="s">
        <v>238</v>
      </c>
      <c r="C46" s="1"/>
      <c r="D46" s="1"/>
      <c r="E46" s="1"/>
    </row>
    <row r="47" spans="2:19">
      <c r="B47" s="95" t="s">
        <v>246</v>
      </c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4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5"/>
  <sheetViews>
    <sheetView rightToLeft="1" topLeftCell="A6" workbookViewId="0">
      <selection activeCell="L26" sqref="L26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9.28515625" style="2" bestFit="1" customWidth="1"/>
    <col min="4" max="4" width="5.7109375" style="2" bestFit="1" customWidth="1"/>
    <col min="5" max="5" width="11.28515625" style="2" bestFit="1" customWidth="1"/>
    <col min="6" max="6" width="14.7109375" style="1" bestFit="1" customWidth="1"/>
    <col min="7" max="7" width="12.28515625" style="1" bestFit="1" customWidth="1"/>
    <col min="8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181</v>
      </c>
      <c r="C1" s="78" t="s" vm="1">
        <v>262</v>
      </c>
    </row>
    <row r="2" spans="2:98">
      <c r="B2" s="57" t="s">
        <v>180</v>
      </c>
      <c r="C2" s="78" t="s">
        <v>263</v>
      </c>
    </row>
    <row r="3" spans="2:98">
      <c r="B3" s="57" t="s">
        <v>182</v>
      </c>
      <c r="C3" s="78" t="s">
        <v>264</v>
      </c>
    </row>
    <row r="4" spans="2:98">
      <c r="B4" s="57" t="s">
        <v>183</v>
      </c>
      <c r="C4" s="78">
        <v>2207</v>
      </c>
    </row>
    <row r="6" spans="2:98" ht="26.25" customHeight="1">
      <c r="B6" s="157" t="s">
        <v>212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2:98" ht="26.25" customHeight="1">
      <c r="B7" s="157" t="s">
        <v>92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2:98" s="3" customFormat="1" ht="63">
      <c r="B8" s="23" t="s">
        <v>118</v>
      </c>
      <c r="C8" s="31" t="s">
        <v>44</v>
      </c>
      <c r="D8" s="31" t="s">
        <v>120</v>
      </c>
      <c r="E8" s="31" t="s">
        <v>119</v>
      </c>
      <c r="F8" s="31" t="s">
        <v>65</v>
      </c>
      <c r="G8" s="31" t="s">
        <v>103</v>
      </c>
      <c r="H8" s="31" t="s">
        <v>240</v>
      </c>
      <c r="I8" s="31" t="s">
        <v>239</v>
      </c>
      <c r="J8" s="31" t="s">
        <v>112</v>
      </c>
      <c r="K8" s="31" t="s">
        <v>59</v>
      </c>
      <c r="L8" s="31" t="s">
        <v>184</v>
      </c>
      <c r="M8" s="32" t="s">
        <v>186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247</v>
      </c>
      <c r="I9" s="33"/>
      <c r="J9" s="33" t="s">
        <v>243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20" t="s">
        <v>29</v>
      </c>
      <c r="C11" s="121"/>
      <c r="D11" s="121"/>
      <c r="E11" s="121"/>
      <c r="F11" s="121"/>
      <c r="G11" s="121"/>
      <c r="H11" s="122"/>
      <c r="I11" s="122"/>
      <c r="J11" s="122">
        <v>20108.734270000004</v>
      </c>
      <c r="K11" s="121"/>
      <c r="L11" s="124">
        <f>J11/$J$11</f>
        <v>1</v>
      </c>
      <c r="M11" s="124">
        <f>J11/'סכום נכסי הקרן'!$C$42</f>
        <v>5.5319991613039981E-3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CT11" s="96"/>
    </row>
    <row r="12" spans="2:98" s="96" customFormat="1" ht="17.25" customHeight="1">
      <c r="B12" s="125" t="s">
        <v>235</v>
      </c>
      <c r="C12" s="121"/>
      <c r="D12" s="121"/>
      <c r="E12" s="121"/>
      <c r="F12" s="121"/>
      <c r="G12" s="121"/>
      <c r="H12" s="122"/>
      <c r="I12" s="122"/>
      <c r="J12" s="122">
        <v>2216.3924400000001</v>
      </c>
      <c r="K12" s="121"/>
      <c r="L12" s="124">
        <f t="shared" ref="L12:L16" si="0">J12/$J$11</f>
        <v>0.11022038534303033</v>
      </c>
      <c r="M12" s="124">
        <f>J12/'סכום נכסי הקרן'!$C$42</f>
        <v>6.0973907927624723E-4</v>
      </c>
    </row>
    <row r="13" spans="2:98">
      <c r="B13" s="99" t="s">
        <v>235</v>
      </c>
      <c r="C13" s="82"/>
      <c r="D13" s="82"/>
      <c r="E13" s="82"/>
      <c r="F13" s="82"/>
      <c r="G13" s="82"/>
      <c r="H13" s="90"/>
      <c r="I13" s="90"/>
      <c r="J13" s="90">
        <v>2216.3924400000001</v>
      </c>
      <c r="K13" s="82"/>
      <c r="L13" s="91">
        <f t="shared" si="0"/>
        <v>0.11022038534303033</v>
      </c>
      <c r="M13" s="91">
        <f>J13/'סכום נכסי הקרן'!$C$42</f>
        <v>6.0973907927624723E-4</v>
      </c>
    </row>
    <row r="14" spans="2:98">
      <c r="B14" s="86" t="s">
        <v>1773</v>
      </c>
      <c r="C14" s="80">
        <v>5992</v>
      </c>
      <c r="D14" s="93" t="s">
        <v>27</v>
      </c>
      <c r="E14" s="80" t="s">
        <v>1745</v>
      </c>
      <c r="F14" s="93" t="s">
        <v>648</v>
      </c>
      <c r="G14" s="93" t="s">
        <v>166</v>
      </c>
      <c r="H14" s="87">
        <v>1821</v>
      </c>
      <c r="I14" s="87">
        <v>0</v>
      </c>
      <c r="J14" s="87">
        <v>1.3000000000000002E-4</v>
      </c>
      <c r="K14" s="88">
        <v>6.6703296703296699E-5</v>
      </c>
      <c r="L14" s="88">
        <f t="shared" si="0"/>
        <v>6.4648524494127692E-9</v>
      </c>
      <c r="M14" s="88">
        <f>J14/'סכום נכסי הקרן'!$C$42</f>
        <v>3.5763558328105533E-11</v>
      </c>
    </row>
    <row r="15" spans="2:98">
      <c r="B15" s="86" t="s">
        <v>1774</v>
      </c>
      <c r="C15" s="80" t="s">
        <v>1775</v>
      </c>
      <c r="D15" s="93" t="s">
        <v>27</v>
      </c>
      <c r="E15" s="80" t="s">
        <v>1776</v>
      </c>
      <c r="F15" s="93" t="s">
        <v>360</v>
      </c>
      <c r="G15" s="93" t="s">
        <v>165</v>
      </c>
      <c r="H15" s="87">
        <v>84344.21</v>
      </c>
      <c r="I15" s="87">
        <v>752.64729999999997</v>
      </c>
      <c r="J15" s="87">
        <v>2193.9186299999997</v>
      </c>
      <c r="K15" s="88">
        <v>1.4550858248719618E-3</v>
      </c>
      <c r="L15" s="88">
        <f t="shared" si="0"/>
        <v>0.10910277099206002</v>
      </c>
      <c r="M15" s="88">
        <f>J15/'סכום נכסי הקרן'!$C$42</f>
        <v>6.0355643762401818E-4</v>
      </c>
    </row>
    <row r="16" spans="2:98">
      <c r="B16" s="86" t="s">
        <v>1777</v>
      </c>
      <c r="C16" s="80" t="s">
        <v>1778</v>
      </c>
      <c r="D16" s="93" t="s">
        <v>27</v>
      </c>
      <c r="E16" s="80" t="s">
        <v>1768</v>
      </c>
      <c r="F16" s="93" t="s">
        <v>158</v>
      </c>
      <c r="G16" s="93" t="s">
        <v>165</v>
      </c>
      <c r="H16" s="87">
        <v>401.41</v>
      </c>
      <c r="I16" s="87">
        <v>1620</v>
      </c>
      <c r="J16" s="87">
        <v>22.47381</v>
      </c>
      <c r="K16" s="88">
        <v>4.0938796600050538E-5</v>
      </c>
      <c r="L16" s="88">
        <f t="shared" si="0"/>
        <v>1.1176143509702859E-3</v>
      </c>
      <c r="M16" s="88">
        <f>J16/'סכום נכסי הקרן'!$C$42</f>
        <v>6.1826416522289333E-6</v>
      </c>
    </row>
    <row r="17" spans="2:13">
      <c r="B17" s="83"/>
      <c r="C17" s="80"/>
      <c r="D17" s="80"/>
      <c r="E17" s="80"/>
      <c r="F17" s="80"/>
      <c r="G17" s="80"/>
      <c r="H17" s="87"/>
      <c r="I17" s="87"/>
      <c r="J17" s="80"/>
      <c r="K17" s="80"/>
      <c r="L17" s="88"/>
      <c r="M17" s="80"/>
    </row>
    <row r="18" spans="2:13" s="96" customFormat="1">
      <c r="B18" s="125" t="s">
        <v>234</v>
      </c>
      <c r="C18" s="121"/>
      <c r="D18" s="121"/>
      <c r="E18" s="121"/>
      <c r="F18" s="121"/>
      <c r="G18" s="121"/>
      <c r="H18" s="122"/>
      <c r="I18" s="122"/>
      <c r="J18" s="122">
        <v>17892.341830000005</v>
      </c>
      <c r="K18" s="121"/>
      <c r="L18" s="124">
        <f t="shared" ref="L18:L35" si="1">J18/$J$11</f>
        <v>0.88977961465696975</v>
      </c>
      <c r="M18" s="124">
        <f>J18/'סכום נכסי הקרן'!$C$42</f>
        <v>4.9222600820277504E-3</v>
      </c>
    </row>
    <row r="19" spans="2:13">
      <c r="B19" s="99" t="s">
        <v>63</v>
      </c>
      <c r="C19" s="82"/>
      <c r="D19" s="82"/>
      <c r="E19" s="82"/>
      <c r="F19" s="82"/>
      <c r="G19" s="82"/>
      <c r="H19" s="90"/>
      <c r="I19" s="90"/>
      <c r="J19" s="90">
        <v>17892.341830000005</v>
      </c>
      <c r="K19" s="82"/>
      <c r="L19" s="91">
        <f t="shared" si="1"/>
        <v>0.88977961465696975</v>
      </c>
      <c r="M19" s="91">
        <f>J19/'סכום נכסי הקרן'!$C$42</f>
        <v>4.9222600820277504E-3</v>
      </c>
    </row>
    <row r="20" spans="2:13">
      <c r="B20" s="86" t="s">
        <v>1779</v>
      </c>
      <c r="C20" s="80">
        <v>3610</v>
      </c>
      <c r="D20" s="93" t="s">
        <v>27</v>
      </c>
      <c r="E20" s="80"/>
      <c r="F20" s="93" t="s">
        <v>1237</v>
      </c>
      <c r="G20" s="93" t="s">
        <v>165</v>
      </c>
      <c r="H20" s="87">
        <v>27000</v>
      </c>
      <c r="I20" s="87">
        <v>495.5949</v>
      </c>
      <c r="J20" s="87">
        <v>462.4495</v>
      </c>
      <c r="K20" s="88">
        <v>3.9525664446511555E-3</v>
      </c>
      <c r="L20" s="88">
        <f t="shared" si="1"/>
        <v>2.2997444483113152E-2</v>
      </c>
      <c r="M20" s="88">
        <f>J20/'סכום נכסי הקרן'!$C$42</f>
        <v>1.2722184359271723E-4</v>
      </c>
    </row>
    <row r="21" spans="2:13">
      <c r="B21" s="86" t="s">
        <v>1780</v>
      </c>
      <c r="C21" s="80" t="s">
        <v>1781</v>
      </c>
      <c r="D21" s="93" t="s">
        <v>27</v>
      </c>
      <c r="E21" s="80"/>
      <c r="F21" s="93" t="s">
        <v>1237</v>
      </c>
      <c r="G21" s="93" t="s">
        <v>165</v>
      </c>
      <c r="H21" s="87">
        <v>209.78</v>
      </c>
      <c r="I21" s="87">
        <v>126304.54270000001</v>
      </c>
      <c r="J21" s="87">
        <v>915.72063000000003</v>
      </c>
      <c r="K21" s="88">
        <v>2.4750562397479782E-3</v>
      </c>
      <c r="L21" s="88">
        <f t="shared" si="1"/>
        <v>4.5538451983333103E-2</v>
      </c>
      <c r="M21" s="88">
        <f>J21/'סכום נכסי הקרן'!$C$42</f>
        <v>2.5191867817888112E-4</v>
      </c>
    </row>
    <row r="22" spans="2:13">
      <c r="B22" s="86" t="s">
        <v>1782</v>
      </c>
      <c r="C22" s="80" t="s">
        <v>1783</v>
      </c>
      <c r="D22" s="93" t="s">
        <v>27</v>
      </c>
      <c r="E22" s="80"/>
      <c r="F22" s="93" t="s">
        <v>1237</v>
      </c>
      <c r="G22" s="93" t="s">
        <v>165</v>
      </c>
      <c r="H22" s="87">
        <v>133491.04</v>
      </c>
      <c r="I22" s="87">
        <v>301.95740000000001</v>
      </c>
      <c r="J22" s="87">
        <v>1393.06546</v>
      </c>
      <c r="K22" s="88">
        <v>5.4184698153117933E-3</v>
      </c>
      <c r="L22" s="88">
        <f t="shared" si="1"/>
        <v>6.9276635779025569E-2</v>
      </c>
      <c r="M22" s="88">
        <f>J22/'סכום נכסי הקרן'!$C$42</f>
        <v>3.8323829102753204E-4</v>
      </c>
    </row>
    <row r="23" spans="2:13">
      <c r="B23" s="86" t="s">
        <v>1784</v>
      </c>
      <c r="C23" s="80" t="s">
        <v>1785</v>
      </c>
      <c r="D23" s="93" t="s">
        <v>27</v>
      </c>
      <c r="E23" s="80"/>
      <c r="F23" s="93" t="s">
        <v>1237</v>
      </c>
      <c r="G23" s="93" t="s">
        <v>165</v>
      </c>
      <c r="H23" s="87">
        <v>153.26</v>
      </c>
      <c r="I23" s="87">
        <v>0</v>
      </c>
      <c r="J23" s="87">
        <v>1.3000000000000002E-4</v>
      </c>
      <c r="K23" s="88">
        <v>2.9400452152327566E-3</v>
      </c>
      <c r="L23" s="88">
        <f t="shared" si="1"/>
        <v>6.4648524494127692E-9</v>
      </c>
      <c r="M23" s="88">
        <f>J23/'סכום נכסי הקרן'!$C$42</f>
        <v>3.5763558328105533E-11</v>
      </c>
    </row>
    <row r="24" spans="2:13">
      <c r="B24" s="86" t="s">
        <v>1786</v>
      </c>
      <c r="C24" s="80">
        <v>2994</v>
      </c>
      <c r="D24" s="93" t="s">
        <v>27</v>
      </c>
      <c r="E24" s="80"/>
      <c r="F24" s="93" t="s">
        <v>1237</v>
      </c>
      <c r="G24" s="93" t="s">
        <v>167</v>
      </c>
      <c r="H24" s="87">
        <v>913.97</v>
      </c>
      <c r="I24" s="87">
        <v>21144.653300000002</v>
      </c>
      <c r="J24" s="87">
        <v>749.4846</v>
      </c>
      <c r="K24" s="88">
        <v>1.6914981439362631E-3</v>
      </c>
      <c r="L24" s="88">
        <f t="shared" si="1"/>
        <v>3.7271595016208837E-2</v>
      </c>
      <c r="M24" s="88">
        <f>J24/'סכום נכסי הקרן'!$C$42</f>
        <v>2.0618643237012955E-4</v>
      </c>
    </row>
    <row r="25" spans="2:13">
      <c r="B25" s="86" t="s">
        <v>1787</v>
      </c>
      <c r="C25" s="80" t="s">
        <v>1788</v>
      </c>
      <c r="D25" s="93" t="s">
        <v>27</v>
      </c>
      <c r="E25" s="80"/>
      <c r="F25" s="93" t="s">
        <v>1237</v>
      </c>
      <c r="G25" s="93" t="s">
        <v>167</v>
      </c>
      <c r="H25" s="87">
        <v>0.6</v>
      </c>
      <c r="I25" s="87">
        <v>0</v>
      </c>
      <c r="J25" s="87">
        <v>1.3000000000000002E-4</v>
      </c>
      <c r="K25" s="88">
        <v>2.0253458531212437E-5</v>
      </c>
      <c r="L25" s="88">
        <f t="shared" si="1"/>
        <v>6.4648524494127692E-9</v>
      </c>
      <c r="M25" s="88">
        <f>J25/'סכום נכסי הקרן'!$C$42</f>
        <v>3.5763558328105533E-11</v>
      </c>
    </row>
    <row r="26" spans="2:13">
      <c r="B26" s="86" t="s">
        <v>2175</v>
      </c>
      <c r="C26" s="80">
        <v>4654</v>
      </c>
      <c r="D26" s="93" t="s">
        <v>27</v>
      </c>
      <c r="E26" s="80"/>
      <c r="F26" s="93" t="s">
        <v>1237</v>
      </c>
      <c r="G26" s="93" t="s">
        <v>168</v>
      </c>
      <c r="H26" s="87">
        <v>145700.5</v>
      </c>
      <c r="I26" s="87">
        <v>448.69069999999999</v>
      </c>
      <c r="J26" s="87">
        <v>2980.8792100000001</v>
      </c>
      <c r="K26" s="88">
        <v>1.4749999999999999E-2</v>
      </c>
      <c r="L26" s="88">
        <f t="shared" si="1"/>
        <v>0.14823803278593922</v>
      </c>
      <c r="M26" s="88">
        <f>J26/'סכום נכסי הקרן'!$C$42</f>
        <v>8.2005267304517031E-4</v>
      </c>
    </row>
    <row r="27" spans="2:13">
      <c r="B27" s="86" t="s">
        <v>1789</v>
      </c>
      <c r="C27" s="80" t="s">
        <v>1790</v>
      </c>
      <c r="D27" s="93" t="s">
        <v>27</v>
      </c>
      <c r="E27" s="80"/>
      <c r="F27" s="93" t="s">
        <v>1237</v>
      </c>
      <c r="G27" s="93" t="s">
        <v>165</v>
      </c>
      <c r="H27" s="87">
        <v>12.49</v>
      </c>
      <c r="I27" s="87">
        <v>0</v>
      </c>
      <c r="J27" s="87">
        <v>1.3000000000000002E-4</v>
      </c>
      <c r="K27" s="88">
        <v>2.3595968999921978E-4</v>
      </c>
      <c r="L27" s="88">
        <f t="shared" si="1"/>
        <v>6.4648524494127692E-9</v>
      </c>
      <c r="M27" s="88">
        <f>J27/'סכום נכסי הקרן'!$C$42</f>
        <v>3.5763558328105533E-11</v>
      </c>
    </row>
    <row r="28" spans="2:13">
      <c r="B28" s="86" t="s">
        <v>1791</v>
      </c>
      <c r="C28" s="80" t="s">
        <v>1792</v>
      </c>
      <c r="D28" s="93" t="s">
        <v>27</v>
      </c>
      <c r="E28" s="80"/>
      <c r="F28" s="93" t="s">
        <v>1237</v>
      </c>
      <c r="G28" s="93" t="s">
        <v>165</v>
      </c>
      <c r="H28" s="87">
        <v>14944</v>
      </c>
      <c r="I28" s="87">
        <v>432.72469999999998</v>
      </c>
      <c r="J28" s="87">
        <v>223.48701</v>
      </c>
      <c r="K28" s="88">
        <v>4.1582684613958145E-3</v>
      </c>
      <c r="L28" s="88">
        <f t="shared" si="1"/>
        <v>1.1113927261618736E-2</v>
      </c>
      <c r="M28" s="88">
        <f>J28/'סכום נכסי הקרן'!$C$42</f>
        <v>6.148223629006849E-5</v>
      </c>
    </row>
    <row r="29" spans="2:13">
      <c r="B29" s="86" t="s">
        <v>1793</v>
      </c>
      <c r="C29" s="80" t="s">
        <v>1794</v>
      </c>
      <c r="D29" s="93" t="s">
        <v>27</v>
      </c>
      <c r="E29" s="80"/>
      <c r="F29" s="93" t="s">
        <v>1237</v>
      </c>
      <c r="G29" s="93" t="s">
        <v>165</v>
      </c>
      <c r="H29" s="87">
        <v>105683</v>
      </c>
      <c r="I29" s="87">
        <v>350.5693</v>
      </c>
      <c r="J29" s="87">
        <v>1280.4208700000001</v>
      </c>
      <c r="K29" s="88">
        <v>2.4030848918492162E-3</v>
      </c>
      <c r="L29" s="88">
        <f t="shared" si="1"/>
        <v>6.3674861520759449E-2</v>
      </c>
      <c r="M29" s="88">
        <f>J29/'סכום נכסי הקרן'!$C$42</f>
        <v>3.5224928052898948E-4</v>
      </c>
    </row>
    <row r="30" spans="2:13">
      <c r="B30" s="86" t="s">
        <v>1795</v>
      </c>
      <c r="C30" s="80">
        <v>4637</v>
      </c>
      <c r="D30" s="93" t="s">
        <v>27</v>
      </c>
      <c r="E30" s="80"/>
      <c r="F30" s="93" t="s">
        <v>1237</v>
      </c>
      <c r="G30" s="93" t="s">
        <v>168</v>
      </c>
      <c r="H30" s="87">
        <v>782469.49</v>
      </c>
      <c r="I30" s="87">
        <v>31.996200000000002</v>
      </c>
      <c r="J30" s="87">
        <v>1141.5687700000001</v>
      </c>
      <c r="K30" s="88">
        <v>6.1278066438962327E-3</v>
      </c>
      <c r="L30" s="88">
        <f t="shared" si="1"/>
        <v>5.6769797376212475E-2</v>
      </c>
      <c r="M30" s="88">
        <f>J30/'סכום נכסי הקרן'!$C$42</f>
        <v>3.1405047147260528E-4</v>
      </c>
    </row>
    <row r="31" spans="2:13">
      <c r="B31" s="86" t="s">
        <v>1796</v>
      </c>
      <c r="C31" s="80">
        <v>5691</v>
      </c>
      <c r="D31" s="93" t="s">
        <v>27</v>
      </c>
      <c r="E31" s="80"/>
      <c r="F31" s="93" t="s">
        <v>1237</v>
      </c>
      <c r="G31" s="93" t="s">
        <v>165</v>
      </c>
      <c r="H31" s="87">
        <v>881846.7</v>
      </c>
      <c r="I31" s="87">
        <v>155.98159999999999</v>
      </c>
      <c r="J31" s="87">
        <v>4753.7922500000004</v>
      </c>
      <c r="K31" s="88">
        <v>1.0038565137847573E-2</v>
      </c>
      <c r="L31" s="88">
        <f t="shared" si="1"/>
        <v>0.23640434978009181</v>
      </c>
      <c r="M31" s="88">
        <f>J31/'סכום נכסי הקרן'!$C$42</f>
        <v>1.3077886647120849E-3</v>
      </c>
    </row>
    <row r="32" spans="2:13">
      <c r="B32" s="86" t="s">
        <v>1797</v>
      </c>
      <c r="C32" s="80">
        <v>3865</v>
      </c>
      <c r="D32" s="93" t="s">
        <v>27</v>
      </c>
      <c r="E32" s="80"/>
      <c r="F32" s="93" t="s">
        <v>1237</v>
      </c>
      <c r="G32" s="93" t="s">
        <v>165</v>
      </c>
      <c r="H32" s="87">
        <v>13855</v>
      </c>
      <c r="I32" s="87">
        <v>448.96559999999999</v>
      </c>
      <c r="J32" s="87">
        <v>214.97764000000001</v>
      </c>
      <c r="K32" s="88">
        <v>3.2035806704400448E-3</v>
      </c>
      <c r="L32" s="88">
        <f t="shared" si="1"/>
        <v>1.0690759404022894E-2</v>
      </c>
      <c r="M32" s="88">
        <f>J32/'סכום נכסי הקרן'!$C$42</f>
        <v>5.9141272056757481E-5</v>
      </c>
    </row>
    <row r="33" spans="2:13">
      <c r="B33" s="86" t="s">
        <v>1798</v>
      </c>
      <c r="C33" s="80" t="s">
        <v>1799</v>
      </c>
      <c r="D33" s="93" t="s">
        <v>27</v>
      </c>
      <c r="E33" s="80"/>
      <c r="F33" s="93" t="s">
        <v>1237</v>
      </c>
      <c r="G33" s="93" t="s">
        <v>165</v>
      </c>
      <c r="H33" s="87">
        <v>36.43</v>
      </c>
      <c r="I33" s="87">
        <v>132573.6067</v>
      </c>
      <c r="J33" s="87">
        <v>166.91063</v>
      </c>
      <c r="K33" s="88">
        <v>2.9401842397085483E-3</v>
      </c>
      <c r="L33" s="88">
        <f t="shared" si="1"/>
        <v>8.3004045783732945E-3</v>
      </c>
      <c r="M33" s="88">
        <f>J33/'סכום נכסי הקרן'!$C$42</f>
        <v>4.5917831166044927E-5</v>
      </c>
    </row>
    <row r="34" spans="2:13">
      <c r="B34" s="86" t="s">
        <v>1800</v>
      </c>
      <c r="C34" s="80">
        <v>4811</v>
      </c>
      <c r="D34" s="93" t="s">
        <v>27</v>
      </c>
      <c r="E34" s="80"/>
      <c r="F34" s="93" t="s">
        <v>1237</v>
      </c>
      <c r="G34" s="93" t="s">
        <v>165</v>
      </c>
      <c r="H34" s="87">
        <v>163790</v>
      </c>
      <c r="I34" s="87">
        <v>149.39179999999999</v>
      </c>
      <c r="J34" s="87">
        <v>845.64459999999997</v>
      </c>
      <c r="K34" s="88">
        <v>8.4557595568595934E-3</v>
      </c>
      <c r="L34" s="88">
        <f t="shared" si="1"/>
        <v>4.2053596643405231E-2</v>
      </c>
      <c r="M34" s="88">
        <f>J34/'סכום נכסי הקרן'!$C$42</f>
        <v>2.3264046136113438E-4</v>
      </c>
    </row>
    <row r="35" spans="2:13">
      <c r="B35" s="86" t="s">
        <v>1801</v>
      </c>
      <c r="C35" s="80">
        <v>5356</v>
      </c>
      <c r="D35" s="93" t="s">
        <v>27</v>
      </c>
      <c r="E35" s="80"/>
      <c r="F35" s="93" t="s">
        <v>1237</v>
      </c>
      <c r="G35" s="93" t="s">
        <v>165</v>
      </c>
      <c r="H35" s="87">
        <v>252563</v>
      </c>
      <c r="I35" s="87">
        <v>316.6542</v>
      </c>
      <c r="J35" s="87">
        <v>2763.9406600000002</v>
      </c>
      <c r="K35" s="88">
        <v>1.0657587149427834E-2</v>
      </c>
      <c r="L35" s="88">
        <f t="shared" si="1"/>
        <v>0.13744975804486573</v>
      </c>
      <c r="M35" s="88">
        <f>J35/'סכום נכסי הקרן'!$C$42</f>
        <v>7.6037194622563466E-4</v>
      </c>
    </row>
    <row r="36" spans="2:13">
      <c r="B36" s="83"/>
      <c r="C36" s="80"/>
      <c r="D36" s="80"/>
      <c r="E36" s="80"/>
      <c r="F36" s="80"/>
      <c r="G36" s="80"/>
      <c r="H36" s="87"/>
      <c r="I36" s="87"/>
      <c r="J36" s="80"/>
      <c r="K36" s="80"/>
      <c r="L36" s="88"/>
      <c r="M36" s="80"/>
    </row>
    <row r="37" spans="2:1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2:1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2:13">
      <c r="B39" s="95" t="s">
        <v>255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2:13">
      <c r="B40" s="95" t="s">
        <v>114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2:13">
      <c r="B41" s="95" t="s">
        <v>238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2:13">
      <c r="B42" s="95" t="s">
        <v>246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2:1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2:1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2:1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2:1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2:1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2:1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2:13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2:13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2:13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2:13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2:13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2:13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2:13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2:13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2:13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2:13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2:13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2:13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2:13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2:13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2:13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2:13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2:13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2:13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2:13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2:13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2:13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2:13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2:13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2:13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2:13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2:13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2:13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2:13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2:13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2:13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2:13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2:13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2:13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2:13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2:13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2:13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2:13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2:13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2:13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2:13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2:13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2:13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2:13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2:13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2:1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2:13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2:13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2:13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2:13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2:1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2:1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2:13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2:13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2:13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2:13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2:13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2:1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2:13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2:13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2:13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2:13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2:13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2:13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</row>
    <row r="112" spans="2:13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</row>
    <row r="113" spans="2:13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spans="2:13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</row>
    <row r="115" spans="2:13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</row>
    <row r="116" spans="2:13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</row>
    <row r="117" spans="2:13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</row>
    <row r="118" spans="2:13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</row>
    <row r="119" spans="2:13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</row>
    <row r="120" spans="2:13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</row>
    <row r="121" spans="2:13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</row>
    <row r="122" spans="2:13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</row>
    <row r="123" spans="2:13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</row>
    <row r="124" spans="2:13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</row>
    <row r="125" spans="2:13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</row>
    <row r="126" spans="2:13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</row>
    <row r="127" spans="2:13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</row>
    <row r="128" spans="2:13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29" spans="2:13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</row>
    <row r="130" spans="2:13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</row>
    <row r="131" spans="2:13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</row>
    <row r="132" spans="2:13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</row>
    <row r="133" spans="2:13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</row>
    <row r="134" spans="2:13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</row>
    <row r="135" spans="2:13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</row>
    <row r="136" spans="2:13">
      <c r="C136" s="1"/>
      <c r="D136" s="1"/>
      <c r="E136" s="1"/>
    </row>
    <row r="137" spans="2:13">
      <c r="C137" s="1"/>
      <c r="D137" s="1"/>
      <c r="E137" s="1"/>
    </row>
    <row r="138" spans="2:13">
      <c r="C138" s="1"/>
      <c r="D138" s="1"/>
      <c r="E138" s="1"/>
    </row>
    <row r="139" spans="2:13">
      <c r="C139" s="1"/>
      <c r="D139" s="1"/>
      <c r="E139" s="1"/>
    </row>
    <row r="140" spans="2:13">
      <c r="C140" s="1"/>
      <c r="D140" s="1"/>
      <c r="E140" s="1"/>
    </row>
    <row r="141" spans="2:13">
      <c r="C141" s="1"/>
      <c r="D141" s="1"/>
      <c r="E141" s="1"/>
    </row>
    <row r="142" spans="2:13">
      <c r="C142" s="1"/>
      <c r="D142" s="1"/>
      <c r="E142" s="1"/>
    </row>
    <row r="143" spans="2:13">
      <c r="C143" s="1"/>
      <c r="D143" s="1"/>
      <c r="E143" s="1"/>
    </row>
    <row r="144" spans="2:13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4"/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D21:AF24 AH21:XFD24 D1:XFD20 A1:B1048576 D25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topLeftCell="A10" workbookViewId="0">
      <selection activeCell="C32" sqref="C32"/>
    </sheetView>
  </sheetViews>
  <sheetFormatPr defaultColWidth="9.140625" defaultRowHeight="18"/>
  <cols>
    <col min="1" max="1" width="6.28515625" style="1" customWidth="1"/>
    <col min="2" max="2" width="44" style="2" bestFit="1" customWidth="1"/>
    <col min="3" max="3" width="69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181</v>
      </c>
      <c r="C1" s="78" t="s" vm="1">
        <v>262</v>
      </c>
    </row>
    <row r="2" spans="2:55">
      <c r="B2" s="57" t="s">
        <v>180</v>
      </c>
      <c r="C2" s="78" t="s">
        <v>263</v>
      </c>
    </row>
    <row r="3" spans="2:55">
      <c r="B3" s="57" t="s">
        <v>182</v>
      </c>
      <c r="C3" s="78" t="s">
        <v>264</v>
      </c>
    </row>
    <row r="4" spans="2:55">
      <c r="B4" s="57" t="s">
        <v>183</v>
      </c>
      <c r="C4" s="78">
        <v>2207</v>
      </c>
    </row>
    <row r="6" spans="2:55" ht="26.25" customHeight="1">
      <c r="B6" s="157" t="s">
        <v>212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55" ht="26.25" customHeight="1">
      <c r="B7" s="157" t="s">
        <v>98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55" s="3" customFormat="1" ht="78.75">
      <c r="B8" s="23" t="s">
        <v>118</v>
      </c>
      <c r="C8" s="31" t="s">
        <v>44</v>
      </c>
      <c r="D8" s="31" t="s">
        <v>103</v>
      </c>
      <c r="E8" s="31" t="s">
        <v>104</v>
      </c>
      <c r="F8" s="31" t="s">
        <v>240</v>
      </c>
      <c r="G8" s="31" t="s">
        <v>239</v>
      </c>
      <c r="H8" s="31" t="s">
        <v>112</v>
      </c>
      <c r="I8" s="31" t="s">
        <v>59</v>
      </c>
      <c r="J8" s="31" t="s">
        <v>184</v>
      </c>
      <c r="K8" s="32" t="s">
        <v>186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247</v>
      </c>
      <c r="G9" s="33"/>
      <c r="H9" s="33" t="s">
        <v>243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97" t="s">
        <v>1802</v>
      </c>
      <c r="C11" s="98"/>
      <c r="D11" s="98"/>
      <c r="E11" s="98"/>
      <c r="F11" s="100"/>
      <c r="G11" s="102"/>
      <c r="H11" s="100">
        <v>46594.691960000011</v>
      </c>
      <c r="I11" s="98"/>
      <c r="J11" s="103">
        <f>H11/$H$11</f>
        <v>1</v>
      </c>
      <c r="K11" s="103">
        <f>H11/'סכום נכסי הקרן'!$C$42</f>
        <v>1.2818399874550539E-2</v>
      </c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1" t="s">
        <v>1803</v>
      </c>
      <c r="C12" s="82"/>
      <c r="D12" s="82"/>
      <c r="E12" s="82"/>
      <c r="F12" s="90"/>
      <c r="G12" s="92"/>
      <c r="H12" s="90">
        <v>3596.55053</v>
      </c>
      <c r="I12" s="82"/>
      <c r="J12" s="91">
        <f t="shared" ref="J12:J14" si="0">H12/$H$11</f>
        <v>7.7187988131513327E-2</v>
      </c>
      <c r="K12" s="91">
        <f>H12/'סכום נכסי הקרן'!$C$42</f>
        <v>9.8942649738179879E-4</v>
      </c>
      <c r="M12" s="126"/>
      <c r="N12" s="127"/>
      <c r="V12" s="1"/>
    </row>
    <row r="13" spans="2:55">
      <c r="B13" s="99" t="s">
        <v>230</v>
      </c>
      <c r="C13" s="82"/>
      <c r="D13" s="82"/>
      <c r="E13" s="82"/>
      <c r="F13" s="90"/>
      <c r="G13" s="92"/>
      <c r="H13" s="90">
        <v>877.65922</v>
      </c>
      <c r="I13" s="82"/>
      <c r="J13" s="91">
        <f t="shared" si="0"/>
        <v>1.883603438678039E-2</v>
      </c>
      <c r="K13" s="91">
        <f>H13/'סכום נכסי הקרן'!$C$42</f>
        <v>2.4144782082053542E-4</v>
      </c>
      <c r="M13" s="126"/>
      <c r="N13" s="127"/>
      <c r="V13" s="1"/>
    </row>
    <row r="14" spans="2:55">
      <c r="B14" s="86" t="s">
        <v>1804</v>
      </c>
      <c r="C14" s="80">
        <v>5277</v>
      </c>
      <c r="D14" s="93" t="s">
        <v>165</v>
      </c>
      <c r="E14" s="107">
        <v>42545</v>
      </c>
      <c r="F14" s="87">
        <v>217972.48000000001</v>
      </c>
      <c r="G14" s="89">
        <v>116.50660000000001</v>
      </c>
      <c r="H14" s="87">
        <v>877.65922</v>
      </c>
      <c r="I14" s="88">
        <v>1.7666666666666666E-3</v>
      </c>
      <c r="J14" s="88">
        <f t="shared" si="0"/>
        <v>1.883603438678039E-2</v>
      </c>
      <c r="K14" s="88">
        <f>H14/'סכום נכסי הקרן'!$C$42</f>
        <v>2.4144782082053542E-4</v>
      </c>
      <c r="M14" s="126"/>
      <c r="N14" s="127"/>
      <c r="V14" s="1"/>
    </row>
    <row r="15" spans="2:55">
      <c r="B15" s="83"/>
      <c r="C15" s="80"/>
      <c r="D15" s="80"/>
      <c r="E15" s="80"/>
      <c r="F15" s="87"/>
      <c r="G15" s="89"/>
      <c r="H15" s="80"/>
      <c r="I15" s="80"/>
      <c r="J15" s="88"/>
      <c r="K15" s="80"/>
      <c r="M15" s="126"/>
      <c r="N15" s="127"/>
      <c r="V15" s="1"/>
    </row>
    <row r="16" spans="2:55">
      <c r="B16" s="99" t="s">
        <v>233</v>
      </c>
      <c r="C16" s="82"/>
      <c r="D16" s="82"/>
      <c r="E16" s="82"/>
      <c r="F16" s="90"/>
      <c r="G16" s="92"/>
      <c r="H16" s="90">
        <v>2718.89131</v>
      </c>
      <c r="I16" s="82"/>
      <c r="J16" s="91">
        <f t="shared" ref="J16:J17" si="1">H16/$H$11</f>
        <v>5.8351953744732933E-2</v>
      </c>
      <c r="K16" s="91">
        <f>H16/'סכום נכסי הקרן'!$C$42</f>
        <v>7.4797867656126345E-4</v>
      </c>
      <c r="M16" s="126"/>
      <c r="N16" s="127"/>
      <c r="V16" s="1"/>
    </row>
    <row r="17" spans="2:22">
      <c r="B17" s="86" t="s">
        <v>1805</v>
      </c>
      <c r="C17" s="80">
        <v>5322</v>
      </c>
      <c r="D17" s="93" t="s">
        <v>167</v>
      </c>
      <c r="E17" s="107">
        <v>43191</v>
      </c>
      <c r="F17" s="87">
        <v>363811.42</v>
      </c>
      <c r="G17" s="89">
        <v>192.70160000000001</v>
      </c>
      <c r="H17" s="87">
        <v>2718.89131</v>
      </c>
      <c r="I17" s="88">
        <v>4.0460446400000004E-3</v>
      </c>
      <c r="J17" s="88">
        <f t="shared" si="1"/>
        <v>5.8351953744732933E-2</v>
      </c>
      <c r="K17" s="88">
        <f>H17/'סכום נכסי הקרן'!$C$42</f>
        <v>7.4797867656126345E-4</v>
      </c>
      <c r="M17" s="126"/>
      <c r="N17" s="127"/>
      <c r="V17" s="1"/>
    </row>
    <row r="18" spans="2:22">
      <c r="B18" s="83"/>
      <c r="C18" s="80"/>
      <c r="D18" s="80"/>
      <c r="E18" s="80"/>
      <c r="F18" s="87"/>
      <c r="G18" s="89"/>
      <c r="H18" s="80"/>
      <c r="I18" s="80"/>
      <c r="J18" s="88"/>
      <c r="K18" s="80"/>
      <c r="M18" s="126"/>
      <c r="N18" s="127"/>
      <c r="V18" s="1"/>
    </row>
    <row r="19" spans="2:22">
      <c r="B19" s="81" t="s">
        <v>1806</v>
      </c>
      <c r="C19" s="82"/>
      <c r="D19" s="82"/>
      <c r="E19" s="82"/>
      <c r="F19" s="90"/>
      <c r="G19" s="92"/>
      <c r="H19" s="90">
        <v>42998.141429999989</v>
      </c>
      <c r="I19" s="82"/>
      <c r="J19" s="91">
        <f t="shared" ref="J19:J22" si="2">H19/$H$11</f>
        <v>0.92281201186848616</v>
      </c>
      <c r="K19" s="91">
        <f>H19/'סכום נכסי הקרן'!$C$42</f>
        <v>1.1828973377168735E-2</v>
      </c>
      <c r="M19" s="126"/>
      <c r="N19" s="127"/>
      <c r="V19" s="1"/>
    </row>
    <row r="20" spans="2:22">
      <c r="B20" s="99" t="s">
        <v>230</v>
      </c>
      <c r="C20" s="82"/>
      <c r="D20" s="82"/>
      <c r="E20" s="82"/>
      <c r="F20" s="90"/>
      <c r="G20" s="92"/>
      <c r="H20" s="90">
        <v>4214.1606500000007</v>
      </c>
      <c r="I20" s="82"/>
      <c r="J20" s="91">
        <f t="shared" si="2"/>
        <v>9.0442934006682935E-2</v>
      </c>
      <c r="K20" s="91">
        <f>H20/'סכום נכסי הקרן'!$C$42</f>
        <v>1.1593336939252471E-3</v>
      </c>
      <c r="M20" s="126"/>
      <c r="N20" s="127"/>
      <c r="V20" s="1"/>
    </row>
    <row r="21" spans="2:22">
      <c r="B21" s="86" t="s">
        <v>1807</v>
      </c>
      <c r="C21" s="80">
        <v>5295</v>
      </c>
      <c r="D21" s="93" t="s">
        <v>165</v>
      </c>
      <c r="E21" s="107">
        <v>43003</v>
      </c>
      <c r="F21" s="87">
        <v>441533.4</v>
      </c>
      <c r="G21" s="89">
        <v>104.95699999999999</v>
      </c>
      <c r="H21" s="87">
        <v>1601.5802800000001</v>
      </c>
      <c r="I21" s="88">
        <v>6.8066023597847822E-4</v>
      </c>
      <c r="J21" s="88">
        <f t="shared" si="2"/>
        <v>3.4372590795855106E-2</v>
      </c>
      <c r="K21" s="88">
        <f>H21/'סכום נכסי הקרן'!$C$42</f>
        <v>4.4060161354556607E-4</v>
      </c>
      <c r="M21" s="126"/>
      <c r="N21" s="127"/>
      <c r="V21" s="1"/>
    </row>
    <row r="22" spans="2:22" ht="16.5" customHeight="1">
      <c r="B22" s="86" t="s">
        <v>1808</v>
      </c>
      <c r="C22" s="80">
        <v>5288</v>
      </c>
      <c r="D22" s="93" t="s">
        <v>165</v>
      </c>
      <c r="E22" s="107">
        <v>42768</v>
      </c>
      <c r="F22" s="87">
        <v>542277.93999999994</v>
      </c>
      <c r="G22" s="89">
        <v>139.40360000000001</v>
      </c>
      <c r="H22" s="87">
        <v>2612.5803700000001</v>
      </c>
      <c r="I22" s="88">
        <v>1.584045943296415E-3</v>
      </c>
      <c r="J22" s="88">
        <f t="shared" si="2"/>
        <v>5.6070343210827815E-2</v>
      </c>
      <c r="K22" s="88">
        <f>H22/'סכום נכסי הקרן'!$C$42</f>
        <v>7.1873208037968102E-4</v>
      </c>
      <c r="M22" s="126"/>
      <c r="N22" s="127"/>
      <c r="V22" s="1"/>
    </row>
    <row r="23" spans="2:22" ht="16.5" customHeight="1">
      <c r="B23" s="83"/>
      <c r="C23" s="80"/>
      <c r="D23" s="80"/>
      <c r="E23" s="80"/>
      <c r="F23" s="87"/>
      <c r="G23" s="89"/>
      <c r="H23" s="80"/>
      <c r="I23" s="80"/>
      <c r="J23" s="88"/>
      <c r="K23" s="80"/>
      <c r="M23" s="126"/>
      <c r="N23" s="127"/>
      <c r="V23" s="1"/>
    </row>
    <row r="24" spans="2:22" ht="16.5" customHeight="1">
      <c r="B24" s="99" t="s">
        <v>232</v>
      </c>
      <c r="C24" s="82"/>
      <c r="D24" s="82"/>
      <c r="E24" s="82"/>
      <c r="F24" s="90"/>
      <c r="G24" s="92"/>
      <c r="H24" s="90">
        <v>3664.6488199999999</v>
      </c>
      <c r="I24" s="82"/>
      <c r="J24" s="91">
        <f>H24/$H$11</f>
        <v>7.8649491301412161E-2</v>
      </c>
      <c r="K24" s="91">
        <f>H24/'סכום נכסי הקרן'!$C$42</f>
        <v>1.0081606294314854E-3</v>
      </c>
      <c r="M24" s="126"/>
      <c r="N24" s="127"/>
      <c r="V24" s="1"/>
    </row>
    <row r="25" spans="2:22">
      <c r="B25" s="86" t="s">
        <v>1809</v>
      </c>
      <c r="C25" s="80" t="s">
        <v>1810</v>
      </c>
      <c r="D25" s="93" t="s">
        <v>165</v>
      </c>
      <c r="E25" s="107">
        <v>43830</v>
      </c>
      <c r="F25" s="87">
        <v>377089.42</v>
      </c>
      <c r="G25" s="89">
        <v>112.1799</v>
      </c>
      <c r="H25" s="87">
        <v>1461.95208</v>
      </c>
      <c r="I25" s="80"/>
      <c r="J25" s="88">
        <f>H25/$H$11</f>
        <v>3.1375936152878467E-2</v>
      </c>
      <c r="K25" s="88">
        <f>H25/'סכום נכסי הקרן'!$C$42</f>
        <v>4.0218929604596309E-4</v>
      </c>
      <c r="M25" s="126"/>
      <c r="N25" s="127"/>
      <c r="V25" s="1"/>
    </row>
    <row r="26" spans="2:22">
      <c r="B26" s="86" t="s">
        <v>1811</v>
      </c>
      <c r="C26" s="80">
        <v>5299</v>
      </c>
      <c r="D26" s="93" t="s">
        <v>165</v>
      </c>
      <c r="E26" s="107">
        <v>43002</v>
      </c>
      <c r="F26" s="87">
        <v>630210.31000000006</v>
      </c>
      <c r="G26" s="89">
        <v>101.1336</v>
      </c>
      <c r="H26" s="87">
        <v>2202.6967400000003</v>
      </c>
      <c r="I26" s="88">
        <v>1.4627533333333334E-3</v>
      </c>
      <c r="J26" s="88">
        <f>H26/$H$11</f>
        <v>4.7273555148533701E-2</v>
      </c>
      <c r="K26" s="88">
        <f>H26/'סכום נכסי הקרן'!$C$42</f>
        <v>6.0597133338552238E-4</v>
      </c>
      <c r="M26" s="126"/>
      <c r="N26" s="127"/>
      <c r="V26" s="1"/>
    </row>
    <row r="27" spans="2:22">
      <c r="B27" s="83"/>
      <c r="C27" s="80"/>
      <c r="D27" s="80"/>
      <c r="E27" s="80"/>
      <c r="F27" s="87"/>
      <c r="G27" s="89"/>
      <c r="H27" s="80"/>
      <c r="I27" s="80"/>
      <c r="J27" s="88"/>
      <c r="K27" s="80"/>
      <c r="M27" s="126"/>
      <c r="N27" s="127"/>
      <c r="V27" s="1"/>
    </row>
    <row r="28" spans="2:22">
      <c r="B28" s="99" t="s">
        <v>233</v>
      </c>
      <c r="C28" s="82"/>
      <c r="D28" s="82"/>
      <c r="E28" s="82"/>
      <c r="F28" s="90"/>
      <c r="G28" s="92"/>
      <c r="H28" s="90">
        <v>35119.331959999996</v>
      </c>
      <c r="I28" s="82"/>
      <c r="J28" s="91">
        <f t="shared" ref="J28:J59" si="3">H28/$H$11</f>
        <v>0.75371958656039129</v>
      </c>
      <c r="K28" s="91">
        <f>H28/'סכום נכסי הקרן'!$C$42</f>
        <v>9.6614790538120041E-3</v>
      </c>
      <c r="M28" s="126"/>
      <c r="N28" s="127"/>
      <c r="V28" s="1"/>
    </row>
    <row r="29" spans="2:22">
      <c r="B29" s="86" t="s">
        <v>1812</v>
      </c>
      <c r="C29" s="80">
        <v>5291</v>
      </c>
      <c r="D29" s="93" t="s">
        <v>165</v>
      </c>
      <c r="E29" s="107">
        <v>42908</v>
      </c>
      <c r="F29" s="87">
        <v>975692.35</v>
      </c>
      <c r="G29" s="89">
        <v>101.0107</v>
      </c>
      <c r="H29" s="87">
        <v>3406.07348</v>
      </c>
      <c r="I29" s="88">
        <v>8.2763415164163225E-4</v>
      </c>
      <c r="J29" s="88">
        <f t="shared" si="3"/>
        <v>7.3100032143661356E-2</v>
      </c>
      <c r="K29" s="88">
        <f>H29/'סכום נכסי הקרן'!$C$42</f>
        <v>9.3702544285994909E-4</v>
      </c>
      <c r="M29" s="126"/>
      <c r="N29" s="127"/>
      <c r="V29" s="1"/>
    </row>
    <row r="30" spans="2:22">
      <c r="B30" s="86" t="s">
        <v>1813</v>
      </c>
      <c r="C30" s="80">
        <v>5302</v>
      </c>
      <c r="D30" s="93" t="s">
        <v>165</v>
      </c>
      <c r="E30" s="107">
        <v>43003</v>
      </c>
      <c r="F30" s="87">
        <v>309060.12</v>
      </c>
      <c r="G30" s="89">
        <v>87.416700000000006</v>
      </c>
      <c r="H30" s="87">
        <v>933.70803000000001</v>
      </c>
      <c r="I30" s="88">
        <v>7.0170962566396748E-5</v>
      </c>
      <c r="J30" s="88">
        <f t="shared" si="3"/>
        <v>2.0038935568059066E-2</v>
      </c>
      <c r="K30" s="88">
        <f>H30/'סכום נכסי הקרן'!$C$42</f>
        <v>2.568670891717347E-4</v>
      </c>
      <c r="M30" s="126"/>
      <c r="N30" s="127"/>
      <c r="V30" s="1"/>
    </row>
    <row r="31" spans="2:22">
      <c r="B31" s="86" t="s">
        <v>1814</v>
      </c>
      <c r="C31" s="80">
        <v>5281</v>
      </c>
      <c r="D31" s="93" t="s">
        <v>165</v>
      </c>
      <c r="E31" s="107">
        <v>42642</v>
      </c>
      <c r="F31" s="87">
        <v>1110205.74</v>
      </c>
      <c r="G31" s="89">
        <v>63.940300000000001</v>
      </c>
      <c r="H31" s="87">
        <v>2453.3068499999999</v>
      </c>
      <c r="I31" s="88">
        <v>4.2016874766105476E-4</v>
      </c>
      <c r="J31" s="88">
        <f t="shared" si="3"/>
        <v>5.2652067151899663E-2</v>
      </c>
      <c r="K31" s="88">
        <f>H31/'סכום נכסי הקרן'!$C$42</f>
        <v>6.7491525097473719E-4</v>
      </c>
      <c r="M31" s="126"/>
      <c r="N31" s="127"/>
      <c r="V31" s="1"/>
    </row>
    <row r="32" spans="2:22">
      <c r="B32" s="86" t="s">
        <v>1815</v>
      </c>
      <c r="C32" s="80">
        <v>5290</v>
      </c>
      <c r="D32" s="93" t="s">
        <v>165</v>
      </c>
      <c r="E32" s="107">
        <v>42779</v>
      </c>
      <c r="F32" s="87">
        <v>943220.3</v>
      </c>
      <c r="G32" s="89">
        <v>80.176500000000004</v>
      </c>
      <c r="H32" s="87">
        <v>2613.5689700000003</v>
      </c>
      <c r="I32" s="88">
        <v>3.2935482125629801E-4</v>
      </c>
      <c r="J32" s="88">
        <f t="shared" si="3"/>
        <v>5.6091560219856416E-2</v>
      </c>
      <c r="K32" s="88">
        <f>H32/'סכום נכסי הקרן'!$C$42</f>
        <v>7.1900404848555149E-4</v>
      </c>
      <c r="M32" s="126"/>
      <c r="N32" s="127"/>
      <c r="V32" s="1"/>
    </row>
    <row r="33" spans="2:22">
      <c r="B33" s="86" t="s">
        <v>1816</v>
      </c>
      <c r="C33" s="80">
        <v>5307</v>
      </c>
      <c r="D33" s="93" t="s">
        <v>165</v>
      </c>
      <c r="E33" s="107">
        <v>43068</v>
      </c>
      <c r="F33" s="87">
        <v>35134</v>
      </c>
      <c r="G33" s="89">
        <v>101.83410000000001</v>
      </c>
      <c r="H33" s="87">
        <v>123.65011</v>
      </c>
      <c r="I33" s="88">
        <v>2.3901019523480128E-4</v>
      </c>
      <c r="J33" s="88">
        <f t="shared" si="3"/>
        <v>2.6537381147652933E-3</v>
      </c>
      <c r="K33" s="88">
        <f>H33/'סכום נכסי הקרן'!$C$42</f>
        <v>3.4016676317397418E-5</v>
      </c>
      <c r="M33" s="126"/>
      <c r="N33" s="127"/>
      <c r="V33" s="1"/>
    </row>
    <row r="34" spans="2:22">
      <c r="B34" s="86" t="s">
        <v>1817</v>
      </c>
      <c r="C34" s="80">
        <v>5294</v>
      </c>
      <c r="D34" s="93" t="s">
        <v>168</v>
      </c>
      <c r="E34" s="107">
        <v>43002</v>
      </c>
      <c r="F34" s="87">
        <v>1405762.51</v>
      </c>
      <c r="G34" s="89">
        <v>106.7649</v>
      </c>
      <c r="H34" s="87">
        <v>6843.4756299999999</v>
      </c>
      <c r="I34" s="88">
        <v>4.3254230304262424E-3</v>
      </c>
      <c r="J34" s="88">
        <f t="shared" si="3"/>
        <v>0.14687242992989191</v>
      </c>
      <c r="K34" s="88">
        <f>H34/'סכום נכסי הקרן'!$C$42</f>
        <v>1.8826695373882596E-3</v>
      </c>
      <c r="M34" s="126"/>
      <c r="N34" s="127"/>
      <c r="V34" s="1"/>
    </row>
    <row r="35" spans="2:22">
      <c r="B35" s="86" t="s">
        <v>1818</v>
      </c>
      <c r="C35" s="80">
        <v>5285</v>
      </c>
      <c r="D35" s="93" t="s">
        <v>165</v>
      </c>
      <c r="E35" s="107">
        <v>42718</v>
      </c>
      <c r="F35" s="87">
        <v>707032.74</v>
      </c>
      <c r="G35" s="89">
        <v>94.244200000000006</v>
      </c>
      <c r="H35" s="87">
        <v>2302.8618799999999</v>
      </c>
      <c r="I35" s="88">
        <v>2.0710860350877188E-4</v>
      </c>
      <c r="J35" s="88">
        <f t="shared" si="3"/>
        <v>4.9423266538105456E-2</v>
      </c>
      <c r="K35" s="88">
        <f>H35/'סכום נכסי הקרן'!$C$42</f>
        <v>6.3352719359192889E-4</v>
      </c>
      <c r="M35" s="126"/>
      <c r="N35" s="127"/>
      <c r="V35" s="1"/>
    </row>
    <row r="36" spans="2:22">
      <c r="B36" s="86" t="s">
        <v>1819</v>
      </c>
      <c r="C36" s="80">
        <v>7000</v>
      </c>
      <c r="D36" s="93" t="s">
        <v>165</v>
      </c>
      <c r="E36" s="107">
        <v>43137</v>
      </c>
      <c r="F36" s="87">
        <v>109.47</v>
      </c>
      <c r="G36" s="89">
        <v>100</v>
      </c>
      <c r="H36" s="87">
        <v>0.37833</v>
      </c>
      <c r="I36" s="88">
        <v>3.5483985945768739E-4</v>
      </c>
      <c r="J36" s="88">
        <f t="shared" si="3"/>
        <v>8.1195944019714448E-6</v>
      </c>
      <c r="K36" s="88">
        <f>H36/'סכום נכסי הקרן'!$C$42</f>
        <v>1.0408020786363204E-7</v>
      </c>
      <c r="M36" s="126"/>
      <c r="N36" s="127"/>
      <c r="V36" s="1"/>
    </row>
    <row r="37" spans="2:22">
      <c r="B37" s="86" t="s">
        <v>1820</v>
      </c>
      <c r="C37" s="80">
        <v>6640</v>
      </c>
      <c r="D37" s="93" t="s">
        <v>165</v>
      </c>
      <c r="E37" s="107">
        <v>43563</v>
      </c>
      <c r="F37" s="87">
        <v>12709.41</v>
      </c>
      <c r="G37" s="89">
        <v>92.390600000000006</v>
      </c>
      <c r="H37" s="87">
        <v>40.581389999999999</v>
      </c>
      <c r="I37" s="88">
        <v>6.4585477941176469E-5</v>
      </c>
      <c r="J37" s="88">
        <f t="shared" si="3"/>
        <v>8.7094448515375464E-4</v>
      </c>
      <c r="K37" s="88">
        <f>H37/'סכום נכסי הקרן'!$C$42</f>
        <v>1.1164114679235372E-5</v>
      </c>
      <c r="M37" s="128"/>
      <c r="N37" s="127"/>
      <c r="V37" s="1"/>
    </row>
    <row r="38" spans="2:22">
      <c r="B38" s="86" t="s">
        <v>1821</v>
      </c>
      <c r="C38" s="80">
        <v>5292</v>
      </c>
      <c r="D38" s="93" t="s">
        <v>167</v>
      </c>
      <c r="E38" s="107">
        <v>42814</v>
      </c>
      <c r="F38" s="87">
        <v>27984.63</v>
      </c>
      <c r="G38" s="89">
        <v>1E-4</v>
      </c>
      <c r="H38" s="87">
        <v>1.1999999999999999E-4</v>
      </c>
      <c r="I38" s="88">
        <v>1.3811792599298592E-4</v>
      </c>
      <c r="J38" s="88">
        <f t="shared" si="3"/>
        <v>2.5754006508513027E-9</v>
      </c>
      <c r="K38" s="88">
        <f>H38/'סכום נכסי הקרן'!$C$42</f>
        <v>3.3012515379789718E-11</v>
      </c>
      <c r="M38" s="128"/>
      <c r="N38" s="127"/>
    </row>
    <row r="39" spans="2:22">
      <c r="B39" s="86" t="s">
        <v>1822</v>
      </c>
      <c r="C39" s="80">
        <v>5329</v>
      </c>
      <c r="D39" s="93" t="s">
        <v>165</v>
      </c>
      <c r="E39" s="107">
        <v>43261</v>
      </c>
      <c r="F39" s="87">
        <v>45850.52</v>
      </c>
      <c r="G39" s="89">
        <v>139.62049999999999</v>
      </c>
      <c r="H39" s="87">
        <v>221.24182000000002</v>
      </c>
      <c r="I39" s="88">
        <v>5.0109857923497263E-5</v>
      </c>
      <c r="J39" s="88">
        <f t="shared" si="3"/>
        <v>4.7482193935293902E-3</v>
      </c>
      <c r="K39" s="88">
        <f>H39/'סכום נכסי הקרן'!$C$42</f>
        <v>6.0864574878355577E-5</v>
      </c>
      <c r="M39" s="128"/>
      <c r="N39" s="127"/>
    </row>
    <row r="40" spans="2:22">
      <c r="B40" s="86" t="s">
        <v>1823</v>
      </c>
      <c r="C40" s="80">
        <v>5296</v>
      </c>
      <c r="D40" s="93" t="s">
        <v>165</v>
      </c>
      <c r="E40" s="107">
        <v>42912</v>
      </c>
      <c r="F40" s="87">
        <v>63242.1</v>
      </c>
      <c r="G40" s="89">
        <v>113.86499999999999</v>
      </c>
      <c r="H40" s="87">
        <v>248.86870000000002</v>
      </c>
      <c r="I40" s="88">
        <v>5.1337040344183781E-3</v>
      </c>
      <c r="J40" s="88">
        <f t="shared" si="3"/>
        <v>5.3411384329709807E-3</v>
      </c>
      <c r="K40" s="88">
        <f>H40/'סכום נכסי הקרן'!$C$42</f>
        <v>6.8464848219152292E-5</v>
      </c>
      <c r="M40" s="128"/>
      <c r="N40" s="127"/>
    </row>
    <row r="41" spans="2:22">
      <c r="B41" s="86" t="s">
        <v>1824</v>
      </c>
      <c r="C41" s="80">
        <v>6659</v>
      </c>
      <c r="D41" s="93" t="s">
        <v>165</v>
      </c>
      <c r="E41" s="107">
        <v>43570</v>
      </c>
      <c r="F41" s="87">
        <v>64829.78</v>
      </c>
      <c r="G41" s="89">
        <v>99.32</v>
      </c>
      <c r="H41" s="87">
        <v>222.52814000000001</v>
      </c>
      <c r="I41" s="88">
        <v>4.5910890919474587E-4</v>
      </c>
      <c r="J41" s="88">
        <f t="shared" si="3"/>
        <v>4.7758259715727494E-3</v>
      </c>
      <c r="K41" s="88">
        <f>H41/'סכום נכסי הקרן'!$C$42</f>
        <v>6.1218447034883336E-5</v>
      </c>
      <c r="M41" s="128"/>
      <c r="N41" s="127"/>
    </row>
    <row r="42" spans="2:22">
      <c r="B42" s="86" t="s">
        <v>1825</v>
      </c>
      <c r="C42" s="80">
        <v>5293</v>
      </c>
      <c r="D42" s="93" t="s">
        <v>165</v>
      </c>
      <c r="E42" s="107">
        <v>42859</v>
      </c>
      <c r="F42" s="87">
        <v>26487.07</v>
      </c>
      <c r="G42" s="89">
        <v>110.04559999999999</v>
      </c>
      <c r="H42" s="87">
        <v>100.73497</v>
      </c>
      <c r="I42" s="88">
        <v>3.0641398391227512E-5</v>
      </c>
      <c r="J42" s="88">
        <f t="shared" si="3"/>
        <v>2.1619408941790539E-3</v>
      </c>
      <c r="K42" s="88">
        <f>H42/'סכום נכסי הקרן'!$C$42</f>
        <v>2.7712622886730467E-5</v>
      </c>
      <c r="M42" s="128"/>
      <c r="N42" s="127"/>
    </row>
    <row r="43" spans="2:22">
      <c r="B43" s="86" t="s">
        <v>1826</v>
      </c>
      <c r="C43" s="80">
        <v>5308</v>
      </c>
      <c r="D43" s="93" t="s">
        <v>165</v>
      </c>
      <c r="E43" s="107">
        <v>43072</v>
      </c>
      <c r="F43" s="87">
        <v>37558.81</v>
      </c>
      <c r="G43" s="89">
        <v>104.3107</v>
      </c>
      <c r="H43" s="87">
        <v>135.39865</v>
      </c>
      <c r="I43" s="88">
        <v>1.169201287837464E-4</v>
      </c>
      <c r="J43" s="88">
        <f t="shared" si="3"/>
        <v>2.9058814277865648E-3</v>
      </c>
      <c r="K43" s="88">
        <f>H43/'סכום נכסי הקרן'!$C$42</f>
        <v>3.7248750129398043E-5</v>
      </c>
      <c r="M43" s="128"/>
      <c r="N43" s="127"/>
    </row>
    <row r="44" spans="2:22">
      <c r="B44" s="86" t="s">
        <v>1827</v>
      </c>
      <c r="C44" s="80">
        <v>5340</v>
      </c>
      <c r="D44" s="93" t="s">
        <v>168</v>
      </c>
      <c r="E44" s="107">
        <v>43375</v>
      </c>
      <c r="F44" s="87">
        <v>38607.43</v>
      </c>
      <c r="G44" s="89">
        <v>116.0997</v>
      </c>
      <c r="H44" s="87">
        <v>204.37994</v>
      </c>
      <c r="I44" s="88">
        <v>1.7380143478260869E-4</v>
      </c>
      <c r="J44" s="88">
        <f t="shared" si="3"/>
        <v>4.3863352541412522E-3</v>
      </c>
      <c r="K44" s="88">
        <f>H44/'סכום נכסי הקרן'!$C$42</f>
        <v>5.6225799271420836E-5</v>
      </c>
      <c r="M44" s="128"/>
      <c r="N44" s="127"/>
    </row>
    <row r="45" spans="2:22">
      <c r="B45" s="86" t="s">
        <v>1828</v>
      </c>
      <c r="C45" s="80">
        <v>5280</v>
      </c>
      <c r="D45" s="93" t="s">
        <v>168</v>
      </c>
      <c r="E45" s="107">
        <v>42604</v>
      </c>
      <c r="F45" s="87">
        <v>23089.759999999998</v>
      </c>
      <c r="G45" s="89">
        <v>45.9178</v>
      </c>
      <c r="H45" s="87">
        <v>48.343350000000001</v>
      </c>
      <c r="I45" s="88">
        <v>6.0922849604221627E-4</v>
      </c>
      <c r="J45" s="88">
        <f t="shared" si="3"/>
        <v>1.0375291254527694E-3</v>
      </c>
      <c r="K45" s="88">
        <f>H45/'סכום נכסי הקרן'!$C$42</f>
        <v>1.3299463211546312E-5</v>
      </c>
      <c r="M45" s="128"/>
      <c r="N45" s="127"/>
    </row>
    <row r="46" spans="2:22">
      <c r="B46" s="86" t="s">
        <v>1829</v>
      </c>
      <c r="C46" s="80">
        <v>5318</v>
      </c>
      <c r="D46" s="93" t="s">
        <v>167</v>
      </c>
      <c r="E46" s="107">
        <v>43165</v>
      </c>
      <c r="F46" s="87">
        <v>23564.080000000002</v>
      </c>
      <c r="G46" s="89">
        <v>96.621799999999993</v>
      </c>
      <c r="H46" s="87">
        <v>88.299009999999996</v>
      </c>
      <c r="I46" s="88">
        <v>1.915778861788618E-4</v>
      </c>
      <c r="J46" s="88">
        <f t="shared" si="3"/>
        <v>1.8950443985293807E-3</v>
      </c>
      <c r="K46" s="88">
        <f>H46/'סכום נכסי הקרן'!$C$42</f>
        <v>2.4291436880376719E-5</v>
      </c>
      <c r="M46" s="128"/>
      <c r="N46" s="127"/>
    </row>
    <row r="47" spans="2:22">
      <c r="B47" s="86" t="s">
        <v>1830</v>
      </c>
      <c r="C47" s="80">
        <v>5319</v>
      </c>
      <c r="D47" s="93" t="s">
        <v>165</v>
      </c>
      <c r="E47" s="107">
        <v>43165</v>
      </c>
      <c r="F47" s="87">
        <v>40724.75</v>
      </c>
      <c r="G47" s="89">
        <v>115.93219999999999</v>
      </c>
      <c r="H47" s="87">
        <v>163.16848000000002</v>
      </c>
      <c r="I47" s="88">
        <v>8.0322221181256014E-4</v>
      </c>
      <c r="J47" s="88">
        <f t="shared" si="3"/>
        <v>3.5018684132534822E-3</v>
      </c>
      <c r="K47" s="88">
        <f>H47/'סכום נכסי הקרן'!$C$42</f>
        <v>4.4888349629140934E-5</v>
      </c>
      <c r="M47" s="126"/>
      <c r="N47" s="127"/>
    </row>
    <row r="48" spans="2:22">
      <c r="B48" s="86" t="s">
        <v>1831</v>
      </c>
      <c r="C48" s="80">
        <v>5324</v>
      </c>
      <c r="D48" s="93" t="s">
        <v>167</v>
      </c>
      <c r="E48" s="107">
        <v>43192</v>
      </c>
      <c r="F48" s="87">
        <v>31069.06</v>
      </c>
      <c r="G48" s="89">
        <v>110.20529999999999</v>
      </c>
      <c r="H48" s="87">
        <v>132.78864000000002</v>
      </c>
      <c r="I48" s="88">
        <v>3.4465273809523812E-4</v>
      </c>
      <c r="J48" s="88">
        <f t="shared" si="3"/>
        <v>2.8498662490138282E-3</v>
      </c>
      <c r="K48" s="88">
        <f>H48/'סכום נכסי הקרן'!$C$42</f>
        <v>3.6530725168844675E-5</v>
      </c>
      <c r="M48" s="126"/>
      <c r="N48" s="127"/>
    </row>
    <row r="49" spans="2:14">
      <c r="B49" s="86" t="s">
        <v>1832</v>
      </c>
      <c r="C49" s="80">
        <v>5325</v>
      </c>
      <c r="D49" s="93" t="s">
        <v>165</v>
      </c>
      <c r="E49" s="107">
        <v>43201</v>
      </c>
      <c r="F49" s="87">
        <v>60531.68</v>
      </c>
      <c r="G49" s="89">
        <v>132.7621</v>
      </c>
      <c r="H49" s="87">
        <v>277.73500999999999</v>
      </c>
      <c r="I49" s="88">
        <v>3.5625352122264884E-5</v>
      </c>
      <c r="J49" s="88">
        <f t="shared" si="3"/>
        <v>5.960657712651609E-3</v>
      </c>
      <c r="K49" s="88">
        <f>H49/'סכום נכסי הקרן'!$C$42</f>
        <v>7.6406094076092091E-5</v>
      </c>
      <c r="M49" s="126"/>
      <c r="N49" s="127"/>
    </row>
    <row r="50" spans="2:14">
      <c r="B50" s="86" t="s">
        <v>1833</v>
      </c>
      <c r="C50" s="80">
        <v>5330</v>
      </c>
      <c r="D50" s="93" t="s">
        <v>165</v>
      </c>
      <c r="E50" s="107">
        <v>43272</v>
      </c>
      <c r="F50" s="87">
        <v>61077.43</v>
      </c>
      <c r="G50" s="89">
        <v>95.841999999999999</v>
      </c>
      <c r="H50" s="87">
        <v>202.30673999999999</v>
      </c>
      <c r="I50" s="88">
        <v>3.2140815473078936E-5</v>
      </c>
      <c r="J50" s="88">
        <f t="shared" si="3"/>
        <v>4.3418409155633773E-3</v>
      </c>
      <c r="K50" s="88">
        <f>H50/'סכום נכסי הקרן'!$C$42</f>
        <v>5.5655453047375997E-5</v>
      </c>
    </row>
    <row r="51" spans="2:14">
      <c r="B51" s="86" t="s">
        <v>1834</v>
      </c>
      <c r="C51" s="80">
        <v>5311</v>
      </c>
      <c r="D51" s="93" t="s">
        <v>165</v>
      </c>
      <c r="E51" s="107">
        <v>43089</v>
      </c>
      <c r="F51" s="87">
        <v>82215.17</v>
      </c>
      <c r="G51" s="89">
        <v>101.5639</v>
      </c>
      <c r="H51" s="87">
        <v>288.57921000000005</v>
      </c>
      <c r="I51" s="88">
        <v>1.1582802197802197E-4</v>
      </c>
      <c r="J51" s="88">
        <f t="shared" si="3"/>
        <v>6.1933923771346246E-3</v>
      </c>
      <c r="K51" s="88">
        <f>H51/'סכום נכסי הקרן'!$C$42</f>
        <v>7.9389380070104737E-5</v>
      </c>
    </row>
    <row r="52" spans="2:14">
      <c r="B52" s="86" t="s">
        <v>1835</v>
      </c>
      <c r="C52" s="80">
        <v>5287</v>
      </c>
      <c r="D52" s="93" t="s">
        <v>167</v>
      </c>
      <c r="E52" s="107">
        <v>42809</v>
      </c>
      <c r="F52" s="87">
        <v>1061192.8999999999</v>
      </c>
      <c r="G52" s="89">
        <v>97.767700000000005</v>
      </c>
      <c r="H52" s="87">
        <v>4023.6475800000003</v>
      </c>
      <c r="I52" s="88">
        <v>6.9270184254733777E-4</v>
      </c>
      <c r="J52" s="88">
        <f t="shared" si="3"/>
        <v>8.6354204969402257E-2</v>
      </c>
      <c r="K52" s="88">
        <f>H52/'סכום נכסי הקרן'!$C$42</f>
        <v>1.1069227301466974E-3</v>
      </c>
    </row>
    <row r="53" spans="2:14">
      <c r="B53" s="86" t="s">
        <v>1836</v>
      </c>
      <c r="C53" s="80">
        <v>5306</v>
      </c>
      <c r="D53" s="93" t="s">
        <v>167</v>
      </c>
      <c r="E53" s="107">
        <v>43068</v>
      </c>
      <c r="F53" s="87">
        <v>17858.3</v>
      </c>
      <c r="G53" s="89">
        <v>70.074799999999996</v>
      </c>
      <c r="H53" s="87">
        <v>48.532449999999997</v>
      </c>
      <c r="I53" s="88">
        <v>7.3675202843281507E-5</v>
      </c>
      <c r="J53" s="88">
        <f t="shared" si="3"/>
        <v>1.0415875276450692E-3</v>
      </c>
      <c r="K53" s="88">
        <f>H53/'סכום נכסי הקרן'!$C$42</f>
        <v>1.3351485433698963E-5</v>
      </c>
    </row>
    <row r="54" spans="2:14">
      <c r="B54" s="86" t="s">
        <v>1837</v>
      </c>
      <c r="C54" s="80">
        <v>5284</v>
      </c>
      <c r="D54" s="93" t="s">
        <v>167</v>
      </c>
      <c r="E54" s="107">
        <v>42662</v>
      </c>
      <c r="F54" s="87">
        <v>907605.1</v>
      </c>
      <c r="G54" s="89">
        <v>85.779799999999994</v>
      </c>
      <c r="H54" s="87">
        <v>3019.34096</v>
      </c>
      <c r="I54" s="88">
        <v>1.1149895866666667E-3</v>
      </c>
      <c r="J54" s="88">
        <f t="shared" si="3"/>
        <v>6.4800105612716652E-2</v>
      </c>
      <c r="K54" s="88">
        <f>H54/'סכום נכסי הקרן'!$C$42</f>
        <v>8.3063366565690883E-4</v>
      </c>
    </row>
    <row r="55" spans="2:14">
      <c r="B55" s="86" t="s">
        <v>1838</v>
      </c>
      <c r="C55" s="80">
        <v>5276</v>
      </c>
      <c r="D55" s="93" t="s">
        <v>165</v>
      </c>
      <c r="E55" s="107">
        <v>42521</v>
      </c>
      <c r="F55" s="87">
        <v>854743.08</v>
      </c>
      <c r="G55" s="89">
        <v>129.12989999999999</v>
      </c>
      <c r="H55" s="87">
        <v>3814.4870499999997</v>
      </c>
      <c r="I55" s="88">
        <v>1.1733333333333333E-4</v>
      </c>
      <c r="J55" s="88">
        <f t="shared" si="3"/>
        <v>8.1865270260282216E-2</v>
      </c>
      <c r="K55" s="88">
        <f>H55/'סכום נכסי הקרן'!$C$42</f>
        <v>1.0493817700344475E-3</v>
      </c>
    </row>
    <row r="56" spans="2:14">
      <c r="B56" s="86" t="s">
        <v>1839</v>
      </c>
      <c r="C56" s="80">
        <v>5312</v>
      </c>
      <c r="D56" s="93" t="s">
        <v>165</v>
      </c>
      <c r="E56" s="107">
        <v>43095</v>
      </c>
      <c r="F56" s="87">
        <v>21959.06</v>
      </c>
      <c r="G56" s="89">
        <v>115.4687</v>
      </c>
      <c r="H56" s="87">
        <v>87.62979</v>
      </c>
      <c r="I56" s="88">
        <v>8.3809847315279354E-4</v>
      </c>
      <c r="J56" s="88">
        <f t="shared" si="3"/>
        <v>1.880681818333025E-3</v>
      </c>
      <c r="K56" s="88">
        <f>H56/'סכום נכסי הקרן'!$C$42</f>
        <v>2.4107331584189527E-5</v>
      </c>
    </row>
    <row r="57" spans="2:14">
      <c r="B57" s="86" t="s">
        <v>1840</v>
      </c>
      <c r="C57" s="80">
        <v>5286</v>
      </c>
      <c r="D57" s="93" t="s">
        <v>165</v>
      </c>
      <c r="E57" s="107">
        <v>42727</v>
      </c>
      <c r="F57" s="87">
        <v>743566.4</v>
      </c>
      <c r="G57" s="89">
        <v>115.1752</v>
      </c>
      <c r="H57" s="87">
        <v>2959.73254</v>
      </c>
      <c r="I57" s="88">
        <v>3.9168054927551981E-4</v>
      </c>
      <c r="J57" s="88">
        <f t="shared" si="3"/>
        <v>6.3520809248848162E-2</v>
      </c>
      <c r="K57" s="88">
        <f>H57/'סכום נכסי הקרן'!$C$42</f>
        <v>8.1423513330678408E-4</v>
      </c>
    </row>
    <row r="58" spans="2:14">
      <c r="B58" s="86" t="s">
        <v>1841</v>
      </c>
      <c r="C58" s="80">
        <v>5338</v>
      </c>
      <c r="D58" s="93" t="s">
        <v>165</v>
      </c>
      <c r="E58" s="107">
        <v>43375</v>
      </c>
      <c r="F58" s="87">
        <v>22295.33</v>
      </c>
      <c r="G58" s="89">
        <v>97.326499999999996</v>
      </c>
      <c r="H58" s="87">
        <v>74.992679999999993</v>
      </c>
      <c r="I58" s="88">
        <v>1.0038428571428572E-4</v>
      </c>
      <c r="J58" s="88">
        <f t="shared" si="3"/>
        <v>1.6094683073423622E-3</v>
      </c>
      <c r="K58" s="88">
        <f>H58/'סכום נכסי הקרן'!$C$42</f>
        <v>2.0630808348930406E-5</v>
      </c>
    </row>
    <row r="59" spans="2:14">
      <c r="B59" s="86" t="s">
        <v>1842</v>
      </c>
      <c r="C59" s="80">
        <v>6641</v>
      </c>
      <c r="D59" s="93" t="s">
        <v>165</v>
      </c>
      <c r="E59" s="107">
        <v>43461</v>
      </c>
      <c r="F59" s="87">
        <v>14560.56</v>
      </c>
      <c r="G59" s="89">
        <v>77.484999999999999</v>
      </c>
      <c r="H59" s="87">
        <v>38.991459999999996</v>
      </c>
      <c r="I59" s="88">
        <v>1.0096120689655173E-4</v>
      </c>
      <c r="J59" s="88">
        <f t="shared" si="3"/>
        <v>8.3682192884702107E-4</v>
      </c>
      <c r="K59" s="88">
        <f>H59/'סכום נכסי הקרן'!$C$42</f>
        <v>1.0726718107753797E-5</v>
      </c>
    </row>
    <row r="60" spans="2:14">
      <c r="C60" s="1"/>
    </row>
    <row r="61" spans="2:14">
      <c r="C61" s="1"/>
    </row>
    <row r="62" spans="2:14">
      <c r="C62" s="1"/>
    </row>
    <row r="63" spans="2:14">
      <c r="B63" s="95" t="s">
        <v>114</v>
      </c>
      <c r="C63" s="1"/>
    </row>
    <row r="64" spans="2:14">
      <c r="B64" s="95" t="s">
        <v>238</v>
      </c>
      <c r="C64" s="1"/>
    </row>
    <row r="65" spans="2:3">
      <c r="B65" s="95" t="s">
        <v>246</v>
      </c>
      <c r="C65" s="1"/>
    </row>
    <row r="66" spans="2:3">
      <c r="C66" s="1"/>
    </row>
    <row r="67" spans="2:3">
      <c r="C67" s="1"/>
    </row>
    <row r="68" spans="2:3">
      <c r="C68" s="1"/>
    </row>
    <row r="69" spans="2:3">
      <c r="C69" s="1"/>
    </row>
    <row r="70" spans="2:3">
      <c r="C70" s="1"/>
    </row>
    <row r="71" spans="2:3">
      <c r="C71" s="1"/>
    </row>
    <row r="72" spans="2:3">
      <c r="C72" s="1"/>
    </row>
    <row r="73" spans="2:3">
      <c r="C73" s="1"/>
    </row>
    <row r="74" spans="2:3">
      <c r="C74" s="1"/>
    </row>
    <row r="75" spans="2:3">
      <c r="C75" s="1"/>
    </row>
    <row r="76" spans="2:3">
      <c r="C76" s="1"/>
    </row>
    <row r="77" spans="2:3">
      <c r="C77" s="1"/>
    </row>
    <row r="78" spans="2:3">
      <c r="C78" s="1"/>
    </row>
    <row r="79" spans="2:3">
      <c r="C79" s="1"/>
    </row>
    <row r="80" spans="2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H39:XFD41 J39:AF41 J1:XFD38 D1:I1048576 J42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181</v>
      </c>
      <c r="C1" s="78" t="s" vm="1">
        <v>262</v>
      </c>
    </row>
    <row r="2" spans="2:59">
      <c r="B2" s="57" t="s">
        <v>180</v>
      </c>
      <c r="C2" s="78" t="s">
        <v>263</v>
      </c>
    </row>
    <row r="3" spans="2:59">
      <c r="B3" s="57" t="s">
        <v>182</v>
      </c>
      <c r="C3" s="78" t="s">
        <v>264</v>
      </c>
    </row>
    <row r="4" spans="2:59">
      <c r="B4" s="57" t="s">
        <v>183</v>
      </c>
      <c r="C4" s="78">
        <v>2207</v>
      </c>
    </row>
    <row r="6" spans="2:59" ht="26.25" customHeight="1">
      <c r="B6" s="157" t="s">
        <v>212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59" ht="26.25" customHeight="1">
      <c r="B7" s="157" t="s">
        <v>99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59" s="3" customFormat="1" ht="78.75">
      <c r="B8" s="23" t="s">
        <v>118</v>
      </c>
      <c r="C8" s="31" t="s">
        <v>44</v>
      </c>
      <c r="D8" s="31" t="s">
        <v>65</v>
      </c>
      <c r="E8" s="31" t="s">
        <v>103</v>
      </c>
      <c r="F8" s="31" t="s">
        <v>104</v>
      </c>
      <c r="G8" s="31" t="s">
        <v>240</v>
      </c>
      <c r="H8" s="31" t="s">
        <v>239</v>
      </c>
      <c r="I8" s="31" t="s">
        <v>112</v>
      </c>
      <c r="J8" s="31" t="s">
        <v>59</v>
      </c>
      <c r="K8" s="31" t="s">
        <v>184</v>
      </c>
      <c r="L8" s="32" t="s">
        <v>186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247</v>
      </c>
      <c r="H9" s="17"/>
      <c r="I9" s="17" t="s">
        <v>243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  <c r="N11" s="1"/>
      <c r="O11" s="1"/>
      <c r="P11" s="1"/>
      <c r="BG11" s="1"/>
    </row>
    <row r="12" spans="2:59" ht="21" customHeight="1">
      <c r="B12" s="114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59">
      <c r="B13" s="114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59">
      <c r="B14" s="114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59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9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12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12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12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12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12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12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12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1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85</v>
      </c>
      <c r="C6" s="14" t="s">
        <v>44</v>
      </c>
      <c r="E6" s="14" t="s">
        <v>119</v>
      </c>
      <c r="I6" s="14" t="s">
        <v>15</v>
      </c>
      <c r="J6" s="14" t="s">
        <v>66</v>
      </c>
      <c r="M6" s="14" t="s">
        <v>103</v>
      </c>
      <c r="Q6" s="14" t="s">
        <v>17</v>
      </c>
      <c r="R6" s="14" t="s">
        <v>19</v>
      </c>
      <c r="U6" s="14" t="s">
        <v>62</v>
      </c>
      <c r="W6" s="15" t="s">
        <v>58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89</v>
      </c>
      <c r="C8" s="31" t="s">
        <v>44</v>
      </c>
      <c r="D8" s="31" t="s">
        <v>121</v>
      </c>
      <c r="I8" s="31" t="s">
        <v>15</v>
      </c>
      <c r="J8" s="31" t="s">
        <v>66</v>
      </c>
      <c r="K8" s="31" t="s">
        <v>104</v>
      </c>
      <c r="L8" s="31" t="s">
        <v>18</v>
      </c>
      <c r="M8" s="31" t="s">
        <v>103</v>
      </c>
      <c r="Q8" s="31" t="s">
        <v>17</v>
      </c>
      <c r="R8" s="31" t="s">
        <v>19</v>
      </c>
      <c r="S8" s="31" t="s">
        <v>0</v>
      </c>
      <c r="T8" s="31" t="s">
        <v>107</v>
      </c>
      <c r="U8" s="31" t="s">
        <v>62</v>
      </c>
      <c r="V8" s="31" t="s">
        <v>59</v>
      </c>
      <c r="W8" s="32" t="s">
        <v>113</v>
      </c>
    </row>
    <row r="9" spans="2:25" ht="31.5">
      <c r="B9" s="49" t="str">
        <f>'תעודות חוב מסחריות '!B7:T7</f>
        <v>2. תעודות חוב מסחריות</v>
      </c>
      <c r="C9" s="14" t="s">
        <v>44</v>
      </c>
      <c r="D9" s="14" t="s">
        <v>121</v>
      </c>
      <c r="E9" s="42" t="s">
        <v>119</v>
      </c>
      <c r="G9" s="14" t="s">
        <v>65</v>
      </c>
      <c r="I9" s="14" t="s">
        <v>15</v>
      </c>
      <c r="J9" s="14" t="s">
        <v>66</v>
      </c>
      <c r="K9" s="14" t="s">
        <v>104</v>
      </c>
      <c r="L9" s="14" t="s">
        <v>18</v>
      </c>
      <c r="M9" s="14" t="s">
        <v>103</v>
      </c>
      <c r="Q9" s="14" t="s">
        <v>17</v>
      </c>
      <c r="R9" s="14" t="s">
        <v>19</v>
      </c>
      <c r="S9" s="14" t="s">
        <v>0</v>
      </c>
      <c r="T9" s="14" t="s">
        <v>107</v>
      </c>
      <c r="U9" s="14" t="s">
        <v>62</v>
      </c>
      <c r="V9" s="14" t="s">
        <v>59</v>
      </c>
      <c r="W9" s="39" t="s">
        <v>113</v>
      </c>
    </row>
    <row r="10" spans="2:25" ht="31.5">
      <c r="B10" s="49" t="str">
        <f>'אג"ח קונצרני'!B7:U7</f>
        <v>3. אג"ח קונצרני</v>
      </c>
      <c r="C10" s="31" t="s">
        <v>44</v>
      </c>
      <c r="D10" s="14" t="s">
        <v>121</v>
      </c>
      <c r="E10" s="42" t="s">
        <v>119</v>
      </c>
      <c r="G10" s="31" t="s">
        <v>65</v>
      </c>
      <c r="I10" s="31" t="s">
        <v>15</v>
      </c>
      <c r="J10" s="31" t="s">
        <v>66</v>
      </c>
      <c r="K10" s="31" t="s">
        <v>104</v>
      </c>
      <c r="L10" s="31" t="s">
        <v>18</v>
      </c>
      <c r="M10" s="31" t="s">
        <v>103</v>
      </c>
      <c r="Q10" s="31" t="s">
        <v>17</v>
      </c>
      <c r="R10" s="31" t="s">
        <v>19</v>
      </c>
      <c r="S10" s="31" t="s">
        <v>0</v>
      </c>
      <c r="T10" s="31" t="s">
        <v>107</v>
      </c>
      <c r="U10" s="31" t="s">
        <v>62</v>
      </c>
      <c r="V10" s="14" t="s">
        <v>59</v>
      </c>
      <c r="W10" s="32" t="s">
        <v>113</v>
      </c>
    </row>
    <row r="11" spans="2:25" ht="31.5">
      <c r="B11" s="49" t="str">
        <f>מניות!B7</f>
        <v>4. מניות</v>
      </c>
      <c r="C11" s="31" t="s">
        <v>44</v>
      </c>
      <c r="D11" s="14" t="s">
        <v>121</v>
      </c>
      <c r="E11" s="42" t="s">
        <v>119</v>
      </c>
      <c r="H11" s="31" t="s">
        <v>103</v>
      </c>
      <c r="S11" s="31" t="s">
        <v>0</v>
      </c>
      <c r="T11" s="14" t="s">
        <v>107</v>
      </c>
      <c r="U11" s="14" t="s">
        <v>62</v>
      </c>
      <c r="V11" s="14" t="s">
        <v>59</v>
      </c>
      <c r="W11" s="15" t="s">
        <v>113</v>
      </c>
    </row>
    <row r="12" spans="2:25" ht="31.5">
      <c r="B12" s="49" t="str">
        <f>'קרנות סל'!B7:N7</f>
        <v>5. קרנות סל</v>
      </c>
      <c r="C12" s="31" t="s">
        <v>44</v>
      </c>
      <c r="D12" s="14" t="s">
        <v>121</v>
      </c>
      <c r="E12" s="42" t="s">
        <v>119</v>
      </c>
      <c r="H12" s="31" t="s">
        <v>103</v>
      </c>
      <c r="S12" s="31" t="s">
        <v>0</v>
      </c>
      <c r="T12" s="31" t="s">
        <v>107</v>
      </c>
      <c r="U12" s="31" t="s">
        <v>62</v>
      </c>
      <c r="V12" s="31" t="s">
        <v>59</v>
      </c>
      <c r="W12" s="32" t="s">
        <v>113</v>
      </c>
    </row>
    <row r="13" spans="2:25" ht="31.5">
      <c r="B13" s="49" t="str">
        <f>'קרנות נאמנות'!B7:O7</f>
        <v>6. קרנות נאמנות</v>
      </c>
      <c r="C13" s="31" t="s">
        <v>44</v>
      </c>
      <c r="D13" s="31" t="s">
        <v>121</v>
      </c>
      <c r="G13" s="31" t="s">
        <v>65</v>
      </c>
      <c r="H13" s="31" t="s">
        <v>103</v>
      </c>
      <c r="S13" s="31" t="s">
        <v>0</v>
      </c>
      <c r="T13" s="31" t="s">
        <v>107</v>
      </c>
      <c r="U13" s="31" t="s">
        <v>62</v>
      </c>
      <c r="V13" s="31" t="s">
        <v>59</v>
      </c>
      <c r="W13" s="32" t="s">
        <v>113</v>
      </c>
    </row>
    <row r="14" spans="2:25" ht="31.5">
      <c r="B14" s="49" t="str">
        <f>'כתבי אופציה'!B7:L7</f>
        <v>7. כתבי אופציה</v>
      </c>
      <c r="C14" s="31" t="s">
        <v>44</v>
      </c>
      <c r="D14" s="31" t="s">
        <v>121</v>
      </c>
      <c r="G14" s="31" t="s">
        <v>65</v>
      </c>
      <c r="H14" s="31" t="s">
        <v>103</v>
      </c>
      <c r="S14" s="31" t="s">
        <v>0</v>
      </c>
      <c r="T14" s="31" t="s">
        <v>107</v>
      </c>
      <c r="U14" s="31" t="s">
        <v>62</v>
      </c>
      <c r="V14" s="31" t="s">
        <v>59</v>
      </c>
      <c r="W14" s="32" t="s">
        <v>113</v>
      </c>
    </row>
    <row r="15" spans="2:25" ht="31.5">
      <c r="B15" s="49" t="str">
        <f>אופציות!B7</f>
        <v>8. אופציות</v>
      </c>
      <c r="C15" s="31" t="s">
        <v>44</v>
      </c>
      <c r="D15" s="31" t="s">
        <v>121</v>
      </c>
      <c r="G15" s="31" t="s">
        <v>65</v>
      </c>
      <c r="H15" s="31" t="s">
        <v>103</v>
      </c>
      <c r="S15" s="31" t="s">
        <v>0</v>
      </c>
      <c r="T15" s="31" t="s">
        <v>107</v>
      </c>
      <c r="U15" s="31" t="s">
        <v>62</v>
      </c>
      <c r="V15" s="31" t="s">
        <v>59</v>
      </c>
      <c r="W15" s="32" t="s">
        <v>113</v>
      </c>
    </row>
    <row r="16" spans="2:25" ht="31.5">
      <c r="B16" s="49" t="str">
        <f>'חוזים עתידיים'!B7:I7</f>
        <v>9. חוזים עתידיים</v>
      </c>
      <c r="C16" s="31" t="s">
        <v>44</v>
      </c>
      <c r="D16" s="31" t="s">
        <v>121</v>
      </c>
      <c r="G16" s="31" t="s">
        <v>65</v>
      </c>
      <c r="H16" s="31" t="s">
        <v>103</v>
      </c>
      <c r="S16" s="31" t="s">
        <v>0</v>
      </c>
      <c r="T16" s="32" t="s">
        <v>107</v>
      </c>
    </row>
    <row r="17" spans="2:25" ht="31.5">
      <c r="B17" s="49" t="str">
        <f>'מוצרים מובנים'!B7:Q7</f>
        <v>10. מוצרים מובנים</v>
      </c>
      <c r="C17" s="31" t="s">
        <v>44</v>
      </c>
      <c r="F17" s="14" t="s">
        <v>50</v>
      </c>
      <c r="I17" s="31" t="s">
        <v>15</v>
      </c>
      <c r="J17" s="31" t="s">
        <v>66</v>
      </c>
      <c r="K17" s="31" t="s">
        <v>104</v>
      </c>
      <c r="L17" s="31" t="s">
        <v>18</v>
      </c>
      <c r="M17" s="31" t="s">
        <v>103</v>
      </c>
      <c r="Q17" s="31" t="s">
        <v>17</v>
      </c>
      <c r="R17" s="31" t="s">
        <v>19</v>
      </c>
      <c r="S17" s="31" t="s">
        <v>0</v>
      </c>
      <c r="T17" s="31" t="s">
        <v>107</v>
      </c>
      <c r="U17" s="31" t="s">
        <v>62</v>
      </c>
      <c r="V17" s="31" t="s">
        <v>59</v>
      </c>
      <c r="W17" s="32" t="s">
        <v>113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44</v>
      </c>
      <c r="I19" s="31" t="s">
        <v>15</v>
      </c>
      <c r="J19" s="31" t="s">
        <v>66</v>
      </c>
      <c r="K19" s="31" t="s">
        <v>104</v>
      </c>
      <c r="L19" s="31" t="s">
        <v>18</v>
      </c>
      <c r="M19" s="31" t="s">
        <v>103</v>
      </c>
      <c r="Q19" s="31" t="s">
        <v>17</v>
      </c>
      <c r="R19" s="31" t="s">
        <v>19</v>
      </c>
      <c r="S19" s="31" t="s">
        <v>0</v>
      </c>
      <c r="T19" s="31" t="s">
        <v>107</v>
      </c>
      <c r="U19" s="31" t="s">
        <v>112</v>
      </c>
      <c r="V19" s="31" t="s">
        <v>59</v>
      </c>
      <c r="W19" s="32" t="s">
        <v>113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44</v>
      </c>
      <c r="D20" s="42" t="s">
        <v>120</v>
      </c>
      <c r="E20" s="42" t="s">
        <v>119</v>
      </c>
      <c r="G20" s="31" t="s">
        <v>65</v>
      </c>
      <c r="I20" s="31" t="s">
        <v>15</v>
      </c>
      <c r="J20" s="31" t="s">
        <v>66</v>
      </c>
      <c r="K20" s="31" t="s">
        <v>104</v>
      </c>
      <c r="L20" s="31" t="s">
        <v>18</v>
      </c>
      <c r="M20" s="31" t="s">
        <v>103</v>
      </c>
      <c r="Q20" s="31" t="s">
        <v>17</v>
      </c>
      <c r="R20" s="31" t="s">
        <v>19</v>
      </c>
      <c r="S20" s="31" t="s">
        <v>0</v>
      </c>
      <c r="T20" s="31" t="s">
        <v>107</v>
      </c>
      <c r="U20" s="31" t="s">
        <v>112</v>
      </c>
      <c r="V20" s="31" t="s">
        <v>59</v>
      </c>
      <c r="W20" s="32" t="s">
        <v>113</v>
      </c>
    </row>
    <row r="21" spans="2:25" ht="31.5">
      <c r="B21" s="49" t="str">
        <f>'לא סחיר - אג"ח קונצרני'!B7:S7</f>
        <v>3. אג"ח קונצרני</v>
      </c>
      <c r="C21" s="31" t="s">
        <v>44</v>
      </c>
      <c r="D21" s="42" t="s">
        <v>120</v>
      </c>
      <c r="E21" s="42" t="s">
        <v>119</v>
      </c>
      <c r="G21" s="31" t="s">
        <v>65</v>
      </c>
      <c r="I21" s="31" t="s">
        <v>15</v>
      </c>
      <c r="J21" s="31" t="s">
        <v>66</v>
      </c>
      <c r="K21" s="31" t="s">
        <v>104</v>
      </c>
      <c r="L21" s="31" t="s">
        <v>18</v>
      </c>
      <c r="M21" s="31" t="s">
        <v>103</v>
      </c>
      <c r="Q21" s="31" t="s">
        <v>17</v>
      </c>
      <c r="R21" s="31" t="s">
        <v>19</v>
      </c>
      <c r="S21" s="31" t="s">
        <v>0</v>
      </c>
      <c r="T21" s="31" t="s">
        <v>107</v>
      </c>
      <c r="U21" s="31" t="s">
        <v>112</v>
      </c>
      <c r="V21" s="31" t="s">
        <v>59</v>
      </c>
      <c r="W21" s="32" t="s">
        <v>113</v>
      </c>
    </row>
    <row r="22" spans="2:25" ht="31.5">
      <c r="B22" s="49" t="str">
        <f>'לא סחיר - מניות'!B7:M7</f>
        <v>4. מניות</v>
      </c>
      <c r="C22" s="31" t="s">
        <v>44</v>
      </c>
      <c r="D22" s="42" t="s">
        <v>120</v>
      </c>
      <c r="E22" s="42" t="s">
        <v>119</v>
      </c>
      <c r="G22" s="31" t="s">
        <v>65</v>
      </c>
      <c r="H22" s="31" t="s">
        <v>103</v>
      </c>
      <c r="S22" s="31" t="s">
        <v>0</v>
      </c>
      <c r="T22" s="31" t="s">
        <v>107</v>
      </c>
      <c r="U22" s="31" t="s">
        <v>112</v>
      </c>
      <c r="V22" s="31" t="s">
        <v>59</v>
      </c>
      <c r="W22" s="32" t="s">
        <v>113</v>
      </c>
    </row>
    <row r="23" spans="2:25" ht="31.5">
      <c r="B23" s="49" t="str">
        <f>'לא סחיר - קרנות השקעה'!B7:K7</f>
        <v>5. קרנות השקעה</v>
      </c>
      <c r="C23" s="31" t="s">
        <v>44</v>
      </c>
      <c r="G23" s="31" t="s">
        <v>65</v>
      </c>
      <c r="H23" s="31" t="s">
        <v>103</v>
      </c>
      <c r="K23" s="31" t="s">
        <v>104</v>
      </c>
      <c r="S23" s="31" t="s">
        <v>0</v>
      </c>
      <c r="T23" s="31" t="s">
        <v>107</v>
      </c>
      <c r="U23" s="31" t="s">
        <v>112</v>
      </c>
      <c r="V23" s="31" t="s">
        <v>59</v>
      </c>
      <c r="W23" s="32" t="s">
        <v>113</v>
      </c>
    </row>
    <row r="24" spans="2:25" ht="31.5">
      <c r="B24" s="49" t="str">
        <f>'לא סחיר - כתבי אופציה'!B7:L7</f>
        <v>6. כתבי אופציה</v>
      </c>
      <c r="C24" s="31" t="s">
        <v>44</v>
      </c>
      <c r="G24" s="31" t="s">
        <v>65</v>
      </c>
      <c r="H24" s="31" t="s">
        <v>103</v>
      </c>
      <c r="K24" s="31" t="s">
        <v>104</v>
      </c>
      <c r="S24" s="31" t="s">
        <v>0</v>
      </c>
      <c r="T24" s="31" t="s">
        <v>107</v>
      </c>
      <c r="U24" s="31" t="s">
        <v>112</v>
      </c>
      <c r="V24" s="31" t="s">
        <v>59</v>
      </c>
      <c r="W24" s="32" t="s">
        <v>113</v>
      </c>
    </row>
    <row r="25" spans="2:25" ht="31.5">
      <c r="B25" s="49" t="str">
        <f>'לא סחיר - אופציות'!B7:L7</f>
        <v>7. אופציות</v>
      </c>
      <c r="C25" s="31" t="s">
        <v>44</v>
      </c>
      <c r="G25" s="31" t="s">
        <v>65</v>
      </c>
      <c r="H25" s="31" t="s">
        <v>103</v>
      </c>
      <c r="K25" s="31" t="s">
        <v>104</v>
      </c>
      <c r="S25" s="31" t="s">
        <v>0</v>
      </c>
      <c r="T25" s="31" t="s">
        <v>107</v>
      </c>
      <c r="U25" s="31" t="s">
        <v>112</v>
      </c>
      <c r="V25" s="31" t="s">
        <v>59</v>
      </c>
      <c r="W25" s="32" t="s">
        <v>113</v>
      </c>
    </row>
    <row r="26" spans="2:25" ht="31.5">
      <c r="B26" s="49" t="str">
        <f>'לא סחיר - חוזים עתידיים'!B7:K7</f>
        <v>8. חוזים עתידיים</v>
      </c>
      <c r="C26" s="31" t="s">
        <v>44</v>
      </c>
      <c r="G26" s="31" t="s">
        <v>65</v>
      </c>
      <c r="H26" s="31" t="s">
        <v>103</v>
      </c>
      <c r="K26" s="31" t="s">
        <v>104</v>
      </c>
      <c r="S26" s="31" t="s">
        <v>0</v>
      </c>
      <c r="T26" s="31" t="s">
        <v>107</v>
      </c>
      <c r="U26" s="31" t="s">
        <v>112</v>
      </c>
      <c r="V26" s="32" t="s">
        <v>113</v>
      </c>
    </row>
    <row r="27" spans="2:25" ht="31.5">
      <c r="B27" s="49" t="str">
        <f>'לא סחיר - מוצרים מובנים'!B7:Q7</f>
        <v>9. מוצרים מובנים</v>
      </c>
      <c r="C27" s="31" t="s">
        <v>44</v>
      </c>
      <c r="F27" s="31" t="s">
        <v>50</v>
      </c>
      <c r="I27" s="31" t="s">
        <v>15</v>
      </c>
      <c r="J27" s="31" t="s">
        <v>66</v>
      </c>
      <c r="K27" s="31" t="s">
        <v>104</v>
      </c>
      <c r="L27" s="31" t="s">
        <v>18</v>
      </c>
      <c r="M27" s="31" t="s">
        <v>103</v>
      </c>
      <c r="Q27" s="31" t="s">
        <v>17</v>
      </c>
      <c r="R27" s="31" t="s">
        <v>19</v>
      </c>
      <c r="S27" s="31" t="s">
        <v>0</v>
      </c>
      <c r="T27" s="31" t="s">
        <v>107</v>
      </c>
      <c r="U27" s="31" t="s">
        <v>112</v>
      </c>
      <c r="V27" s="31" t="s">
        <v>59</v>
      </c>
      <c r="W27" s="32" t="s">
        <v>113</v>
      </c>
    </row>
    <row r="28" spans="2:25" ht="31.5">
      <c r="B28" s="53" t="str">
        <f>הלוואות!B6</f>
        <v>1.ד. הלוואות:</v>
      </c>
      <c r="C28" s="31" t="s">
        <v>44</v>
      </c>
      <c r="I28" s="31" t="s">
        <v>15</v>
      </c>
      <c r="J28" s="31" t="s">
        <v>66</v>
      </c>
      <c r="L28" s="31" t="s">
        <v>18</v>
      </c>
      <c r="M28" s="31" t="s">
        <v>103</v>
      </c>
      <c r="Q28" s="14" t="s">
        <v>34</v>
      </c>
      <c r="R28" s="31" t="s">
        <v>19</v>
      </c>
      <c r="S28" s="31" t="s">
        <v>0</v>
      </c>
      <c r="T28" s="31" t="s">
        <v>107</v>
      </c>
      <c r="U28" s="31" t="s">
        <v>112</v>
      </c>
      <c r="V28" s="32" t="s">
        <v>113</v>
      </c>
    </row>
    <row r="29" spans="2:25" ht="47.25">
      <c r="B29" s="53" t="str">
        <f>'פקדונות מעל 3 חודשים'!B6:O6</f>
        <v>1.ה. פקדונות מעל 3 חודשים:</v>
      </c>
      <c r="C29" s="31" t="s">
        <v>44</v>
      </c>
      <c r="E29" s="31" t="s">
        <v>119</v>
      </c>
      <c r="I29" s="31" t="s">
        <v>15</v>
      </c>
      <c r="J29" s="31" t="s">
        <v>66</v>
      </c>
      <c r="L29" s="31" t="s">
        <v>18</v>
      </c>
      <c r="M29" s="31" t="s">
        <v>103</v>
      </c>
      <c r="O29" s="50" t="s">
        <v>52</v>
      </c>
      <c r="P29" s="51"/>
      <c r="R29" s="31" t="s">
        <v>19</v>
      </c>
      <c r="S29" s="31" t="s">
        <v>0</v>
      </c>
      <c r="T29" s="31" t="s">
        <v>107</v>
      </c>
      <c r="U29" s="31" t="s">
        <v>112</v>
      </c>
      <c r="V29" s="32" t="s">
        <v>113</v>
      </c>
    </row>
    <row r="30" spans="2:25" ht="63">
      <c r="B30" s="53" t="str">
        <f>'זכויות מקרקעין'!B6</f>
        <v>1. ו. זכויות במקרקעין:</v>
      </c>
      <c r="C30" s="14" t="s">
        <v>54</v>
      </c>
      <c r="N30" s="50" t="s">
        <v>86</v>
      </c>
      <c r="P30" s="51" t="s">
        <v>55</v>
      </c>
      <c r="U30" s="31" t="s">
        <v>112</v>
      </c>
      <c r="V30" s="15" t="s">
        <v>58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57</v>
      </c>
      <c r="R31" s="14" t="s">
        <v>53</v>
      </c>
      <c r="U31" s="31" t="s">
        <v>112</v>
      </c>
      <c r="V31" s="15" t="s">
        <v>58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109</v>
      </c>
      <c r="Y32" s="15" t="s">
        <v>108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181</v>
      </c>
      <c r="C1" s="78" t="s" vm="1">
        <v>262</v>
      </c>
    </row>
    <row r="2" spans="2:54">
      <c r="B2" s="57" t="s">
        <v>180</v>
      </c>
      <c r="C2" s="78" t="s">
        <v>263</v>
      </c>
    </row>
    <row r="3" spans="2:54">
      <c r="B3" s="57" t="s">
        <v>182</v>
      </c>
      <c r="C3" s="78" t="s">
        <v>264</v>
      </c>
    </row>
    <row r="4" spans="2:54">
      <c r="B4" s="57" t="s">
        <v>183</v>
      </c>
      <c r="C4" s="78">
        <v>2207</v>
      </c>
    </row>
    <row r="6" spans="2:54" ht="26.25" customHeight="1">
      <c r="B6" s="157" t="s">
        <v>212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54" ht="26.25" customHeight="1">
      <c r="B7" s="157" t="s">
        <v>100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54" s="3" customFormat="1" ht="78.75">
      <c r="B8" s="23" t="s">
        <v>118</v>
      </c>
      <c r="C8" s="31" t="s">
        <v>44</v>
      </c>
      <c r="D8" s="31" t="s">
        <v>65</v>
      </c>
      <c r="E8" s="31" t="s">
        <v>103</v>
      </c>
      <c r="F8" s="31" t="s">
        <v>104</v>
      </c>
      <c r="G8" s="31" t="s">
        <v>240</v>
      </c>
      <c r="H8" s="31" t="s">
        <v>239</v>
      </c>
      <c r="I8" s="31" t="s">
        <v>112</v>
      </c>
      <c r="J8" s="31" t="s">
        <v>59</v>
      </c>
      <c r="K8" s="31" t="s">
        <v>184</v>
      </c>
      <c r="L8" s="32" t="s">
        <v>186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247</v>
      </c>
      <c r="H9" s="17"/>
      <c r="I9" s="17" t="s">
        <v>243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AZ11" s="1"/>
    </row>
    <row r="12" spans="2:54" ht="19.5" customHeight="1">
      <c r="B12" s="95" t="s">
        <v>255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54">
      <c r="B13" s="95" t="s">
        <v>114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54">
      <c r="B14" s="95" t="s">
        <v>238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54">
      <c r="B15" s="95" t="s">
        <v>246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4" s="7" customForma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AZ16" s="1"/>
      <c r="BB16" s="1"/>
    </row>
    <row r="17" spans="2:54" s="7" customForma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AZ17" s="1"/>
      <c r="BB17" s="1"/>
    </row>
    <row r="18" spans="2:54" s="7" customForma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AZ18" s="1"/>
      <c r="BB18" s="1"/>
    </row>
    <row r="19" spans="2:54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4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4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4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4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4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4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3"/>
  <sheetViews>
    <sheetView rightToLeft="1" topLeftCell="A50" workbookViewId="0">
      <selection activeCell="J33" sqref="J33"/>
    </sheetView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6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181</v>
      </c>
      <c r="C1" s="78" t="s" vm="1">
        <v>262</v>
      </c>
    </row>
    <row r="2" spans="2:51">
      <c r="B2" s="57" t="s">
        <v>180</v>
      </c>
      <c r="C2" s="78" t="s">
        <v>263</v>
      </c>
    </row>
    <row r="3" spans="2:51">
      <c r="B3" s="57" t="s">
        <v>182</v>
      </c>
      <c r="C3" s="78" t="s">
        <v>264</v>
      </c>
    </row>
    <row r="4" spans="2:51">
      <c r="B4" s="57" t="s">
        <v>183</v>
      </c>
      <c r="C4" s="78">
        <v>2207</v>
      </c>
    </row>
    <row r="6" spans="2:51" ht="26.25" customHeight="1">
      <c r="B6" s="157" t="s">
        <v>212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51" ht="26.25" customHeight="1">
      <c r="B7" s="157" t="s">
        <v>101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51" s="3" customFormat="1" ht="63">
      <c r="B8" s="23" t="s">
        <v>118</v>
      </c>
      <c r="C8" s="31" t="s">
        <v>44</v>
      </c>
      <c r="D8" s="31" t="s">
        <v>65</v>
      </c>
      <c r="E8" s="31" t="s">
        <v>103</v>
      </c>
      <c r="F8" s="31" t="s">
        <v>104</v>
      </c>
      <c r="G8" s="31" t="s">
        <v>240</v>
      </c>
      <c r="H8" s="31" t="s">
        <v>239</v>
      </c>
      <c r="I8" s="31" t="s">
        <v>112</v>
      </c>
      <c r="J8" s="31" t="s">
        <v>184</v>
      </c>
      <c r="K8" s="32" t="s">
        <v>186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247</v>
      </c>
      <c r="H9" s="17"/>
      <c r="I9" s="17" t="s">
        <v>243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97" t="s">
        <v>48</v>
      </c>
      <c r="C11" s="98"/>
      <c r="D11" s="98"/>
      <c r="E11" s="98"/>
      <c r="F11" s="98"/>
      <c r="G11" s="100"/>
      <c r="H11" s="102"/>
      <c r="I11" s="100">
        <v>1037.430935805</v>
      </c>
      <c r="J11" s="103">
        <f>I11/$I$11</f>
        <v>1</v>
      </c>
      <c r="K11" s="103">
        <f>I11/'סכום נכסי הקרן'!$C$42</f>
        <v>2.8540170603110171E-4</v>
      </c>
      <c r="AW11" s="1"/>
    </row>
    <row r="12" spans="2:51" ht="19.5" customHeight="1">
      <c r="B12" s="81" t="s">
        <v>33</v>
      </c>
      <c r="C12" s="82"/>
      <c r="D12" s="82"/>
      <c r="E12" s="82"/>
      <c r="F12" s="82"/>
      <c r="G12" s="90"/>
      <c r="H12" s="92"/>
      <c r="I12" s="90">
        <v>1037.430935805</v>
      </c>
      <c r="J12" s="91">
        <f t="shared" ref="J12:J75" si="0">I12/$I$11</f>
        <v>1</v>
      </c>
      <c r="K12" s="91">
        <f>I12/'סכום נכסי הקרן'!$C$42</f>
        <v>2.8540170603110171E-4</v>
      </c>
    </row>
    <row r="13" spans="2:51">
      <c r="B13" s="99" t="s">
        <v>1843</v>
      </c>
      <c r="C13" s="82"/>
      <c r="D13" s="82"/>
      <c r="E13" s="82"/>
      <c r="F13" s="82"/>
      <c r="G13" s="90"/>
      <c r="H13" s="92"/>
      <c r="I13" s="90">
        <v>1692.5439800000006</v>
      </c>
      <c r="J13" s="91">
        <f t="shared" si="0"/>
        <v>1.6314762955151922</v>
      </c>
      <c r="K13" s="91">
        <f>I13/'סכום נכסי הקרן'!$C$42</f>
        <v>4.656261180893377E-4</v>
      </c>
    </row>
    <row r="14" spans="2:51">
      <c r="B14" s="86" t="s">
        <v>1844</v>
      </c>
      <c r="C14" s="80" t="s">
        <v>1845</v>
      </c>
      <c r="D14" s="93" t="s">
        <v>1528</v>
      </c>
      <c r="E14" s="93" t="s">
        <v>165</v>
      </c>
      <c r="F14" s="107">
        <v>43676</v>
      </c>
      <c r="G14" s="87">
        <v>21034097</v>
      </c>
      <c r="H14" s="89">
        <v>0.43480000000000002</v>
      </c>
      <c r="I14" s="87">
        <v>91.460290000000001</v>
      </c>
      <c r="J14" s="88">
        <f t="shared" si="0"/>
        <v>8.8160365035799618E-2</v>
      </c>
      <c r="K14" s="88">
        <f>I14/'סכום נכסי הקרן'!$C$42</f>
        <v>2.5161118585541901E-5</v>
      </c>
    </row>
    <row r="15" spans="2:51">
      <c r="B15" s="86" t="s">
        <v>1846</v>
      </c>
      <c r="C15" s="80" t="s">
        <v>1847</v>
      </c>
      <c r="D15" s="93" t="s">
        <v>1528</v>
      </c>
      <c r="E15" s="93" t="s">
        <v>165</v>
      </c>
      <c r="F15" s="107">
        <v>43675</v>
      </c>
      <c r="G15" s="87">
        <v>4462510</v>
      </c>
      <c r="H15" s="89">
        <v>0.9375</v>
      </c>
      <c r="I15" s="87">
        <v>41.833930000000002</v>
      </c>
      <c r="J15" s="88">
        <f t="shared" si="0"/>
        <v>4.0324544561165167E-2</v>
      </c>
      <c r="K15" s="88">
        <f>I15/'סכום נכסי הקרן'!$C$42</f>
        <v>1.1508693812683721E-5</v>
      </c>
    </row>
    <row r="16" spans="2:51" s="7" customFormat="1">
      <c r="B16" s="86" t="s">
        <v>1848</v>
      </c>
      <c r="C16" s="80" t="s">
        <v>1849</v>
      </c>
      <c r="D16" s="93" t="s">
        <v>1528</v>
      </c>
      <c r="E16" s="93" t="s">
        <v>165</v>
      </c>
      <c r="F16" s="107">
        <v>43801</v>
      </c>
      <c r="G16" s="87">
        <v>5160000</v>
      </c>
      <c r="H16" s="89">
        <v>0.21629999999999999</v>
      </c>
      <c r="I16" s="87">
        <v>11.162420000000001</v>
      </c>
      <c r="J16" s="88">
        <f t="shared" si="0"/>
        <v>1.0759675285120028E-2</v>
      </c>
      <c r="K16" s="88">
        <f>I16/'סכום נכסי הקרן'!$C$42</f>
        <v>3.0708296827139367E-6</v>
      </c>
      <c r="AW16" s="1"/>
      <c r="AY16" s="1"/>
    </row>
    <row r="17" spans="2:51" s="7" customFormat="1">
      <c r="B17" s="86" t="s">
        <v>1850</v>
      </c>
      <c r="C17" s="80" t="s">
        <v>1851</v>
      </c>
      <c r="D17" s="93" t="s">
        <v>1528</v>
      </c>
      <c r="E17" s="93" t="s">
        <v>165</v>
      </c>
      <c r="F17" s="107">
        <v>43795</v>
      </c>
      <c r="G17" s="87">
        <v>1032300</v>
      </c>
      <c r="H17" s="89">
        <v>0.17730000000000001</v>
      </c>
      <c r="I17" s="87">
        <v>1.83064</v>
      </c>
      <c r="J17" s="88">
        <f t="shared" si="0"/>
        <v>1.7645897541887984E-3</v>
      </c>
      <c r="K17" s="88">
        <f>I17/'סכום נכסי הקרן'!$C$42</f>
        <v>5.0361692629048542E-7</v>
      </c>
      <c r="AW17" s="1"/>
      <c r="AY17" s="1"/>
    </row>
    <row r="18" spans="2:51" s="7" customFormat="1">
      <c r="B18" s="86" t="s">
        <v>1852</v>
      </c>
      <c r="C18" s="80" t="s">
        <v>1853</v>
      </c>
      <c r="D18" s="93" t="s">
        <v>1528</v>
      </c>
      <c r="E18" s="93" t="s">
        <v>165</v>
      </c>
      <c r="F18" s="107">
        <v>43794</v>
      </c>
      <c r="G18" s="87">
        <v>4234767</v>
      </c>
      <c r="H18" s="89">
        <v>-1.9300000000000001E-2</v>
      </c>
      <c r="I18" s="87">
        <v>-0.81689999999999996</v>
      </c>
      <c r="J18" s="88">
        <f t="shared" si="0"/>
        <v>-7.8742591126427337E-4</v>
      </c>
      <c r="K18" s="88">
        <f>I18/'סכום נכסי הקרן'!$C$42</f>
        <v>-2.2473269844791851E-7</v>
      </c>
      <c r="AW18" s="1"/>
      <c r="AY18" s="1"/>
    </row>
    <row r="19" spans="2:51">
      <c r="B19" s="86" t="s">
        <v>1854</v>
      </c>
      <c r="C19" s="80" t="s">
        <v>1855</v>
      </c>
      <c r="D19" s="93" t="s">
        <v>1528</v>
      </c>
      <c r="E19" s="93" t="s">
        <v>165</v>
      </c>
      <c r="F19" s="107">
        <v>43810</v>
      </c>
      <c r="G19" s="87">
        <v>5627086</v>
      </c>
      <c r="H19" s="89">
        <v>0.29370000000000002</v>
      </c>
      <c r="I19" s="87">
        <v>16.525790000000001</v>
      </c>
      <c r="J19" s="88">
        <f t="shared" si="0"/>
        <v>1.5929532684676236E-2</v>
      </c>
      <c r="K19" s="88">
        <f>I19/'סכום נכסי הקרן'!$C$42</f>
        <v>4.5463158044847927E-6</v>
      </c>
    </row>
    <row r="20" spans="2:51">
      <c r="B20" s="86" t="s">
        <v>1856</v>
      </c>
      <c r="C20" s="80" t="s">
        <v>1857</v>
      </c>
      <c r="D20" s="93" t="s">
        <v>1528</v>
      </c>
      <c r="E20" s="93" t="s">
        <v>165</v>
      </c>
      <c r="F20" s="107">
        <v>43795</v>
      </c>
      <c r="G20" s="87">
        <v>1037040</v>
      </c>
      <c r="H20" s="89">
        <v>0.3881</v>
      </c>
      <c r="I20" s="87">
        <v>4.0248999999999997</v>
      </c>
      <c r="J20" s="88">
        <f t="shared" si="0"/>
        <v>3.879679948889183E-3</v>
      </c>
      <c r="K20" s="88">
        <f>I20/'סכום נכסי הקרן'!$C$42</f>
        <v>1.1072672762676303E-6</v>
      </c>
    </row>
    <row r="21" spans="2:51">
      <c r="B21" s="86" t="s">
        <v>1858</v>
      </c>
      <c r="C21" s="80" t="s">
        <v>1859</v>
      </c>
      <c r="D21" s="93" t="s">
        <v>1528</v>
      </c>
      <c r="E21" s="93" t="s">
        <v>165</v>
      </c>
      <c r="F21" s="107">
        <v>43724</v>
      </c>
      <c r="G21" s="87">
        <v>2773840</v>
      </c>
      <c r="H21" s="89">
        <v>1.2703</v>
      </c>
      <c r="I21" s="87">
        <v>35.236330000000002</v>
      </c>
      <c r="J21" s="88">
        <f t="shared" si="0"/>
        <v>3.3964988688772992E-2</v>
      </c>
      <c r="K21" s="88">
        <f>I21/'סכום נכסי הקרן'!$C$42</f>
        <v>9.6936657171028833E-6</v>
      </c>
    </row>
    <row r="22" spans="2:51">
      <c r="B22" s="86" t="s">
        <v>1860</v>
      </c>
      <c r="C22" s="80" t="s">
        <v>1861</v>
      </c>
      <c r="D22" s="93" t="s">
        <v>1528</v>
      </c>
      <c r="E22" s="93" t="s">
        <v>165</v>
      </c>
      <c r="F22" s="107">
        <v>43724</v>
      </c>
      <c r="G22" s="87">
        <v>5203950</v>
      </c>
      <c r="H22" s="89">
        <v>1.3271999999999999</v>
      </c>
      <c r="I22" s="87">
        <v>69.065579999999997</v>
      </c>
      <c r="J22" s="88">
        <f t="shared" si="0"/>
        <v>6.6573665403960786E-2</v>
      </c>
      <c r="K22" s="88">
        <f>I22/'סכום נכסי הקרן'!$C$42</f>
        <v>1.9000237683034144E-5</v>
      </c>
    </row>
    <row r="23" spans="2:51">
      <c r="B23" s="86" t="s">
        <v>1862</v>
      </c>
      <c r="C23" s="80" t="s">
        <v>1863</v>
      </c>
      <c r="D23" s="93" t="s">
        <v>1528</v>
      </c>
      <c r="E23" s="93" t="s">
        <v>165</v>
      </c>
      <c r="F23" s="107">
        <v>43712</v>
      </c>
      <c r="G23" s="87">
        <v>14687400</v>
      </c>
      <c r="H23" s="89">
        <v>1.391</v>
      </c>
      <c r="I23" s="87">
        <v>204.30798000000001</v>
      </c>
      <c r="J23" s="88">
        <f t="shared" si="0"/>
        <v>0.19693646386346303</v>
      </c>
      <c r="K23" s="88">
        <f>I23/'סכום נכסי הקרן'!$C$42</f>
        <v>5.6206002766364757E-5</v>
      </c>
    </row>
    <row r="24" spans="2:51">
      <c r="B24" s="86" t="s">
        <v>1864</v>
      </c>
      <c r="C24" s="80" t="s">
        <v>1865</v>
      </c>
      <c r="D24" s="93" t="s">
        <v>1528</v>
      </c>
      <c r="E24" s="93" t="s">
        <v>165</v>
      </c>
      <c r="F24" s="107">
        <v>43720</v>
      </c>
      <c r="G24" s="87">
        <v>1755300</v>
      </c>
      <c r="H24" s="89">
        <v>1.7445999999999999</v>
      </c>
      <c r="I24" s="87">
        <v>30.623189999999997</v>
      </c>
      <c r="J24" s="88">
        <f t="shared" si="0"/>
        <v>2.9518292681563203E-2</v>
      </c>
      <c r="K24" s="88">
        <f>I24/'סכום נכסי הקרן'!$C$42</f>
        <v>8.4245710904435214E-6</v>
      </c>
    </row>
    <row r="25" spans="2:51">
      <c r="B25" s="86" t="s">
        <v>1866</v>
      </c>
      <c r="C25" s="80" t="s">
        <v>1867</v>
      </c>
      <c r="D25" s="93" t="s">
        <v>1528</v>
      </c>
      <c r="E25" s="93" t="s">
        <v>165</v>
      </c>
      <c r="F25" s="107">
        <v>43767</v>
      </c>
      <c r="G25" s="87">
        <v>31605300</v>
      </c>
      <c r="H25" s="89">
        <v>1.6788000000000001</v>
      </c>
      <c r="I25" s="87">
        <v>530.58656000000008</v>
      </c>
      <c r="J25" s="88">
        <f t="shared" si="0"/>
        <v>0.51144277820121942</v>
      </c>
      <c r="K25" s="88">
        <f>I25/'סכום נכסי הקרן'!$C$42</f>
        <v>1.4596664143591437E-4</v>
      </c>
    </row>
    <row r="26" spans="2:51">
      <c r="B26" s="86" t="s">
        <v>1868</v>
      </c>
      <c r="C26" s="80" t="s">
        <v>1869</v>
      </c>
      <c r="D26" s="93" t="s">
        <v>1528</v>
      </c>
      <c r="E26" s="93" t="s">
        <v>165</v>
      </c>
      <c r="F26" s="107">
        <v>43773</v>
      </c>
      <c r="G26" s="87">
        <v>4565470</v>
      </c>
      <c r="H26" s="89">
        <v>1.8141</v>
      </c>
      <c r="I26" s="87">
        <v>82.820359999999994</v>
      </c>
      <c r="J26" s="88">
        <f t="shared" si="0"/>
        <v>7.983216727167973E-2</v>
      </c>
      <c r="K26" s="88">
        <f>I26/'סכום נכסי הקרן'!$C$42</f>
        <v>2.2784236735497674E-5</v>
      </c>
    </row>
    <row r="27" spans="2:51">
      <c r="B27" s="86" t="s">
        <v>1870</v>
      </c>
      <c r="C27" s="80" t="s">
        <v>1871</v>
      </c>
      <c r="D27" s="93" t="s">
        <v>1528</v>
      </c>
      <c r="E27" s="93" t="s">
        <v>165</v>
      </c>
      <c r="F27" s="107">
        <v>43711</v>
      </c>
      <c r="G27" s="87">
        <v>21367597.5</v>
      </c>
      <c r="H27" s="89">
        <v>1.8905000000000001</v>
      </c>
      <c r="I27" s="87">
        <v>403.94466999999997</v>
      </c>
      <c r="J27" s="88">
        <f t="shared" si="0"/>
        <v>0.38937017979568633</v>
      </c>
      <c r="K27" s="88">
        <f>I27/'סכום נכסי הקרן'!$C$42</f>
        <v>1.1112691359132568E-4</v>
      </c>
    </row>
    <row r="28" spans="2:51">
      <c r="B28" s="86" t="s">
        <v>1872</v>
      </c>
      <c r="C28" s="80" t="s">
        <v>1873</v>
      </c>
      <c r="D28" s="93" t="s">
        <v>1528</v>
      </c>
      <c r="E28" s="93" t="s">
        <v>165</v>
      </c>
      <c r="F28" s="107">
        <v>43641</v>
      </c>
      <c r="G28" s="87">
        <v>3530000</v>
      </c>
      <c r="H28" s="89">
        <v>2.8959000000000001</v>
      </c>
      <c r="I28" s="87">
        <v>102.22702000000001</v>
      </c>
      <c r="J28" s="88">
        <f t="shared" si="0"/>
        <v>9.8538626979227703E-2</v>
      </c>
      <c r="K28" s="88">
        <f>I28/'סכום נכסי הקרן'!$C$42</f>
        <v>2.812309224983393E-5</v>
      </c>
    </row>
    <row r="29" spans="2:51">
      <c r="B29" s="86" t="s">
        <v>1874</v>
      </c>
      <c r="C29" s="80" t="s">
        <v>1875</v>
      </c>
      <c r="D29" s="93" t="s">
        <v>1528</v>
      </c>
      <c r="E29" s="93" t="s">
        <v>165</v>
      </c>
      <c r="F29" s="107">
        <v>43620</v>
      </c>
      <c r="G29" s="87">
        <v>5759605</v>
      </c>
      <c r="H29" s="89">
        <v>2.9258999999999999</v>
      </c>
      <c r="I29" s="87">
        <v>168.51763</v>
      </c>
      <c r="J29" s="88">
        <f t="shared" si="0"/>
        <v>0.16243744444466354</v>
      </c>
      <c r="K29" s="88">
        <f>I29/'סכום נכסי הקרן'!$C$42</f>
        <v>4.6359923767839276E-5</v>
      </c>
    </row>
    <row r="30" spans="2:51">
      <c r="B30" s="86" t="s">
        <v>1876</v>
      </c>
      <c r="C30" s="80" t="s">
        <v>1877</v>
      </c>
      <c r="D30" s="93" t="s">
        <v>1528</v>
      </c>
      <c r="E30" s="93" t="s">
        <v>165</v>
      </c>
      <c r="F30" s="107">
        <v>43619</v>
      </c>
      <c r="G30" s="87">
        <v>3552000</v>
      </c>
      <c r="H30" s="89">
        <v>3.4217</v>
      </c>
      <c r="I30" s="87">
        <v>121.53828999999999</v>
      </c>
      <c r="J30" s="88">
        <f t="shared" si="0"/>
        <v>0.11715313839729651</v>
      </c>
      <c r="K30" s="88">
        <f>I30/'סכום נכסי הקרן'!$C$42</f>
        <v>3.3435705565486191E-5</v>
      </c>
    </row>
    <row r="31" spans="2:51">
      <c r="B31" s="86" t="s">
        <v>1878</v>
      </c>
      <c r="C31" s="80" t="s">
        <v>1879</v>
      </c>
      <c r="D31" s="93" t="s">
        <v>1528</v>
      </c>
      <c r="E31" s="93" t="s">
        <v>165</v>
      </c>
      <c r="F31" s="107">
        <v>43783</v>
      </c>
      <c r="G31" s="87">
        <v>10368000</v>
      </c>
      <c r="H31" s="89">
        <v>-0.44159999999999999</v>
      </c>
      <c r="I31" s="87">
        <v>-45.782470000000004</v>
      </c>
      <c r="J31" s="88">
        <f t="shared" si="0"/>
        <v>-4.4130619610330837E-2</v>
      </c>
      <c r="K31" s="88">
        <f>I31/'סכום נכסי הקרן'!$C$42</f>
        <v>-1.2594954124998014E-5</v>
      </c>
    </row>
    <row r="32" spans="2:51">
      <c r="B32" s="86" t="s">
        <v>1880</v>
      </c>
      <c r="C32" s="80" t="s">
        <v>1881</v>
      </c>
      <c r="D32" s="93" t="s">
        <v>1528</v>
      </c>
      <c r="E32" s="93" t="s">
        <v>165</v>
      </c>
      <c r="F32" s="107">
        <v>43768</v>
      </c>
      <c r="G32" s="87">
        <v>10368000</v>
      </c>
      <c r="H32" s="89">
        <v>-1.7030000000000001</v>
      </c>
      <c r="I32" s="87">
        <v>-176.56223</v>
      </c>
      <c r="J32" s="88">
        <f t="shared" si="0"/>
        <v>-0.17019179196058543</v>
      </c>
      <c r="K32" s="88">
        <f>I32/'סכום נכסי הקרן'!$C$42</f>
        <v>-4.8573027778041414E-5</v>
      </c>
    </row>
    <row r="33" spans="2:11">
      <c r="B33" s="83"/>
      <c r="C33" s="80"/>
      <c r="D33" s="80"/>
      <c r="E33" s="80"/>
      <c r="F33" s="80"/>
      <c r="G33" s="87"/>
      <c r="H33" s="89"/>
      <c r="I33" s="80"/>
      <c r="J33" s="88"/>
      <c r="K33" s="80"/>
    </row>
    <row r="34" spans="2:11">
      <c r="B34" s="99" t="s">
        <v>231</v>
      </c>
      <c r="C34" s="82"/>
      <c r="D34" s="82"/>
      <c r="E34" s="82"/>
      <c r="F34" s="82"/>
      <c r="G34" s="90"/>
      <c r="H34" s="92"/>
      <c r="I34" s="90">
        <v>-655.11304419499993</v>
      </c>
      <c r="J34" s="91">
        <f t="shared" si="0"/>
        <v>-0.63147629551519158</v>
      </c>
      <c r="K34" s="91">
        <f>I34/'סכום נכסי הקרן'!$C$42</f>
        <v>-1.802244120582358E-4</v>
      </c>
    </row>
    <row r="35" spans="2:11">
      <c r="B35" s="86" t="s">
        <v>1882</v>
      </c>
      <c r="C35" s="80" t="s">
        <v>1883</v>
      </c>
      <c r="D35" s="93" t="s">
        <v>1528</v>
      </c>
      <c r="E35" s="93" t="s">
        <v>167</v>
      </c>
      <c r="F35" s="107">
        <v>43810</v>
      </c>
      <c r="G35" s="87">
        <v>161866.47872399999</v>
      </c>
      <c r="H35" s="89">
        <v>1.0920000000000001</v>
      </c>
      <c r="I35" s="87">
        <v>1.7676122359999999</v>
      </c>
      <c r="J35" s="88">
        <f t="shared" si="0"/>
        <v>1.7038360578946993E-3</v>
      </c>
      <c r="K35" s="88">
        <f>I35/'סכום נכסי הקרן'!$C$42</f>
        <v>4.862777177204541E-7</v>
      </c>
    </row>
    <row r="36" spans="2:11">
      <c r="B36" s="86" t="s">
        <v>1884</v>
      </c>
      <c r="C36" s="80" t="s">
        <v>1885</v>
      </c>
      <c r="D36" s="93" t="s">
        <v>1528</v>
      </c>
      <c r="E36" s="93" t="s">
        <v>167</v>
      </c>
      <c r="F36" s="107">
        <v>43829</v>
      </c>
      <c r="G36" s="87">
        <v>156291.46</v>
      </c>
      <c r="H36" s="89">
        <v>0.17449999999999999</v>
      </c>
      <c r="I36" s="87">
        <v>0.27277999999999997</v>
      </c>
      <c r="J36" s="88">
        <f t="shared" si="0"/>
        <v>2.6293798515689614E-4</v>
      </c>
      <c r="K36" s="88">
        <f>I36/'סכום נכסי הקרן'!$C$42</f>
        <v>7.5042949544158654E-8</v>
      </c>
    </row>
    <row r="37" spans="2:11">
      <c r="B37" s="86" t="s">
        <v>1886</v>
      </c>
      <c r="C37" s="80" t="s">
        <v>1887</v>
      </c>
      <c r="D37" s="93" t="s">
        <v>1528</v>
      </c>
      <c r="E37" s="93" t="s">
        <v>167</v>
      </c>
      <c r="F37" s="107">
        <v>43699</v>
      </c>
      <c r="G37" s="87">
        <v>64625.956371</v>
      </c>
      <c r="H37" s="89">
        <v>6.5600000000000006E-2</v>
      </c>
      <c r="I37" s="87">
        <v>4.2370110999999995E-2</v>
      </c>
      <c r="J37" s="88">
        <f t="shared" si="0"/>
        <v>4.0841379929665085E-5</v>
      </c>
      <c r="K37" s="88">
        <f>I37/'סכום נכסי הקרן'!$C$42</f>
        <v>1.1656199508590811E-8</v>
      </c>
    </row>
    <row r="38" spans="2:11">
      <c r="B38" s="86" t="s">
        <v>1888</v>
      </c>
      <c r="C38" s="80" t="s">
        <v>1889</v>
      </c>
      <c r="D38" s="93" t="s">
        <v>1528</v>
      </c>
      <c r="E38" s="93" t="s">
        <v>167</v>
      </c>
      <c r="F38" s="107">
        <v>43704</v>
      </c>
      <c r="G38" s="87">
        <v>43083.97091399999</v>
      </c>
      <c r="H38" s="89">
        <v>-4.2200000000000001E-2</v>
      </c>
      <c r="I38" s="87">
        <v>-1.8163345000000001E-2</v>
      </c>
      <c r="J38" s="88">
        <f t="shared" si="0"/>
        <v>-1.7508004025256927E-5</v>
      </c>
      <c r="K38" s="88">
        <f>I38/'סכום נכסי הקרן'!$C$42</f>
        <v>-4.9968142180077231E-9</v>
      </c>
    </row>
    <row r="39" spans="2:11">
      <c r="B39" s="86" t="s">
        <v>1890</v>
      </c>
      <c r="C39" s="80" t="s">
        <v>1891</v>
      </c>
      <c r="D39" s="93" t="s">
        <v>1528</v>
      </c>
      <c r="E39" s="93" t="s">
        <v>168</v>
      </c>
      <c r="F39" s="107">
        <v>43766</v>
      </c>
      <c r="G39" s="87">
        <v>150470.1</v>
      </c>
      <c r="H39" s="89">
        <v>2.3408000000000002</v>
      </c>
      <c r="I39" s="87">
        <v>3.5221300000000002</v>
      </c>
      <c r="J39" s="88">
        <f t="shared" si="0"/>
        <v>3.3950500977368531E-3</v>
      </c>
      <c r="K39" s="88">
        <f>I39/'סכום נכסי הקרן'!$C$42</f>
        <v>9.6895308995515642E-7</v>
      </c>
    </row>
    <row r="40" spans="2:11">
      <c r="B40" s="86" t="s">
        <v>1892</v>
      </c>
      <c r="C40" s="80" t="s">
        <v>1893</v>
      </c>
      <c r="D40" s="93" t="s">
        <v>1528</v>
      </c>
      <c r="E40" s="93" t="s">
        <v>168</v>
      </c>
      <c r="F40" s="107">
        <v>43761</v>
      </c>
      <c r="G40" s="87">
        <v>168708.9</v>
      </c>
      <c r="H40" s="89">
        <v>2.0568</v>
      </c>
      <c r="I40" s="87">
        <v>3.47</v>
      </c>
      <c r="J40" s="88">
        <f t="shared" si="0"/>
        <v>3.3448009696254483E-3</v>
      </c>
      <c r="K40" s="88">
        <f>I40/'סכום נכסי הקרן'!$C$42</f>
        <v>9.546119030655862E-7</v>
      </c>
    </row>
    <row r="41" spans="2:11">
      <c r="B41" s="86" t="s">
        <v>1894</v>
      </c>
      <c r="C41" s="80" t="s">
        <v>1895</v>
      </c>
      <c r="D41" s="93" t="s">
        <v>1528</v>
      </c>
      <c r="E41" s="93" t="s">
        <v>168</v>
      </c>
      <c r="F41" s="107">
        <v>43815</v>
      </c>
      <c r="G41" s="87">
        <v>227985</v>
      </c>
      <c r="H41" s="89">
        <v>-1.3997999999999999</v>
      </c>
      <c r="I41" s="87">
        <v>-3.1914000000000002</v>
      </c>
      <c r="J41" s="88">
        <f t="shared" si="0"/>
        <v>-3.076252972467624E-3</v>
      </c>
      <c r="K41" s="88">
        <f>I41/'סכום נכסי הקרן'!$C$42</f>
        <v>-8.7796784652550765E-7</v>
      </c>
    </row>
    <row r="42" spans="2:11">
      <c r="B42" s="86" t="s">
        <v>1896</v>
      </c>
      <c r="C42" s="80" t="s">
        <v>1897</v>
      </c>
      <c r="D42" s="93" t="s">
        <v>1528</v>
      </c>
      <c r="E42" s="93" t="s">
        <v>165</v>
      </c>
      <c r="F42" s="107">
        <v>43773</v>
      </c>
      <c r="G42" s="87">
        <v>111475</v>
      </c>
      <c r="H42" s="89">
        <v>-0.57130000000000003</v>
      </c>
      <c r="I42" s="87">
        <v>-0.63682000000000005</v>
      </c>
      <c r="J42" s="88">
        <f t="shared" si="0"/>
        <v>-6.1384327189535387E-4</v>
      </c>
      <c r="K42" s="88">
        <f>I42/'סכום נכסי הקרן'!$C$42</f>
        <v>-1.7519191703464742E-7</v>
      </c>
    </row>
    <row r="43" spans="2:11">
      <c r="B43" s="86" t="s">
        <v>1898</v>
      </c>
      <c r="C43" s="80" t="s">
        <v>1899</v>
      </c>
      <c r="D43" s="93" t="s">
        <v>1528</v>
      </c>
      <c r="E43" s="93" t="s">
        <v>165</v>
      </c>
      <c r="F43" s="107">
        <v>43829</v>
      </c>
      <c r="G43" s="87">
        <v>330517.01</v>
      </c>
      <c r="H43" s="89">
        <v>0.57550000000000001</v>
      </c>
      <c r="I43" s="87">
        <v>1.90219</v>
      </c>
      <c r="J43" s="88">
        <f t="shared" si="0"/>
        <v>1.8335582006950523E-3</v>
      </c>
      <c r="K43" s="88">
        <f>I43/'סכום נכסי הקרן'!$C$42</f>
        <v>5.2330063858568508E-7</v>
      </c>
    </row>
    <row r="44" spans="2:11">
      <c r="B44" s="86" t="s">
        <v>1900</v>
      </c>
      <c r="C44" s="80" t="s">
        <v>1901</v>
      </c>
      <c r="D44" s="93" t="s">
        <v>1528</v>
      </c>
      <c r="E44" s="93" t="s">
        <v>165</v>
      </c>
      <c r="F44" s="107">
        <v>43648</v>
      </c>
      <c r="G44" s="87">
        <v>675033.04</v>
      </c>
      <c r="H44" s="89">
        <v>-0.33479999999999999</v>
      </c>
      <c r="I44" s="87">
        <v>-2.2602500000000001</v>
      </c>
      <c r="J44" s="88">
        <f t="shared" si="0"/>
        <v>-2.1786992482985359E-3</v>
      </c>
      <c r="K44" s="88">
        <f>I44/'סכום נכסי הקרן'!$C$42</f>
        <v>-6.2180448239308097E-7</v>
      </c>
    </row>
    <row r="45" spans="2:11">
      <c r="B45" s="86" t="s">
        <v>1902</v>
      </c>
      <c r="C45" s="80" t="s">
        <v>1903</v>
      </c>
      <c r="D45" s="93" t="s">
        <v>1528</v>
      </c>
      <c r="E45" s="93" t="s">
        <v>165</v>
      </c>
      <c r="F45" s="107">
        <v>43622</v>
      </c>
      <c r="G45" s="87">
        <v>662855.03</v>
      </c>
      <c r="H45" s="89">
        <v>-2.5358000000000001</v>
      </c>
      <c r="I45" s="87">
        <v>-16.80885</v>
      </c>
      <c r="J45" s="88">
        <f t="shared" si="0"/>
        <v>-1.6202379763195593E-2</v>
      </c>
      <c r="K45" s="88">
        <f>I45/'סכום נכסי הקרן'!$C$42</f>
        <v>-4.62418682617982E-6</v>
      </c>
    </row>
    <row r="46" spans="2:11">
      <c r="B46" s="86" t="s">
        <v>1904</v>
      </c>
      <c r="C46" s="80" t="s">
        <v>1905</v>
      </c>
      <c r="D46" s="93" t="s">
        <v>1528</v>
      </c>
      <c r="E46" s="93" t="s">
        <v>167</v>
      </c>
      <c r="F46" s="107">
        <v>43741</v>
      </c>
      <c r="G46" s="87">
        <v>169982.45324</v>
      </c>
      <c r="H46" s="89">
        <v>-1.8286</v>
      </c>
      <c r="I46" s="87">
        <v>-3.1083388409999997</v>
      </c>
      <c r="J46" s="88">
        <f t="shared" si="0"/>
        <v>-2.9961886943231241E-3</v>
      </c>
      <c r="K46" s="88">
        <f>I46/'סכום נכסי הקרן'!$C$42</f>
        <v>-8.5511736495091864E-7</v>
      </c>
    </row>
    <row r="47" spans="2:11">
      <c r="B47" s="86" t="s">
        <v>1906</v>
      </c>
      <c r="C47" s="80" t="s">
        <v>1907</v>
      </c>
      <c r="D47" s="93" t="s">
        <v>1528</v>
      </c>
      <c r="E47" s="93" t="s">
        <v>167</v>
      </c>
      <c r="F47" s="107">
        <v>43745</v>
      </c>
      <c r="G47" s="87">
        <v>85080.299857999998</v>
      </c>
      <c r="H47" s="89">
        <v>-1.7223999999999999</v>
      </c>
      <c r="I47" s="87">
        <v>-1.4654273939999998</v>
      </c>
      <c r="J47" s="88">
        <f t="shared" si="0"/>
        <v>-1.4125541695581823E-3</v>
      </c>
      <c r="K47" s="88">
        <f>I47/'סכום נכסי הקרן'!$C$42</f>
        <v>-4.0314536985325132E-7</v>
      </c>
    </row>
    <row r="48" spans="2:11">
      <c r="B48" s="86" t="s">
        <v>1908</v>
      </c>
      <c r="C48" s="80" t="s">
        <v>1909</v>
      </c>
      <c r="D48" s="93" t="s">
        <v>1528</v>
      </c>
      <c r="E48" s="93" t="s">
        <v>167</v>
      </c>
      <c r="F48" s="107">
        <v>43754</v>
      </c>
      <c r="G48" s="87">
        <v>63954.201032999998</v>
      </c>
      <c r="H48" s="89">
        <v>-1.1773</v>
      </c>
      <c r="I48" s="87">
        <v>-0.75290473400000013</v>
      </c>
      <c r="J48" s="88">
        <f t="shared" si="0"/>
        <v>-7.2573962084114996E-4</v>
      </c>
      <c r="K48" s="88">
        <f>I48/'סכום נכסי הקרן'!$C$42</f>
        <v>-2.0712732592242911E-7</v>
      </c>
    </row>
    <row r="49" spans="2:11">
      <c r="B49" s="86" t="s">
        <v>1910</v>
      </c>
      <c r="C49" s="80" t="s">
        <v>1911</v>
      </c>
      <c r="D49" s="93" t="s">
        <v>1528</v>
      </c>
      <c r="E49" s="93" t="s">
        <v>167</v>
      </c>
      <c r="F49" s="107">
        <v>43754</v>
      </c>
      <c r="G49" s="87">
        <v>63971.478169000002</v>
      </c>
      <c r="H49" s="89">
        <v>-1.1499999999999999</v>
      </c>
      <c r="I49" s="87">
        <v>-0.73564478300000002</v>
      </c>
      <c r="J49" s="88">
        <f t="shared" si="0"/>
        <v>-7.091024159879834E-4</v>
      </c>
      <c r="K49" s="88">
        <f>I49/'סכום נכסי הקרן'!$C$42</f>
        <v>-2.0237903927374643E-7</v>
      </c>
    </row>
    <row r="50" spans="2:11">
      <c r="B50" s="86" t="s">
        <v>1912</v>
      </c>
      <c r="C50" s="80" t="s">
        <v>1913</v>
      </c>
      <c r="D50" s="93" t="s">
        <v>1528</v>
      </c>
      <c r="E50" s="93" t="s">
        <v>167</v>
      </c>
      <c r="F50" s="107">
        <v>43745</v>
      </c>
      <c r="G50" s="87">
        <v>85410.485136999996</v>
      </c>
      <c r="H50" s="89">
        <v>-1.45</v>
      </c>
      <c r="I50" s="87">
        <v>-1.2384828270000001</v>
      </c>
      <c r="J50" s="88">
        <f t="shared" si="0"/>
        <v>-1.1937978560847453E-3</v>
      </c>
      <c r="K50" s="88">
        <f>I50/'סכום נכסי הקרן'!$C$42</f>
        <v>-3.4071194478285797E-7</v>
      </c>
    </row>
    <row r="51" spans="2:11">
      <c r="B51" s="86" t="s">
        <v>1914</v>
      </c>
      <c r="C51" s="80" t="s">
        <v>1915</v>
      </c>
      <c r="D51" s="93" t="s">
        <v>1528</v>
      </c>
      <c r="E51" s="93" t="s">
        <v>167</v>
      </c>
      <c r="F51" s="107">
        <v>43745</v>
      </c>
      <c r="G51" s="87">
        <v>85410.485136999996</v>
      </c>
      <c r="H51" s="89">
        <v>-1.45</v>
      </c>
      <c r="I51" s="87">
        <v>-1.2384828270000001</v>
      </c>
      <c r="J51" s="88">
        <f t="shared" si="0"/>
        <v>-1.1937978560847453E-3</v>
      </c>
      <c r="K51" s="88">
        <f>I51/'סכום נכסי הקרן'!$C$42</f>
        <v>-3.4071194478285797E-7</v>
      </c>
    </row>
    <row r="52" spans="2:11">
      <c r="B52" s="86" t="s">
        <v>1916</v>
      </c>
      <c r="C52" s="80" t="s">
        <v>1917</v>
      </c>
      <c r="D52" s="93" t="s">
        <v>1528</v>
      </c>
      <c r="E52" s="93" t="s">
        <v>167</v>
      </c>
      <c r="F52" s="107">
        <v>43753</v>
      </c>
      <c r="G52" s="87">
        <v>106803.41974</v>
      </c>
      <c r="H52" s="89">
        <v>-1.2925</v>
      </c>
      <c r="I52" s="87">
        <v>-1.380423959</v>
      </c>
      <c r="J52" s="88">
        <f t="shared" si="0"/>
        <v>-1.330617693532392E-3</v>
      </c>
      <c r="K52" s="88">
        <f>I52/'סכום נכסי הקרן'!$C$42</f>
        <v>-3.7976055980931428E-7</v>
      </c>
    </row>
    <row r="53" spans="2:11">
      <c r="B53" s="86" t="s">
        <v>1918</v>
      </c>
      <c r="C53" s="80" t="s">
        <v>1919</v>
      </c>
      <c r="D53" s="93" t="s">
        <v>1528</v>
      </c>
      <c r="E53" s="93" t="s">
        <v>167</v>
      </c>
      <c r="F53" s="107">
        <v>43720</v>
      </c>
      <c r="G53" s="87">
        <v>500205.89</v>
      </c>
      <c r="H53" s="89">
        <v>-1.3617999999999999</v>
      </c>
      <c r="I53" s="87">
        <v>-6.8118599999999994</v>
      </c>
      <c r="J53" s="88">
        <f t="shared" si="0"/>
        <v>-6.5660852832717014E-3</v>
      </c>
      <c r="K53" s="88">
        <f>I53/'סכום נכסי הקרן'!$C$42</f>
        <v>-1.8739719417914531E-6</v>
      </c>
    </row>
    <row r="54" spans="2:11">
      <c r="B54" s="86" t="s">
        <v>1920</v>
      </c>
      <c r="C54" s="80" t="s">
        <v>1921</v>
      </c>
      <c r="D54" s="93" t="s">
        <v>1528</v>
      </c>
      <c r="E54" s="93" t="s">
        <v>167</v>
      </c>
      <c r="F54" s="107">
        <v>43731</v>
      </c>
      <c r="G54" s="87">
        <v>365846.98</v>
      </c>
      <c r="H54" s="89">
        <v>-1.2759</v>
      </c>
      <c r="I54" s="87">
        <v>-4.6678199999999999</v>
      </c>
      <c r="J54" s="88">
        <f t="shared" si="0"/>
        <v>-4.4994031302700455E-3</v>
      </c>
      <c r="K54" s="88">
        <f>I54/'סכום נכסי הקרן'!$C$42</f>
        <v>-1.2841373295007503E-6</v>
      </c>
    </row>
    <row r="55" spans="2:11">
      <c r="B55" s="86" t="s">
        <v>1922</v>
      </c>
      <c r="C55" s="80" t="s">
        <v>1923</v>
      </c>
      <c r="D55" s="93" t="s">
        <v>1528</v>
      </c>
      <c r="E55" s="93" t="s">
        <v>167</v>
      </c>
      <c r="F55" s="107">
        <v>43766</v>
      </c>
      <c r="G55" s="87">
        <v>79933.778699999995</v>
      </c>
      <c r="H55" s="89">
        <v>-0.64859999999999995</v>
      </c>
      <c r="I55" s="87">
        <v>-0.51841580599999992</v>
      </c>
      <c r="J55" s="88">
        <f t="shared" si="0"/>
        <v>-4.9971115002246625E-4</v>
      </c>
      <c r="K55" s="88">
        <f>I55/'סכום נכסי הקרן'!$C$42</f>
        <v>-1.4261841473917567E-7</v>
      </c>
    </row>
    <row r="56" spans="2:11">
      <c r="B56" s="86" t="s">
        <v>1924</v>
      </c>
      <c r="C56" s="80" t="s">
        <v>1925</v>
      </c>
      <c r="D56" s="93" t="s">
        <v>1528</v>
      </c>
      <c r="E56" s="93" t="s">
        <v>167</v>
      </c>
      <c r="F56" s="107">
        <v>43719</v>
      </c>
      <c r="G56" s="87">
        <v>107674.955303</v>
      </c>
      <c r="H56" s="89">
        <v>-0.59650000000000003</v>
      </c>
      <c r="I56" s="87">
        <v>-0.64225947099999992</v>
      </c>
      <c r="J56" s="88">
        <f t="shared" si="0"/>
        <v>-6.1908648453946023E-4</v>
      </c>
      <c r="K56" s="88">
        <f>I56/'סכום נכסי הקרן'!$C$42</f>
        <v>-1.7668833886835923E-7</v>
      </c>
    </row>
    <row r="57" spans="2:11">
      <c r="B57" s="86" t="s">
        <v>1926</v>
      </c>
      <c r="C57" s="80" t="s">
        <v>1927</v>
      </c>
      <c r="D57" s="93" t="s">
        <v>1528</v>
      </c>
      <c r="E57" s="93" t="s">
        <v>167</v>
      </c>
      <c r="F57" s="107">
        <v>43719</v>
      </c>
      <c r="G57" s="87">
        <v>107681.67418999999</v>
      </c>
      <c r="H57" s="89">
        <v>-0.59019999999999995</v>
      </c>
      <c r="I57" s="87">
        <v>-0.63558482199999999</v>
      </c>
      <c r="J57" s="88">
        <f t="shared" si="0"/>
        <v>-6.1265265962674861E-4</v>
      </c>
      <c r="K57" s="88">
        <f>I57/'סכום נכסי הקרן'!$C$42</f>
        <v>-1.7485211426196593E-7</v>
      </c>
    </row>
    <row r="58" spans="2:11">
      <c r="B58" s="86" t="s">
        <v>1928</v>
      </c>
      <c r="C58" s="80" t="s">
        <v>1929</v>
      </c>
      <c r="D58" s="93" t="s">
        <v>1528</v>
      </c>
      <c r="E58" s="93" t="s">
        <v>167</v>
      </c>
      <c r="F58" s="107">
        <v>43774</v>
      </c>
      <c r="G58" s="87">
        <v>193950.72</v>
      </c>
      <c r="H58" s="89">
        <v>-0.54920000000000002</v>
      </c>
      <c r="I58" s="87">
        <v>-1.0652600000000001</v>
      </c>
      <c r="J58" s="88">
        <f t="shared" si="0"/>
        <v>-1.0268249800873791E-3</v>
      </c>
      <c r="K58" s="88">
        <f>I58/'סכום נכסי הקרן'!$C$42</f>
        <v>-2.9305760111228998E-7</v>
      </c>
    </row>
    <row r="59" spans="2:11">
      <c r="B59" s="86" t="s">
        <v>1930</v>
      </c>
      <c r="C59" s="80" t="s">
        <v>1931</v>
      </c>
      <c r="D59" s="93" t="s">
        <v>1528</v>
      </c>
      <c r="E59" s="93" t="s">
        <v>167</v>
      </c>
      <c r="F59" s="107">
        <v>43760</v>
      </c>
      <c r="G59" s="87">
        <v>129319.36822899999</v>
      </c>
      <c r="H59" s="89">
        <v>-0.34300000000000003</v>
      </c>
      <c r="I59" s="87">
        <v>-0.44354740299999995</v>
      </c>
      <c r="J59" s="88">
        <f t="shared" si="0"/>
        <v>-4.2754402986433694E-4</v>
      </c>
      <c r="K59" s="88">
        <f>I59/'סכום נכסי הקרן'!$C$42</f>
        <v>-1.2202179552669406E-7</v>
      </c>
    </row>
    <row r="60" spans="2:11">
      <c r="B60" s="86" t="s">
        <v>1932</v>
      </c>
      <c r="C60" s="80" t="s">
        <v>1933</v>
      </c>
      <c r="D60" s="93" t="s">
        <v>1528</v>
      </c>
      <c r="E60" s="93" t="s">
        <v>167</v>
      </c>
      <c r="F60" s="107">
        <v>43804</v>
      </c>
      <c r="G60" s="87">
        <v>2166052.08</v>
      </c>
      <c r="H60" s="89">
        <v>-1.0103</v>
      </c>
      <c r="I60" s="87">
        <v>-21.884319999999999</v>
      </c>
      <c r="J60" s="88">
        <f t="shared" si="0"/>
        <v>-2.1094724713427545E-2</v>
      </c>
      <c r="K60" s="88">
        <f>I60/'סכום נכסי הקרן'!$C$42</f>
        <v>-6.0204704214686646E-6</v>
      </c>
    </row>
    <row r="61" spans="2:11">
      <c r="B61" s="86" t="s">
        <v>1934</v>
      </c>
      <c r="C61" s="80" t="s">
        <v>1935</v>
      </c>
      <c r="D61" s="93" t="s">
        <v>1528</v>
      </c>
      <c r="E61" s="93" t="s">
        <v>167</v>
      </c>
      <c r="F61" s="107">
        <v>43762</v>
      </c>
      <c r="G61" s="87">
        <v>130650.861487</v>
      </c>
      <c r="H61" s="89">
        <v>-0.3286</v>
      </c>
      <c r="I61" s="87">
        <v>-0.42932358300000001</v>
      </c>
      <c r="J61" s="88">
        <f t="shared" si="0"/>
        <v>-4.1383341115316182E-4</v>
      </c>
      <c r="K61" s="88">
        <f>I61/'סכום נכסי הקרן'!$C$42</f>
        <v>-1.1810876155578274E-7</v>
      </c>
    </row>
    <row r="62" spans="2:11">
      <c r="B62" s="86" t="s">
        <v>1936</v>
      </c>
      <c r="C62" s="80" t="s">
        <v>1937</v>
      </c>
      <c r="D62" s="93" t="s">
        <v>1528</v>
      </c>
      <c r="E62" s="93" t="s">
        <v>167</v>
      </c>
      <c r="F62" s="107">
        <v>43760</v>
      </c>
      <c r="G62" s="87">
        <v>107842.927465</v>
      </c>
      <c r="H62" s="89">
        <v>-0.27179999999999999</v>
      </c>
      <c r="I62" s="87">
        <v>-0.29309123799999998</v>
      </c>
      <c r="J62" s="88">
        <f t="shared" si="0"/>
        <v>-2.8251638531732651E-4</v>
      </c>
      <c r="K62" s="88">
        <f>I62/'סכום נכסי הקרן'!$C$42</f>
        <v>-8.0630658351305068E-8</v>
      </c>
    </row>
    <row r="63" spans="2:11">
      <c r="B63" s="86" t="s">
        <v>1938</v>
      </c>
      <c r="C63" s="80" t="s">
        <v>1939</v>
      </c>
      <c r="D63" s="93" t="s">
        <v>1528</v>
      </c>
      <c r="E63" s="93" t="s">
        <v>167</v>
      </c>
      <c r="F63" s="107">
        <v>43768</v>
      </c>
      <c r="G63" s="87">
        <v>47514.237586000003</v>
      </c>
      <c r="H63" s="89">
        <v>-0.30780000000000002</v>
      </c>
      <c r="I63" s="87">
        <v>-0.14624079699999998</v>
      </c>
      <c r="J63" s="88">
        <f t="shared" si="0"/>
        <v>-1.4096436876207441E-4</v>
      </c>
      <c r="K63" s="88">
        <f>I63/'סכום נכסי הקרן'!$C$42</f>
        <v>-4.0231471334293377E-8</v>
      </c>
    </row>
    <row r="64" spans="2:11">
      <c r="B64" s="86" t="s">
        <v>1940</v>
      </c>
      <c r="C64" s="80" t="s">
        <v>1941</v>
      </c>
      <c r="D64" s="93" t="s">
        <v>1528</v>
      </c>
      <c r="E64" s="93" t="s">
        <v>167</v>
      </c>
      <c r="F64" s="107">
        <v>43675</v>
      </c>
      <c r="G64" s="87">
        <v>129854.95946699999</v>
      </c>
      <c r="H64" s="89">
        <v>0.33789999999999998</v>
      </c>
      <c r="I64" s="87">
        <v>0.43881160999999996</v>
      </c>
      <c r="J64" s="88">
        <f t="shared" si="0"/>
        <v>4.2297910622792617E-4</v>
      </c>
      <c r="K64" s="88">
        <f>I64/'סכום נכסי הקרן'!$C$42</f>
        <v>1.2071895853296072E-7</v>
      </c>
    </row>
    <row r="65" spans="2:11">
      <c r="B65" s="86" t="s">
        <v>1942</v>
      </c>
      <c r="C65" s="80" t="s">
        <v>1943</v>
      </c>
      <c r="D65" s="93" t="s">
        <v>1528</v>
      </c>
      <c r="E65" s="93" t="s">
        <v>167</v>
      </c>
      <c r="F65" s="107">
        <v>43677</v>
      </c>
      <c r="G65" s="87">
        <v>86746.583708999999</v>
      </c>
      <c r="H65" s="89">
        <v>0.54059999999999997</v>
      </c>
      <c r="I65" s="87">
        <v>0.468976122</v>
      </c>
      <c r="J65" s="88">
        <f t="shared" si="0"/>
        <v>4.5205527020080187E-4</v>
      </c>
      <c r="K65" s="88">
        <f>I65/'סכום נכסי הקרן'!$C$42</f>
        <v>1.2901734533565949E-7</v>
      </c>
    </row>
    <row r="66" spans="2:11">
      <c r="B66" s="86" t="s">
        <v>1944</v>
      </c>
      <c r="C66" s="80" t="s">
        <v>1945</v>
      </c>
      <c r="D66" s="93" t="s">
        <v>1528</v>
      </c>
      <c r="E66" s="93" t="s">
        <v>167</v>
      </c>
      <c r="F66" s="107">
        <v>43677</v>
      </c>
      <c r="G66" s="87">
        <v>86746.583708999999</v>
      </c>
      <c r="H66" s="89">
        <v>0.54059999999999997</v>
      </c>
      <c r="I66" s="87">
        <v>0.468976122</v>
      </c>
      <c r="J66" s="88">
        <f t="shared" si="0"/>
        <v>4.5205527020080187E-4</v>
      </c>
      <c r="K66" s="88">
        <f>I66/'סכום נכסי הקרן'!$C$42</f>
        <v>1.2901734533565949E-7</v>
      </c>
    </row>
    <row r="67" spans="2:11">
      <c r="B67" s="86" t="s">
        <v>1946</v>
      </c>
      <c r="C67" s="80" t="s">
        <v>1947</v>
      </c>
      <c r="D67" s="93" t="s">
        <v>1528</v>
      </c>
      <c r="E67" s="93" t="s">
        <v>167</v>
      </c>
      <c r="F67" s="107">
        <v>43676</v>
      </c>
      <c r="G67" s="87">
        <v>151846.83481</v>
      </c>
      <c r="H67" s="89">
        <v>0.56699999999999995</v>
      </c>
      <c r="I67" s="87">
        <v>0.86098143400000005</v>
      </c>
      <c r="J67" s="88">
        <f t="shared" si="0"/>
        <v>8.2991686895467112E-4</v>
      </c>
      <c r="K67" s="88">
        <f>I67/'סכום נכסי הקרן'!$C$42</f>
        <v>2.3685969026365341E-7</v>
      </c>
    </row>
    <row r="68" spans="2:11">
      <c r="B68" s="86" t="s">
        <v>1948</v>
      </c>
      <c r="C68" s="80" t="s">
        <v>1949</v>
      </c>
      <c r="D68" s="93" t="s">
        <v>1528</v>
      </c>
      <c r="E68" s="93" t="s">
        <v>167</v>
      </c>
      <c r="F68" s="107">
        <v>43634</v>
      </c>
      <c r="G68" s="87">
        <v>757602.1</v>
      </c>
      <c r="H68" s="89">
        <v>1.6572</v>
      </c>
      <c r="I68" s="87">
        <v>12.554870000000001</v>
      </c>
      <c r="J68" s="88">
        <f t="shared" si="0"/>
        <v>1.2101885115135866E-2</v>
      </c>
      <c r="K68" s="88">
        <f>I68/'סכום נכסי הקרן'!$C$42</f>
        <v>3.4538986580521714E-6</v>
      </c>
    </row>
    <row r="69" spans="2:11">
      <c r="B69" s="86" t="s">
        <v>1950</v>
      </c>
      <c r="C69" s="80" t="s">
        <v>1951</v>
      </c>
      <c r="D69" s="93" t="s">
        <v>1528</v>
      </c>
      <c r="E69" s="93" t="s">
        <v>167</v>
      </c>
      <c r="F69" s="107">
        <v>43634</v>
      </c>
      <c r="G69" s="87">
        <v>1484163.65</v>
      </c>
      <c r="H69" s="89">
        <v>1.7028000000000001</v>
      </c>
      <c r="I69" s="87">
        <v>25.272080000000003</v>
      </c>
      <c r="J69" s="88">
        <f t="shared" si="0"/>
        <v>2.4360252936153286E-2</v>
      </c>
      <c r="K69" s="88">
        <f>I69/'סכום נכסי הקרן'!$C$42</f>
        <v>6.9524577473273021E-6</v>
      </c>
    </row>
    <row r="70" spans="2:11">
      <c r="B70" s="86" t="s">
        <v>1952</v>
      </c>
      <c r="C70" s="80" t="s">
        <v>1953</v>
      </c>
      <c r="D70" s="93" t="s">
        <v>1528</v>
      </c>
      <c r="E70" s="93" t="s">
        <v>167</v>
      </c>
      <c r="F70" s="107">
        <v>43627</v>
      </c>
      <c r="G70" s="87">
        <v>3660740.35</v>
      </c>
      <c r="H70" s="89">
        <v>2.4586000000000001</v>
      </c>
      <c r="I70" s="87">
        <v>90.001720000000006</v>
      </c>
      <c r="J70" s="88">
        <f t="shared" si="0"/>
        <v>8.6754420842639221E-2</v>
      </c>
      <c r="K70" s="88">
        <f>I70/'סכום נכסי הקרן'!$C$42</f>
        <v>2.47598597142294E-5</v>
      </c>
    </row>
    <row r="71" spans="2:11">
      <c r="B71" s="86" t="s">
        <v>1954</v>
      </c>
      <c r="C71" s="80" t="s">
        <v>1955</v>
      </c>
      <c r="D71" s="93" t="s">
        <v>1528</v>
      </c>
      <c r="E71" s="93" t="s">
        <v>167</v>
      </c>
      <c r="F71" s="107">
        <v>43628</v>
      </c>
      <c r="G71" s="87">
        <v>179135.71</v>
      </c>
      <c r="H71" s="89">
        <v>2.4127999999999998</v>
      </c>
      <c r="I71" s="87">
        <v>4.32226</v>
      </c>
      <c r="J71" s="88">
        <f t="shared" si="0"/>
        <v>4.1663110775139161E-3</v>
      </c>
      <c r="K71" s="88">
        <f>I71/'סכום נכסי הקרן'!$C$42</f>
        <v>1.1890722893787492E-6</v>
      </c>
    </row>
    <row r="72" spans="2:11">
      <c r="B72" s="86" t="s">
        <v>1956</v>
      </c>
      <c r="C72" s="80" t="s">
        <v>1957</v>
      </c>
      <c r="D72" s="93" t="s">
        <v>1528</v>
      </c>
      <c r="E72" s="93" t="s">
        <v>167</v>
      </c>
      <c r="F72" s="107">
        <v>43643</v>
      </c>
      <c r="G72" s="87">
        <v>561859.19999999995</v>
      </c>
      <c r="H72" s="89">
        <v>2.8077000000000001</v>
      </c>
      <c r="I72" s="87">
        <v>15.775370000000001</v>
      </c>
      <c r="J72" s="88">
        <f t="shared" si="0"/>
        <v>1.520618814760813E-2</v>
      </c>
      <c r="K72" s="88">
        <f>I72/'סכום נכסי הקרן'!$C$42</f>
        <v>4.3398720395572779E-6</v>
      </c>
    </row>
    <row r="73" spans="2:11">
      <c r="B73" s="86" t="s">
        <v>1958</v>
      </c>
      <c r="C73" s="80" t="s">
        <v>1959</v>
      </c>
      <c r="D73" s="93" t="s">
        <v>1528</v>
      </c>
      <c r="E73" s="93" t="s">
        <v>167</v>
      </c>
      <c r="F73" s="107">
        <v>43641</v>
      </c>
      <c r="G73" s="87">
        <v>945313.63</v>
      </c>
      <c r="H73" s="89">
        <v>3.0316999999999998</v>
      </c>
      <c r="I73" s="87">
        <v>28.659279999999999</v>
      </c>
      <c r="J73" s="88">
        <f t="shared" si="0"/>
        <v>2.7625241363909859E-2</v>
      </c>
      <c r="K73" s="88">
        <f>I73/'סכום נכסי הקרן'!$C$42</f>
        <v>7.8842910147808321E-6</v>
      </c>
    </row>
    <row r="74" spans="2:11">
      <c r="B74" s="86" t="s">
        <v>1960</v>
      </c>
      <c r="C74" s="80" t="s">
        <v>1961</v>
      </c>
      <c r="D74" s="93" t="s">
        <v>1528</v>
      </c>
      <c r="E74" s="93" t="s">
        <v>168</v>
      </c>
      <c r="F74" s="107">
        <v>43713</v>
      </c>
      <c r="G74" s="87">
        <v>4610453.4000000004</v>
      </c>
      <c r="H74" s="89">
        <v>-7.0385999999999997</v>
      </c>
      <c r="I74" s="87">
        <v>-324.51259000000005</v>
      </c>
      <c r="J74" s="88">
        <f t="shared" si="0"/>
        <v>-0.31280404198491807</v>
      </c>
      <c r="K74" s="88">
        <f>I74/'סכום נכסי הקרן'!$C$42</f>
        <v>-8.9274807235919981E-5</v>
      </c>
    </row>
    <row r="75" spans="2:11">
      <c r="B75" s="86" t="s">
        <v>1962</v>
      </c>
      <c r="C75" s="80" t="s">
        <v>1963</v>
      </c>
      <c r="D75" s="93" t="s">
        <v>1528</v>
      </c>
      <c r="E75" s="93" t="s">
        <v>168</v>
      </c>
      <c r="F75" s="107">
        <v>43741</v>
      </c>
      <c r="G75" s="87">
        <v>2117614.75</v>
      </c>
      <c r="H75" s="89">
        <v>-6.9724000000000004</v>
      </c>
      <c r="I75" s="87">
        <v>-147.64756</v>
      </c>
      <c r="J75" s="88">
        <f t="shared" si="0"/>
        <v>-0.1423203751731503</v>
      </c>
      <c r="K75" s="88">
        <f>I75/'סכום נכסי הקרן'!$C$42</f>
        <v>-4.0618477877403545E-5</v>
      </c>
    </row>
    <row r="76" spans="2:11">
      <c r="B76" s="86" t="s">
        <v>1964</v>
      </c>
      <c r="C76" s="80" t="s">
        <v>1965</v>
      </c>
      <c r="D76" s="93" t="s">
        <v>1528</v>
      </c>
      <c r="E76" s="93" t="s">
        <v>168</v>
      </c>
      <c r="F76" s="107">
        <v>43741</v>
      </c>
      <c r="G76" s="87">
        <v>4385987.1399999997</v>
      </c>
      <c r="H76" s="89">
        <v>-6.9474999999999998</v>
      </c>
      <c r="I76" s="87">
        <v>-304.71507000000003</v>
      </c>
      <c r="J76" s="88">
        <f t="shared" ref="J76:J78" si="1">I76/$I$11</f>
        <v>-0.29372082466728716</v>
      </c>
      <c r="K76" s="88">
        <f>I76/'סכום נכסי הקרן'!$C$42</f>
        <v>-8.3828424456905846E-5</v>
      </c>
    </row>
    <row r="77" spans="2:11">
      <c r="B77" s="86" t="s">
        <v>1966</v>
      </c>
      <c r="C77" s="80" t="s">
        <v>1967</v>
      </c>
      <c r="D77" s="93" t="s">
        <v>1528</v>
      </c>
      <c r="E77" s="93" t="s">
        <v>168</v>
      </c>
      <c r="F77" s="107">
        <v>43643</v>
      </c>
      <c r="G77" s="87">
        <v>186187.92</v>
      </c>
      <c r="H77" s="89">
        <v>-3.0396000000000001</v>
      </c>
      <c r="I77" s="87">
        <v>-5.6593100000000005</v>
      </c>
      <c r="J77" s="88">
        <f t="shared" si="1"/>
        <v>-5.4551197623662817E-3</v>
      </c>
      <c r="K77" s="88">
        <f>I77/'סכום נכסי הקרן'!$C$42</f>
        <v>-1.5569004867833148E-6</v>
      </c>
    </row>
    <row r="78" spans="2:11">
      <c r="B78" s="86" t="s">
        <v>1968</v>
      </c>
      <c r="C78" s="80" t="s">
        <v>1969</v>
      </c>
      <c r="D78" s="93" t="s">
        <v>1528</v>
      </c>
      <c r="E78" s="93" t="s">
        <v>165</v>
      </c>
      <c r="F78" s="107">
        <v>43773</v>
      </c>
      <c r="G78" s="87">
        <v>1384249.86</v>
      </c>
      <c r="H78" s="89">
        <v>0.57750000000000001</v>
      </c>
      <c r="I78" s="87">
        <v>7.9939900000000002</v>
      </c>
      <c r="J78" s="88">
        <f t="shared" si="1"/>
        <v>7.7055635455839013E-3</v>
      </c>
      <c r="K78" s="88">
        <f>I78/'סכום נכסי הקרן'!$C$42</f>
        <v>2.1991809818407103E-6</v>
      </c>
    </row>
    <row r="79" spans="2:11">
      <c r="C79" s="1"/>
      <c r="D79" s="1"/>
    </row>
    <row r="80" spans="2:11">
      <c r="C80" s="1"/>
      <c r="D80" s="1"/>
    </row>
    <row r="81" spans="2:4">
      <c r="C81" s="1"/>
      <c r="D81" s="1"/>
    </row>
    <row r="82" spans="2:4">
      <c r="B82" s="95" t="s">
        <v>255</v>
      </c>
      <c r="C82" s="1"/>
      <c r="D82" s="1"/>
    </row>
    <row r="83" spans="2:4">
      <c r="B83" s="95" t="s">
        <v>114</v>
      </c>
      <c r="C83" s="1"/>
      <c r="D83" s="1"/>
    </row>
    <row r="84" spans="2:4">
      <c r="B84" s="95" t="s">
        <v>238</v>
      </c>
      <c r="C84" s="1"/>
      <c r="D84" s="1"/>
    </row>
    <row r="85" spans="2:4">
      <c r="B85" s="95" t="s">
        <v>246</v>
      </c>
      <c r="C85" s="1"/>
      <c r="D85" s="1"/>
    </row>
    <row r="86" spans="2:4">
      <c r="C86" s="1"/>
      <c r="D86" s="1"/>
    </row>
    <row r="87" spans="2:4">
      <c r="C87" s="1"/>
      <c r="D87" s="1"/>
    </row>
    <row r="88" spans="2:4">
      <c r="C88" s="1"/>
      <c r="D88" s="1"/>
    </row>
    <row r="89" spans="2:4">
      <c r="C89" s="1"/>
      <c r="D89" s="1"/>
    </row>
    <row r="90" spans="2:4">
      <c r="C90" s="1"/>
      <c r="D90" s="1"/>
    </row>
    <row r="91" spans="2:4">
      <c r="C91" s="1"/>
      <c r="D91" s="1"/>
    </row>
    <row r="92" spans="2:4">
      <c r="C92" s="1"/>
      <c r="D92" s="1"/>
    </row>
    <row r="93" spans="2:4">
      <c r="C93" s="1"/>
      <c r="D93" s="1"/>
    </row>
    <row r="94" spans="2:4">
      <c r="C94" s="1"/>
      <c r="D94" s="1"/>
    </row>
    <row r="95" spans="2:4">
      <c r="C95" s="1"/>
      <c r="D95" s="1"/>
    </row>
    <row r="96" spans="2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44:XFD1048576 D40:AF43 AH40:XFD43 D1:XFD39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181</v>
      </c>
      <c r="C1" s="78" t="s" vm="1">
        <v>262</v>
      </c>
    </row>
    <row r="2" spans="2:78">
      <c r="B2" s="57" t="s">
        <v>180</v>
      </c>
      <c r="C2" s="78" t="s">
        <v>263</v>
      </c>
    </row>
    <row r="3" spans="2:78">
      <c r="B3" s="57" t="s">
        <v>182</v>
      </c>
      <c r="C3" s="78" t="s">
        <v>264</v>
      </c>
    </row>
    <row r="4" spans="2:78">
      <c r="B4" s="57" t="s">
        <v>183</v>
      </c>
      <c r="C4" s="78">
        <v>2207</v>
      </c>
    </row>
    <row r="6" spans="2:78" ht="26.25" customHeight="1">
      <c r="B6" s="157" t="s">
        <v>212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78" ht="26.25" customHeight="1">
      <c r="B7" s="157" t="s">
        <v>102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78" s="3" customFormat="1" ht="47.25">
      <c r="B8" s="23" t="s">
        <v>118</v>
      </c>
      <c r="C8" s="31" t="s">
        <v>44</v>
      </c>
      <c r="D8" s="31" t="s">
        <v>50</v>
      </c>
      <c r="E8" s="31" t="s">
        <v>15</v>
      </c>
      <c r="F8" s="31" t="s">
        <v>66</v>
      </c>
      <c r="G8" s="31" t="s">
        <v>104</v>
      </c>
      <c r="H8" s="31" t="s">
        <v>18</v>
      </c>
      <c r="I8" s="31" t="s">
        <v>103</v>
      </c>
      <c r="J8" s="31" t="s">
        <v>17</v>
      </c>
      <c r="K8" s="31" t="s">
        <v>19</v>
      </c>
      <c r="L8" s="31" t="s">
        <v>240</v>
      </c>
      <c r="M8" s="31" t="s">
        <v>239</v>
      </c>
      <c r="N8" s="31" t="s">
        <v>112</v>
      </c>
      <c r="O8" s="31" t="s">
        <v>59</v>
      </c>
      <c r="P8" s="31" t="s">
        <v>184</v>
      </c>
      <c r="Q8" s="32" t="s">
        <v>186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247</v>
      </c>
      <c r="M9" s="17"/>
      <c r="N9" s="17" t="s">
        <v>243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115</v>
      </c>
      <c r="R10" s="1"/>
      <c r="S10" s="1"/>
      <c r="T10" s="1"/>
      <c r="U10" s="1"/>
      <c r="V10" s="1"/>
    </row>
    <row r="11" spans="2:78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BZ11" s="1"/>
    </row>
    <row r="12" spans="2:78" ht="18" customHeight="1">
      <c r="B12" s="95" t="s">
        <v>255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78">
      <c r="B13" s="95" t="s">
        <v>114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78">
      <c r="B14" s="95" t="s">
        <v>238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78">
      <c r="B15" s="95" t="s">
        <v>246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7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79"/>
  <sheetViews>
    <sheetView rightToLeft="1" topLeftCell="A142" zoomScale="90" zoomScaleNormal="90" workbookViewId="0">
      <selection activeCell="C168" sqref="C168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69.28515625" style="2" bestFit="1" customWidth="1"/>
    <col min="4" max="4" width="10.140625" style="2" bestFit="1" customWidth="1"/>
    <col min="5" max="5" width="11.285156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181</v>
      </c>
      <c r="C1" s="78" t="s" vm="1">
        <v>262</v>
      </c>
    </row>
    <row r="2" spans="2:61">
      <c r="B2" s="57" t="s">
        <v>180</v>
      </c>
      <c r="C2" s="78" t="s">
        <v>263</v>
      </c>
    </row>
    <row r="3" spans="2:61">
      <c r="B3" s="57" t="s">
        <v>182</v>
      </c>
      <c r="C3" s="78" t="s">
        <v>264</v>
      </c>
    </row>
    <row r="4" spans="2:61">
      <c r="B4" s="57" t="s">
        <v>183</v>
      </c>
      <c r="C4" s="78">
        <v>2207</v>
      </c>
    </row>
    <row r="6" spans="2:61" ht="26.25" customHeight="1">
      <c r="B6" s="157" t="s">
        <v>213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61" s="3" customFormat="1" ht="63">
      <c r="B7" s="23" t="s">
        <v>118</v>
      </c>
      <c r="C7" s="31" t="s">
        <v>225</v>
      </c>
      <c r="D7" s="31" t="s">
        <v>44</v>
      </c>
      <c r="E7" s="31" t="s">
        <v>119</v>
      </c>
      <c r="F7" s="31" t="s">
        <v>15</v>
      </c>
      <c r="G7" s="31" t="s">
        <v>104</v>
      </c>
      <c r="H7" s="31" t="s">
        <v>66</v>
      </c>
      <c r="I7" s="31" t="s">
        <v>18</v>
      </c>
      <c r="J7" s="31" t="s">
        <v>103</v>
      </c>
      <c r="K7" s="14" t="s">
        <v>34</v>
      </c>
      <c r="L7" s="71" t="s">
        <v>19</v>
      </c>
      <c r="M7" s="31" t="s">
        <v>240</v>
      </c>
      <c r="N7" s="31" t="s">
        <v>239</v>
      </c>
      <c r="O7" s="31" t="s">
        <v>112</v>
      </c>
      <c r="P7" s="31" t="s">
        <v>184</v>
      </c>
      <c r="Q7" s="32" t="s">
        <v>186</v>
      </c>
      <c r="R7" s="1"/>
      <c r="S7" s="1"/>
      <c r="T7" s="1"/>
      <c r="U7" s="1"/>
      <c r="V7" s="1"/>
      <c r="W7" s="1"/>
      <c r="BH7" s="3" t="s">
        <v>164</v>
      </c>
      <c r="BI7" s="3" t="s">
        <v>166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247</v>
      </c>
      <c r="N8" s="17"/>
      <c r="O8" s="17" t="s">
        <v>243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162</v>
      </c>
      <c r="BI8" s="3" t="s">
        <v>165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115</v>
      </c>
      <c r="R9" s="1"/>
      <c r="S9" s="1"/>
      <c r="T9" s="1"/>
      <c r="U9" s="1"/>
      <c r="V9" s="1"/>
      <c r="W9" s="1"/>
      <c r="BH9" s="4" t="s">
        <v>163</v>
      </c>
      <c r="BI9" s="4" t="s">
        <v>167</v>
      </c>
    </row>
    <row r="10" spans="2:61" s="4" customFormat="1" ht="18" customHeight="1">
      <c r="B10" s="97" t="s">
        <v>39</v>
      </c>
      <c r="C10" s="98"/>
      <c r="D10" s="98"/>
      <c r="E10" s="98"/>
      <c r="F10" s="98"/>
      <c r="G10" s="98"/>
      <c r="H10" s="98"/>
      <c r="I10" s="100">
        <v>6.0873070299232381</v>
      </c>
      <c r="J10" s="98"/>
      <c r="K10" s="98"/>
      <c r="L10" s="101">
        <v>2.0996663582719642E-2</v>
      </c>
      <c r="M10" s="100"/>
      <c r="N10" s="102"/>
      <c r="O10" s="100">
        <f>O11+O165</f>
        <v>91042.474149999995</v>
      </c>
      <c r="P10" s="103">
        <f>O10/$O$10</f>
        <v>1</v>
      </c>
      <c r="Q10" s="103">
        <f>O10/'סכום נכסי הקרן'!$C$42</f>
        <v>2.5046175650758191E-2</v>
      </c>
      <c r="R10" s="1"/>
      <c r="S10" s="1"/>
      <c r="T10" s="1"/>
      <c r="U10" s="1"/>
      <c r="V10" s="1"/>
      <c r="W10" s="1"/>
      <c r="BH10" s="1" t="s">
        <v>27</v>
      </c>
      <c r="BI10" s="4" t="s">
        <v>168</v>
      </c>
    </row>
    <row r="11" spans="2:61" ht="21.75" customHeight="1">
      <c r="B11" s="81" t="s">
        <v>37</v>
      </c>
      <c r="C11" s="82"/>
      <c r="D11" s="82"/>
      <c r="E11" s="82"/>
      <c r="F11" s="82"/>
      <c r="G11" s="82"/>
      <c r="H11" s="82"/>
      <c r="I11" s="90">
        <v>6.3559583707849976</v>
      </c>
      <c r="J11" s="82"/>
      <c r="K11" s="82"/>
      <c r="L11" s="104">
        <v>1.8619053500470436E-2</v>
      </c>
      <c r="M11" s="90"/>
      <c r="N11" s="92"/>
      <c r="O11" s="90">
        <f>O12+O22</f>
        <v>84394.431169999996</v>
      </c>
      <c r="P11" s="91">
        <f t="shared" ref="P11:P20" si="0">O11/$O$10</f>
        <v>0.92697866526510697</v>
      </c>
      <c r="Q11" s="91">
        <f>O11/'סכום נכסי הקרן'!$C$42</f>
        <v>2.3217270474735249E-2</v>
      </c>
      <c r="BI11" s="1" t="s">
        <v>174</v>
      </c>
    </row>
    <row r="12" spans="2:61">
      <c r="B12" s="99" t="s">
        <v>35</v>
      </c>
      <c r="C12" s="82"/>
      <c r="D12" s="82"/>
      <c r="E12" s="82"/>
      <c r="F12" s="82"/>
      <c r="G12" s="82"/>
      <c r="H12" s="82"/>
      <c r="I12" s="90">
        <v>8.1321301753806239</v>
      </c>
      <c r="J12" s="82"/>
      <c r="K12" s="82"/>
      <c r="L12" s="104">
        <v>1.9298811559951098E-2</v>
      </c>
      <c r="M12" s="90"/>
      <c r="N12" s="92"/>
      <c r="O12" s="90">
        <f>SUM(O13:O20)</f>
        <v>18450.019260000001</v>
      </c>
      <c r="P12" s="91">
        <f t="shared" si="0"/>
        <v>0.20265287638824567</v>
      </c>
      <c r="Q12" s="91">
        <f>O12/'סכום נכסי הקרן'!$C$42</f>
        <v>5.0756795381513885E-3</v>
      </c>
      <c r="BI12" s="1" t="s">
        <v>169</v>
      </c>
    </row>
    <row r="13" spans="2:61">
      <c r="B13" s="86" t="s">
        <v>2203</v>
      </c>
      <c r="C13" s="93" t="s">
        <v>2029</v>
      </c>
      <c r="D13" s="80">
        <v>5212</v>
      </c>
      <c r="E13" s="80"/>
      <c r="F13" s="80" t="s">
        <v>1510</v>
      </c>
      <c r="G13" s="107">
        <v>42643</v>
      </c>
      <c r="H13" s="80"/>
      <c r="I13" s="87">
        <v>8.6700000000000017</v>
      </c>
      <c r="J13" s="93" t="s">
        <v>166</v>
      </c>
      <c r="K13" s="94">
        <v>1.9499999999999997E-2</v>
      </c>
      <c r="L13" s="94">
        <v>1.9499999999999997E-2</v>
      </c>
      <c r="M13" s="87">
        <v>2772160.95</v>
      </c>
      <c r="N13" s="89">
        <v>99.33</v>
      </c>
      <c r="O13" s="87">
        <f>2753.58747-0.56691</f>
        <v>2753.0205599999999</v>
      </c>
      <c r="P13" s="88">
        <f t="shared" si="0"/>
        <v>3.0238859232495936E-2</v>
      </c>
      <c r="Q13" s="88">
        <f>O13/'סכום נכסי הקרן'!$C$42</f>
        <v>7.5736777981564424E-4</v>
      </c>
      <c r="R13" s="86"/>
      <c r="BI13" s="1" t="s">
        <v>170</v>
      </c>
    </row>
    <row r="14" spans="2:61">
      <c r="B14" s="86" t="s">
        <v>2203</v>
      </c>
      <c r="C14" s="93" t="s">
        <v>2029</v>
      </c>
      <c r="D14" s="80">
        <v>5211</v>
      </c>
      <c r="E14" s="80"/>
      <c r="F14" s="80" t="s">
        <v>1510</v>
      </c>
      <c r="G14" s="107">
        <v>42643</v>
      </c>
      <c r="H14" s="80"/>
      <c r="I14" s="87">
        <v>5.8</v>
      </c>
      <c r="J14" s="93" t="s">
        <v>166</v>
      </c>
      <c r="K14" s="94">
        <v>2.7399999999999997E-2</v>
      </c>
      <c r="L14" s="94">
        <v>2.7399999999999997E-2</v>
      </c>
      <c r="M14" s="87">
        <v>2633033.31</v>
      </c>
      <c r="N14" s="89">
        <v>106.57</v>
      </c>
      <c r="O14" s="87">
        <v>2806.0236</v>
      </c>
      <c r="P14" s="88">
        <f t="shared" si="0"/>
        <v>3.0821038489978254E-2</v>
      </c>
      <c r="Q14" s="88">
        <f>O14/'סכום נכסי הקרן'!$C$42</f>
        <v>7.7194914375877427E-4</v>
      </c>
      <c r="R14" s="86"/>
      <c r="BI14" s="1" t="s">
        <v>171</v>
      </c>
    </row>
    <row r="15" spans="2:61">
      <c r="B15" s="86" t="s">
        <v>2203</v>
      </c>
      <c r="C15" s="93" t="s">
        <v>2029</v>
      </c>
      <c r="D15" s="80">
        <v>5025</v>
      </c>
      <c r="E15" s="80"/>
      <c r="F15" s="80" t="s">
        <v>1510</v>
      </c>
      <c r="G15" s="107">
        <v>42551</v>
      </c>
      <c r="H15" s="80"/>
      <c r="I15" s="87">
        <v>9.6399999999999988</v>
      </c>
      <c r="J15" s="93" t="s">
        <v>166</v>
      </c>
      <c r="K15" s="94">
        <v>2.2099999999999998E-2</v>
      </c>
      <c r="L15" s="94">
        <v>2.2099999999999998E-2</v>
      </c>
      <c r="M15" s="87">
        <v>2623640.4</v>
      </c>
      <c r="N15" s="89">
        <v>97.77</v>
      </c>
      <c r="O15" s="87">
        <f>2565.13322-0.04619</f>
        <v>2565.0870300000001</v>
      </c>
      <c r="P15" s="88">
        <f t="shared" si="0"/>
        <v>2.8174619087941388E-2</v>
      </c>
      <c r="Q15" s="88">
        <f>O15/'סכום נכסי הקרן'!$C$42</f>
        <v>7.0566645856978444E-4</v>
      </c>
      <c r="R15" s="86"/>
      <c r="BI15" s="1" t="s">
        <v>173</v>
      </c>
    </row>
    <row r="16" spans="2:61">
      <c r="B16" s="86" t="s">
        <v>2203</v>
      </c>
      <c r="C16" s="93" t="s">
        <v>2029</v>
      </c>
      <c r="D16" s="80">
        <v>5024</v>
      </c>
      <c r="E16" s="80"/>
      <c r="F16" s="80" t="s">
        <v>1510</v>
      </c>
      <c r="G16" s="107">
        <v>42551</v>
      </c>
      <c r="H16" s="80"/>
      <c r="I16" s="87">
        <v>7</v>
      </c>
      <c r="J16" s="93" t="s">
        <v>166</v>
      </c>
      <c r="K16" s="94">
        <v>2.8800000000000003E-2</v>
      </c>
      <c r="L16" s="94">
        <v>2.8800000000000003E-2</v>
      </c>
      <c r="M16" s="87">
        <v>2030621.2</v>
      </c>
      <c r="N16" s="89">
        <v>110.56</v>
      </c>
      <c r="O16" s="87">
        <f>2245.0548-0.10343</f>
        <v>2244.9513699999998</v>
      </c>
      <c r="P16" s="88">
        <f t="shared" si="0"/>
        <v>2.4658286046809943E-2</v>
      </c>
      <c r="Q16" s="88">
        <f>O16/'סכום נכסי הקרן'!$C$42</f>
        <v>6.175957635750416E-4</v>
      </c>
      <c r="R16" s="86"/>
      <c r="BI16" s="1" t="s">
        <v>172</v>
      </c>
    </row>
    <row r="17" spans="2:61">
      <c r="B17" s="86" t="s">
        <v>2203</v>
      </c>
      <c r="C17" s="93" t="s">
        <v>2029</v>
      </c>
      <c r="D17" s="80">
        <v>5023</v>
      </c>
      <c r="E17" s="80"/>
      <c r="F17" s="80" t="s">
        <v>1510</v>
      </c>
      <c r="G17" s="107">
        <v>42551</v>
      </c>
      <c r="H17" s="80"/>
      <c r="I17" s="87">
        <v>9.7700000000000014</v>
      </c>
      <c r="J17" s="93" t="s">
        <v>166</v>
      </c>
      <c r="K17" s="94">
        <v>1.29E-2</v>
      </c>
      <c r="L17" s="94">
        <v>1.29E-2</v>
      </c>
      <c r="M17" s="87">
        <v>2353081.4900000002</v>
      </c>
      <c r="N17" s="89">
        <v>102.01</v>
      </c>
      <c r="O17" s="87">
        <f>2400.37734-0.22916</f>
        <v>2400.1481800000001</v>
      </c>
      <c r="P17" s="88">
        <f t="shared" si="0"/>
        <v>2.6362949847403727E-2</v>
      </c>
      <c r="Q17" s="88">
        <f>O17/'סכום נכסי הקרן'!$C$42</f>
        <v>6.6029107255020252E-4</v>
      </c>
      <c r="R17" s="86"/>
      <c r="BI17" s="1" t="s">
        <v>175</v>
      </c>
    </row>
    <row r="18" spans="2:61">
      <c r="B18" s="86" t="s">
        <v>2203</v>
      </c>
      <c r="C18" s="93" t="s">
        <v>2029</v>
      </c>
      <c r="D18" s="80">
        <v>5210</v>
      </c>
      <c r="E18" s="80"/>
      <c r="F18" s="80" t="s">
        <v>1510</v>
      </c>
      <c r="G18" s="107">
        <v>42643</v>
      </c>
      <c r="H18" s="80"/>
      <c r="I18" s="87">
        <v>8.93</v>
      </c>
      <c r="J18" s="93" t="s">
        <v>166</v>
      </c>
      <c r="K18" s="94">
        <v>5.5000000000000005E-3</v>
      </c>
      <c r="L18" s="94">
        <v>5.5000000000000005E-3</v>
      </c>
      <c r="M18" s="87">
        <v>2014303.98</v>
      </c>
      <c r="N18" s="89">
        <v>108.05</v>
      </c>
      <c r="O18" s="87">
        <f>2176.45452-0.10588</f>
        <v>2176.3486399999997</v>
      </c>
      <c r="P18" s="88">
        <f t="shared" si="0"/>
        <v>2.3904761599671441E-2</v>
      </c>
      <c r="Q18" s="88">
        <f>O18/'סכום נכסי הקרן'!$C$42</f>
        <v>5.9872285791487021E-4</v>
      </c>
      <c r="R18" s="86"/>
      <c r="BI18" s="1" t="s">
        <v>176</v>
      </c>
    </row>
    <row r="19" spans="2:61">
      <c r="B19" s="86" t="s">
        <v>2203</v>
      </c>
      <c r="C19" s="93" t="s">
        <v>2029</v>
      </c>
      <c r="D19" s="80">
        <v>5022</v>
      </c>
      <c r="E19" s="80"/>
      <c r="F19" s="80" t="s">
        <v>1510</v>
      </c>
      <c r="G19" s="107">
        <v>42551</v>
      </c>
      <c r="H19" s="80"/>
      <c r="I19" s="87">
        <v>8.14</v>
      </c>
      <c r="J19" s="93" t="s">
        <v>166</v>
      </c>
      <c r="K19" s="94">
        <v>1.9100000000000002E-2</v>
      </c>
      <c r="L19" s="94">
        <v>1.9100000000000002E-2</v>
      </c>
      <c r="M19" s="87">
        <v>1733158.47</v>
      </c>
      <c r="N19" s="89">
        <v>108.04</v>
      </c>
      <c r="O19" s="87">
        <f>1872.50391-0.18725</f>
        <v>1872.31666</v>
      </c>
      <c r="P19" s="88">
        <f t="shared" si="0"/>
        <v>2.0565309516030986E-2</v>
      </c>
      <c r="Q19" s="88">
        <f>O19/'סכום נכסי הקרן'!$C$42</f>
        <v>5.1508235445072098E-4</v>
      </c>
      <c r="R19" s="86"/>
      <c r="BI19" s="1" t="s">
        <v>177</v>
      </c>
    </row>
    <row r="20" spans="2:61">
      <c r="B20" s="86" t="s">
        <v>2203</v>
      </c>
      <c r="C20" s="93" t="s">
        <v>2029</v>
      </c>
      <c r="D20" s="80">
        <v>5209</v>
      </c>
      <c r="E20" s="80"/>
      <c r="F20" s="80" t="s">
        <v>1510</v>
      </c>
      <c r="G20" s="107">
        <v>42643</v>
      </c>
      <c r="H20" s="80"/>
      <c r="I20" s="87">
        <v>6.9399999999999995</v>
      </c>
      <c r="J20" s="93" t="s">
        <v>166</v>
      </c>
      <c r="K20" s="94">
        <v>1.5600000000000001E-2</v>
      </c>
      <c r="L20" s="94">
        <v>1.5600000000000001E-2</v>
      </c>
      <c r="M20" s="87">
        <v>1501323.85</v>
      </c>
      <c r="N20" s="89">
        <v>108.73</v>
      </c>
      <c r="O20" s="87">
        <f>1632.38991-0.26669</f>
        <v>1632.1232200000002</v>
      </c>
      <c r="P20" s="88">
        <f t="shared" si="0"/>
        <v>1.7927052567913986E-2</v>
      </c>
      <c r="Q20" s="88">
        <f>O20/'סכום נכסי הקרן'!$C$42</f>
        <v>4.4900410751634937E-4</v>
      </c>
      <c r="BI20" s="1" t="s">
        <v>178</v>
      </c>
    </row>
    <row r="21" spans="2:61"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7"/>
      <c r="N21" s="89"/>
      <c r="O21" s="80"/>
      <c r="P21" s="88"/>
      <c r="Q21" s="80"/>
      <c r="S21" s="87"/>
      <c r="BI21" s="1" t="s">
        <v>179</v>
      </c>
    </row>
    <row r="22" spans="2:61">
      <c r="B22" s="99" t="s">
        <v>36</v>
      </c>
      <c r="C22" s="82"/>
      <c r="D22" s="82"/>
      <c r="E22" s="82"/>
      <c r="F22" s="82"/>
      <c r="G22" s="82"/>
      <c r="H22" s="82"/>
      <c r="I22" s="90">
        <v>5.858966657233962</v>
      </c>
      <c r="J22" s="82"/>
      <c r="K22" s="82"/>
      <c r="L22" s="104">
        <v>1.842884998417358E-2</v>
      </c>
      <c r="M22" s="90"/>
      <c r="N22" s="92"/>
      <c r="O22" s="90">
        <f>SUM(O23:O163)</f>
        <v>65944.411909999995</v>
      </c>
      <c r="P22" s="91">
        <f t="shared" ref="P22:P85" si="1">O22/$O$10</f>
        <v>0.72432578887686128</v>
      </c>
      <c r="Q22" s="91">
        <f>O22/'סכום נכסי הקרן'!$C$42</f>
        <v>1.8141590936583862E-2</v>
      </c>
      <c r="S22" s="87"/>
      <c r="BI22" s="1" t="s">
        <v>27</v>
      </c>
    </row>
    <row r="23" spans="2:61">
      <c r="B23" s="86" t="s">
        <v>2204</v>
      </c>
      <c r="C23" s="93" t="s">
        <v>2021</v>
      </c>
      <c r="D23" s="80" t="s">
        <v>2022</v>
      </c>
      <c r="E23" s="80"/>
      <c r="F23" s="80" t="s">
        <v>361</v>
      </c>
      <c r="G23" s="107">
        <v>42368</v>
      </c>
      <c r="H23" s="80" t="s">
        <v>294</v>
      </c>
      <c r="I23" s="87">
        <v>9.3500000000000014</v>
      </c>
      <c r="J23" s="93" t="s">
        <v>166</v>
      </c>
      <c r="K23" s="94">
        <v>3.1699999999999999E-2</v>
      </c>
      <c r="L23" s="94">
        <v>6.9999999999999993E-3</v>
      </c>
      <c r="M23" s="87">
        <v>179292</v>
      </c>
      <c r="N23" s="89">
        <v>126.98</v>
      </c>
      <c r="O23" s="87">
        <v>227.66498999999999</v>
      </c>
      <c r="P23" s="88">
        <f t="shared" si="1"/>
        <v>2.5006459031957228E-3</v>
      </c>
      <c r="Q23" s="88">
        <f>O23/'סכום נכסי הקרן'!$C$42</f>
        <v>6.2631616531788937E-5</v>
      </c>
      <c r="S23" s="87"/>
    </row>
    <row r="24" spans="2:61">
      <c r="B24" s="86" t="s">
        <v>2204</v>
      </c>
      <c r="C24" s="93" t="s">
        <v>2021</v>
      </c>
      <c r="D24" s="80" t="s">
        <v>2023</v>
      </c>
      <c r="E24" s="80"/>
      <c r="F24" s="80" t="s">
        <v>361</v>
      </c>
      <c r="G24" s="107">
        <v>42388</v>
      </c>
      <c r="H24" s="80" t="s">
        <v>294</v>
      </c>
      <c r="I24" s="87">
        <v>9.34</v>
      </c>
      <c r="J24" s="93" t="s">
        <v>166</v>
      </c>
      <c r="K24" s="94">
        <v>3.1899999999999998E-2</v>
      </c>
      <c r="L24" s="94">
        <v>6.9999999999999993E-3</v>
      </c>
      <c r="M24" s="87">
        <v>251008.77</v>
      </c>
      <c r="N24" s="89">
        <v>127.29</v>
      </c>
      <c r="O24" s="87">
        <v>319.50905</v>
      </c>
      <c r="P24" s="88">
        <f t="shared" si="1"/>
        <v>3.5094504294070749E-3</v>
      </c>
      <c r="Q24" s="88">
        <f>O24/'סכום נכסי הקרן'!$C$42</f>
        <v>8.7898311892558361E-5</v>
      </c>
      <c r="S24" s="87"/>
    </row>
    <row r="25" spans="2:61">
      <c r="B25" s="86" t="s">
        <v>2204</v>
      </c>
      <c r="C25" s="93" t="s">
        <v>2021</v>
      </c>
      <c r="D25" s="80" t="s">
        <v>2024</v>
      </c>
      <c r="E25" s="80"/>
      <c r="F25" s="80" t="s">
        <v>361</v>
      </c>
      <c r="G25" s="107">
        <v>42509</v>
      </c>
      <c r="H25" s="80" t="s">
        <v>294</v>
      </c>
      <c r="I25" s="87">
        <v>9.4500000000000011</v>
      </c>
      <c r="J25" s="93" t="s">
        <v>166</v>
      </c>
      <c r="K25" s="94">
        <v>2.7400000000000001E-2</v>
      </c>
      <c r="L25" s="94">
        <v>8.3999999999999995E-3</v>
      </c>
      <c r="M25" s="87">
        <v>251008.77</v>
      </c>
      <c r="N25" s="89">
        <v>121.79</v>
      </c>
      <c r="O25" s="87">
        <v>305.70357000000001</v>
      </c>
      <c r="P25" s="88">
        <f t="shared" si="1"/>
        <v>3.3578126347525235E-3</v>
      </c>
      <c r="Q25" s="88">
        <f>O25/'סכום נכסי הקרן'!$C$42</f>
        <v>8.410036505234687E-5</v>
      </c>
      <c r="S25" s="87"/>
    </row>
    <row r="26" spans="2:61">
      <c r="B26" s="86" t="s">
        <v>2204</v>
      </c>
      <c r="C26" s="93" t="s">
        <v>2021</v>
      </c>
      <c r="D26" s="80" t="s">
        <v>2025</v>
      </c>
      <c r="E26" s="80"/>
      <c r="F26" s="80" t="s">
        <v>361</v>
      </c>
      <c r="G26" s="107">
        <v>42723</v>
      </c>
      <c r="H26" s="80" t="s">
        <v>294</v>
      </c>
      <c r="I26" s="87">
        <v>9.2799999999999994</v>
      </c>
      <c r="J26" s="93" t="s">
        <v>166</v>
      </c>
      <c r="K26" s="94">
        <v>3.15E-2</v>
      </c>
      <c r="L26" s="94">
        <v>1.0899999999999998E-2</v>
      </c>
      <c r="M26" s="87">
        <v>35858.379999999997</v>
      </c>
      <c r="N26" s="89">
        <v>122.67</v>
      </c>
      <c r="O26" s="87">
        <v>43.987470000000002</v>
      </c>
      <c r="P26" s="88">
        <f t="shared" si="1"/>
        <v>4.8315327994631396E-4</v>
      </c>
      <c r="Q26" s="88">
        <f>O26/'סכום נכסי הקרן'!$C$42</f>
        <v>1.2101141915775325E-5</v>
      </c>
      <c r="S26" s="87"/>
    </row>
    <row r="27" spans="2:61">
      <c r="B27" s="86" t="s">
        <v>2204</v>
      </c>
      <c r="C27" s="93" t="s">
        <v>2021</v>
      </c>
      <c r="D27" s="80" t="s">
        <v>2026</v>
      </c>
      <c r="E27" s="80"/>
      <c r="F27" s="80" t="s">
        <v>361</v>
      </c>
      <c r="G27" s="107">
        <v>42918</v>
      </c>
      <c r="H27" s="80" t="s">
        <v>294</v>
      </c>
      <c r="I27" s="87">
        <v>9.2099999999999991</v>
      </c>
      <c r="J27" s="93" t="s">
        <v>166</v>
      </c>
      <c r="K27" s="94">
        <v>3.1899999999999998E-2</v>
      </c>
      <c r="L27" s="94">
        <v>1.3599999999999999E-2</v>
      </c>
      <c r="M27" s="87">
        <v>179292</v>
      </c>
      <c r="N27" s="89">
        <v>119.28</v>
      </c>
      <c r="O27" s="87">
        <v>213.85951</v>
      </c>
      <c r="P27" s="88">
        <f t="shared" si="1"/>
        <v>2.3490081085411718E-3</v>
      </c>
      <c r="Q27" s="88">
        <f>O27/'סכום נכסי הקרן'!$C$42</f>
        <v>5.8833669691577445E-5</v>
      </c>
      <c r="S27" s="87"/>
    </row>
    <row r="28" spans="2:61">
      <c r="B28" s="86" t="s">
        <v>2205</v>
      </c>
      <c r="C28" s="93" t="s">
        <v>2021</v>
      </c>
      <c r="D28" s="80" t="s">
        <v>2027</v>
      </c>
      <c r="E28" s="80"/>
      <c r="F28" s="80" t="s">
        <v>398</v>
      </c>
      <c r="G28" s="107">
        <v>42229</v>
      </c>
      <c r="H28" s="80" t="s">
        <v>162</v>
      </c>
      <c r="I28" s="87">
        <v>3.87</v>
      </c>
      <c r="J28" s="93" t="s">
        <v>165</v>
      </c>
      <c r="K28" s="94">
        <v>9.8519999999999996E-2</v>
      </c>
      <c r="L28" s="94">
        <v>2.7399999999999997E-2</v>
      </c>
      <c r="M28" s="87">
        <v>373478.48</v>
      </c>
      <c r="N28" s="89">
        <v>129.28</v>
      </c>
      <c r="O28" s="87">
        <v>1668.6707799999999</v>
      </c>
      <c r="P28" s="88">
        <f t="shared" si="1"/>
        <v>1.8328486737418045E-2</v>
      </c>
      <c r="Q28" s="88">
        <f>O28/'סכום נכסי הקרן'!$C$42</f>
        <v>4.5905849823796421E-4</v>
      </c>
    </row>
    <row r="29" spans="2:61">
      <c r="B29" s="86" t="s">
        <v>2205</v>
      </c>
      <c r="C29" s="93" t="s">
        <v>2021</v>
      </c>
      <c r="D29" s="80" t="s">
        <v>2028</v>
      </c>
      <c r="E29" s="80"/>
      <c r="F29" s="80" t="s">
        <v>398</v>
      </c>
      <c r="G29" s="107">
        <v>41274</v>
      </c>
      <c r="H29" s="80" t="s">
        <v>162</v>
      </c>
      <c r="I29" s="87">
        <v>3.8600000000000008</v>
      </c>
      <c r="J29" s="93" t="s">
        <v>166</v>
      </c>
      <c r="K29" s="94">
        <v>3.8450999999999999E-2</v>
      </c>
      <c r="L29" s="94">
        <v>-1.9E-3</v>
      </c>
      <c r="M29" s="87">
        <v>118663.8</v>
      </c>
      <c r="N29" s="89">
        <v>149.77000000000001</v>
      </c>
      <c r="O29" s="87">
        <v>177.72283999999999</v>
      </c>
      <c r="P29" s="88">
        <f t="shared" si="1"/>
        <v>1.9520871072460854E-3</v>
      </c>
      <c r="Q29" s="88">
        <f>O29/'סכום נכסי הקרן'!$C$42</f>
        <v>4.8892316573665894E-5</v>
      </c>
    </row>
    <row r="30" spans="2:61">
      <c r="B30" s="86" t="s">
        <v>2206</v>
      </c>
      <c r="C30" s="93" t="s">
        <v>2029</v>
      </c>
      <c r="D30" s="80" t="s">
        <v>2030</v>
      </c>
      <c r="E30" s="80"/>
      <c r="F30" s="80" t="s">
        <v>2031</v>
      </c>
      <c r="G30" s="107">
        <v>42201</v>
      </c>
      <c r="H30" s="80" t="s">
        <v>2019</v>
      </c>
      <c r="I30" s="87">
        <v>6.9499999999999993</v>
      </c>
      <c r="J30" s="93" t="s">
        <v>166</v>
      </c>
      <c r="K30" s="94">
        <v>4.2030000000000005E-2</v>
      </c>
      <c r="L30" s="94">
        <v>9.5999999999999992E-3</v>
      </c>
      <c r="M30" s="87">
        <v>74180.5</v>
      </c>
      <c r="N30" s="89">
        <v>126.38</v>
      </c>
      <c r="O30" s="87">
        <v>93.749320000000012</v>
      </c>
      <c r="P30" s="88">
        <f t="shared" si="1"/>
        <v>1.0297316815615124E-3</v>
      </c>
      <c r="Q30" s="88">
        <f>O30/'סכום נכסי הקרן'!$C$42</f>
        <v>2.5790840569540237E-5</v>
      </c>
    </row>
    <row r="31" spans="2:61">
      <c r="B31" s="86" t="s">
        <v>2207</v>
      </c>
      <c r="C31" s="93" t="s">
        <v>2021</v>
      </c>
      <c r="D31" s="80" t="s">
        <v>2032</v>
      </c>
      <c r="E31" s="80"/>
      <c r="F31" s="80" t="s">
        <v>2031</v>
      </c>
      <c r="G31" s="107">
        <v>40742</v>
      </c>
      <c r="H31" s="80" t="s">
        <v>2019</v>
      </c>
      <c r="I31" s="87">
        <v>4.9599999999999991</v>
      </c>
      <c r="J31" s="93" t="s">
        <v>166</v>
      </c>
      <c r="K31" s="94">
        <v>4.4999999999999998E-2</v>
      </c>
      <c r="L31" s="94">
        <v>-2E-3</v>
      </c>
      <c r="M31" s="87">
        <v>909581.05</v>
      </c>
      <c r="N31" s="89">
        <v>130.94999999999999</v>
      </c>
      <c r="O31" s="87">
        <v>1191.0963700000002</v>
      </c>
      <c r="P31" s="88">
        <f t="shared" si="1"/>
        <v>1.3082864686185599E-2</v>
      </c>
      <c r="Q31" s="88">
        <f>O31/'סכום נכסי הקרן'!$C$42</f>
        <v>3.2767572694530596E-4</v>
      </c>
    </row>
    <row r="32" spans="2:61">
      <c r="B32" s="86" t="s">
        <v>2208</v>
      </c>
      <c r="C32" s="93" t="s">
        <v>2021</v>
      </c>
      <c r="D32" s="80" t="s">
        <v>2033</v>
      </c>
      <c r="E32" s="80"/>
      <c r="F32" s="80" t="s">
        <v>474</v>
      </c>
      <c r="G32" s="107">
        <v>43431</v>
      </c>
      <c r="H32" s="80" t="s">
        <v>294</v>
      </c>
      <c r="I32" s="87">
        <v>10.250000000000002</v>
      </c>
      <c r="J32" s="93" t="s">
        <v>166</v>
      </c>
      <c r="K32" s="94">
        <v>3.9599999999999996E-2</v>
      </c>
      <c r="L32" s="94">
        <v>2.1899999999999999E-2</v>
      </c>
      <c r="M32" s="87">
        <v>187362.43</v>
      </c>
      <c r="N32" s="89">
        <v>119.36</v>
      </c>
      <c r="O32" s="87">
        <v>223.63579999999999</v>
      </c>
      <c r="P32" s="88">
        <f t="shared" si="1"/>
        <v>2.4563897465214044E-3</v>
      </c>
      <c r="Q32" s="88">
        <f>O32/'סכום נכסי הקרן'!$C$42</f>
        <v>6.1523169058096475E-5</v>
      </c>
    </row>
    <row r="33" spans="2:17">
      <c r="B33" s="86" t="s">
        <v>2208</v>
      </c>
      <c r="C33" s="93" t="s">
        <v>2021</v>
      </c>
      <c r="D33" s="80" t="s">
        <v>2034</v>
      </c>
      <c r="E33" s="80"/>
      <c r="F33" s="80" t="s">
        <v>474</v>
      </c>
      <c r="G33" s="107">
        <v>43276</v>
      </c>
      <c r="H33" s="80" t="s">
        <v>294</v>
      </c>
      <c r="I33" s="87">
        <v>10.319999999999999</v>
      </c>
      <c r="J33" s="93" t="s">
        <v>166</v>
      </c>
      <c r="K33" s="94">
        <v>3.56E-2</v>
      </c>
      <c r="L33" s="94">
        <v>2.2799999999999997E-2</v>
      </c>
      <c r="M33" s="87">
        <v>187417.8</v>
      </c>
      <c r="N33" s="89">
        <v>114.64</v>
      </c>
      <c r="O33" s="87">
        <v>214.85575</v>
      </c>
      <c r="P33" s="88">
        <f t="shared" si="1"/>
        <v>2.3599506934094015E-3</v>
      </c>
      <c r="Q33" s="88">
        <f>O33/'סכום נכסי הקרן'!$C$42</f>
        <v>5.9107739594260457E-5</v>
      </c>
    </row>
    <row r="34" spans="2:17">
      <c r="B34" s="86" t="s">
        <v>2208</v>
      </c>
      <c r="C34" s="93" t="s">
        <v>2021</v>
      </c>
      <c r="D34" s="80" t="s">
        <v>2035</v>
      </c>
      <c r="E34" s="80"/>
      <c r="F34" s="80" t="s">
        <v>474</v>
      </c>
      <c r="G34" s="107">
        <v>43222</v>
      </c>
      <c r="H34" s="80" t="s">
        <v>294</v>
      </c>
      <c r="I34" s="87">
        <v>10.33</v>
      </c>
      <c r="J34" s="93" t="s">
        <v>166</v>
      </c>
      <c r="K34" s="94">
        <v>3.5200000000000002E-2</v>
      </c>
      <c r="L34" s="94">
        <v>2.2800000000000001E-2</v>
      </c>
      <c r="M34" s="87">
        <v>895963.73</v>
      </c>
      <c r="N34" s="89">
        <v>115.2</v>
      </c>
      <c r="O34" s="87">
        <v>1032.15021</v>
      </c>
      <c r="P34" s="88">
        <f t="shared" si="1"/>
        <v>1.1337018459092482E-2</v>
      </c>
      <c r="Q34" s="88">
        <f>O34/'סכום נכסי הקרן'!$C$42</f>
        <v>2.8394895568231823E-4</v>
      </c>
    </row>
    <row r="35" spans="2:17">
      <c r="B35" s="86" t="s">
        <v>2208</v>
      </c>
      <c r="C35" s="93" t="s">
        <v>2021</v>
      </c>
      <c r="D35" s="80" t="s">
        <v>2036</v>
      </c>
      <c r="E35" s="80"/>
      <c r="F35" s="80" t="s">
        <v>474</v>
      </c>
      <c r="G35" s="107">
        <v>43500</v>
      </c>
      <c r="H35" s="80" t="s">
        <v>294</v>
      </c>
      <c r="I35" s="87">
        <v>10.370000000000001</v>
      </c>
      <c r="J35" s="93" t="s">
        <v>166</v>
      </c>
      <c r="K35" s="94">
        <v>3.7499999999999999E-2</v>
      </c>
      <c r="L35" s="94">
        <v>1.9600000000000003E-2</v>
      </c>
      <c r="M35" s="87">
        <v>352449.55</v>
      </c>
      <c r="N35" s="89">
        <v>120.48</v>
      </c>
      <c r="O35" s="87">
        <v>424.63123999999999</v>
      </c>
      <c r="P35" s="88">
        <f t="shared" si="1"/>
        <v>4.6641003989015602E-3</v>
      </c>
      <c r="Q35" s="88">
        <f>O35/'סכום נכסי הקרן'!$C$42</f>
        <v>1.1681787784365983E-4</v>
      </c>
    </row>
    <row r="36" spans="2:17">
      <c r="B36" s="86" t="s">
        <v>2208</v>
      </c>
      <c r="C36" s="93" t="s">
        <v>2021</v>
      </c>
      <c r="D36" s="80" t="s">
        <v>2037</v>
      </c>
      <c r="E36" s="80"/>
      <c r="F36" s="80" t="s">
        <v>474</v>
      </c>
      <c r="G36" s="107">
        <v>43585</v>
      </c>
      <c r="H36" s="80" t="s">
        <v>294</v>
      </c>
      <c r="I36" s="87">
        <v>10.46</v>
      </c>
      <c r="J36" s="93" t="s">
        <v>166</v>
      </c>
      <c r="K36" s="94">
        <v>3.3500000000000002E-2</v>
      </c>
      <c r="L36" s="94">
        <v>1.9799999999999998E-2</v>
      </c>
      <c r="M36" s="87">
        <v>356831.2</v>
      </c>
      <c r="N36" s="89">
        <v>115.86</v>
      </c>
      <c r="O36" s="87">
        <v>413.42464000000001</v>
      </c>
      <c r="P36" s="88">
        <f t="shared" si="1"/>
        <v>4.5410084014066753E-3</v>
      </c>
      <c r="Q36" s="88">
        <f>O36/'סכום נכסי הקרן'!$C$42</f>
        <v>1.1373489405320024E-4</v>
      </c>
    </row>
    <row r="37" spans="2:17">
      <c r="B37" s="86" t="s">
        <v>2208</v>
      </c>
      <c r="C37" s="93" t="s">
        <v>2021</v>
      </c>
      <c r="D37" s="80" t="s">
        <v>2038</v>
      </c>
      <c r="E37" s="80"/>
      <c r="F37" s="80" t="s">
        <v>474</v>
      </c>
      <c r="G37" s="107">
        <v>43677</v>
      </c>
      <c r="H37" s="80" t="s">
        <v>294</v>
      </c>
      <c r="I37" s="87">
        <v>10.400000000000002</v>
      </c>
      <c r="J37" s="93" t="s">
        <v>166</v>
      </c>
      <c r="K37" s="94">
        <v>3.2000000000000001E-2</v>
      </c>
      <c r="L37" s="94">
        <v>2.3300000000000001E-2</v>
      </c>
      <c r="M37" s="87">
        <v>331740.84999999998</v>
      </c>
      <c r="N37" s="89">
        <v>109.53</v>
      </c>
      <c r="O37" s="87">
        <v>363.35573999999997</v>
      </c>
      <c r="P37" s="88">
        <f t="shared" si="1"/>
        <v>3.9910573981254216E-3</v>
      </c>
      <c r="Q37" s="88">
        <f>O37/'סכום נכסי הקרן'!$C$42</f>
        <v>9.9960724625707282E-5</v>
      </c>
    </row>
    <row r="38" spans="2:17">
      <c r="B38" s="86" t="s">
        <v>2208</v>
      </c>
      <c r="C38" s="93" t="s">
        <v>2021</v>
      </c>
      <c r="D38" s="80" t="s">
        <v>2039</v>
      </c>
      <c r="E38" s="80"/>
      <c r="F38" s="80" t="s">
        <v>474</v>
      </c>
      <c r="G38" s="107">
        <v>43708</v>
      </c>
      <c r="H38" s="80" t="s">
        <v>294</v>
      </c>
      <c r="I38" s="87">
        <v>10.57</v>
      </c>
      <c r="J38" s="93" t="s">
        <v>166</v>
      </c>
      <c r="K38" s="94">
        <v>2.6800000000000001E-2</v>
      </c>
      <c r="L38" s="94">
        <v>2.2099999999999998E-2</v>
      </c>
      <c r="M38" s="87">
        <v>23679.21</v>
      </c>
      <c r="N38" s="89">
        <v>105.17</v>
      </c>
      <c r="O38" s="87">
        <v>24.90343</v>
      </c>
      <c r="P38" s="88">
        <f t="shared" si="1"/>
        <v>2.7353639312316516E-4</v>
      </c>
      <c r="Q38" s="88">
        <f>O38/'סכום נכסי הקרן'!$C$42</f>
        <v>6.8510405490376393E-6</v>
      </c>
    </row>
    <row r="39" spans="2:17">
      <c r="B39" s="86" t="s">
        <v>2208</v>
      </c>
      <c r="C39" s="93" t="s">
        <v>2021</v>
      </c>
      <c r="D39" s="80" t="s">
        <v>2040</v>
      </c>
      <c r="E39" s="80"/>
      <c r="F39" s="80" t="s">
        <v>474</v>
      </c>
      <c r="G39" s="107">
        <v>43769</v>
      </c>
      <c r="H39" s="80" t="s">
        <v>294</v>
      </c>
      <c r="I39" s="87">
        <v>10.46</v>
      </c>
      <c r="J39" s="93" t="s">
        <v>166</v>
      </c>
      <c r="K39" s="94">
        <v>2.7300000000000001E-2</v>
      </c>
      <c r="L39" s="94">
        <v>2.5699999999999997E-2</v>
      </c>
      <c r="M39" s="87">
        <v>349758.94</v>
      </c>
      <c r="N39" s="89">
        <v>101.92</v>
      </c>
      <c r="O39" s="87">
        <v>356.47431</v>
      </c>
      <c r="P39" s="88">
        <f t="shared" si="1"/>
        <v>3.9154725673720067E-3</v>
      </c>
      <c r="Q39" s="88">
        <f>O39/'סכום נכסי הקרן'!$C$42</f>
        <v>9.8067613678124398E-5</v>
      </c>
    </row>
    <row r="40" spans="2:17">
      <c r="B40" s="86" t="s">
        <v>2208</v>
      </c>
      <c r="C40" s="93" t="s">
        <v>2021</v>
      </c>
      <c r="D40" s="80" t="s">
        <v>2041</v>
      </c>
      <c r="E40" s="80"/>
      <c r="F40" s="80" t="s">
        <v>474</v>
      </c>
      <c r="G40" s="107">
        <v>43708</v>
      </c>
      <c r="H40" s="80" t="s">
        <v>294</v>
      </c>
      <c r="I40" s="87">
        <v>0</v>
      </c>
      <c r="J40" s="93" t="s">
        <v>166</v>
      </c>
      <c r="K40" s="94">
        <v>3.2500000000000001E-2</v>
      </c>
      <c r="L40" s="94">
        <v>-3.6400000000000002E-2</v>
      </c>
      <c r="M40" s="87">
        <v>170475.96</v>
      </c>
      <c r="N40" s="89">
        <v>101.15</v>
      </c>
      <c r="O40" s="87">
        <v>172.43643</v>
      </c>
      <c r="P40" s="88">
        <f t="shared" si="1"/>
        <v>1.8940217915859442E-3</v>
      </c>
      <c r="Q40" s="88">
        <f>O40/'סכום נכסי הקרן'!$C$42</f>
        <v>4.7438002478425277E-5</v>
      </c>
    </row>
    <row r="41" spans="2:17">
      <c r="B41" s="86" t="s">
        <v>2208</v>
      </c>
      <c r="C41" s="93" t="s">
        <v>2021</v>
      </c>
      <c r="D41" s="80" t="s">
        <v>2042</v>
      </c>
      <c r="E41" s="80"/>
      <c r="F41" s="80" t="s">
        <v>474</v>
      </c>
      <c r="G41" s="107">
        <v>43799</v>
      </c>
      <c r="H41" s="80" t="s">
        <v>294</v>
      </c>
      <c r="I41" s="87">
        <v>0</v>
      </c>
      <c r="J41" s="93" t="s">
        <v>166</v>
      </c>
      <c r="K41" s="94">
        <v>3.2500000000000001E-2</v>
      </c>
      <c r="L41" s="94">
        <v>7.4999999999999997E-3</v>
      </c>
      <c r="M41" s="87">
        <v>75558.16</v>
      </c>
      <c r="N41" s="89">
        <v>100.55</v>
      </c>
      <c r="O41" s="87">
        <v>75.973729999999989</v>
      </c>
      <c r="P41" s="88">
        <f t="shared" si="1"/>
        <v>8.3448665811549662E-4</v>
      </c>
      <c r="Q41" s="88">
        <f>O41/'סכום נכסי הקרן'!$C$42</f>
        <v>2.0900699417374928E-5</v>
      </c>
    </row>
    <row r="42" spans="2:17">
      <c r="B42" s="86" t="s">
        <v>2208</v>
      </c>
      <c r="C42" s="93" t="s">
        <v>2021</v>
      </c>
      <c r="D42" s="80" t="s">
        <v>2043</v>
      </c>
      <c r="E42" s="80"/>
      <c r="F42" s="80" t="s">
        <v>474</v>
      </c>
      <c r="G42" s="107">
        <v>43829</v>
      </c>
      <c r="H42" s="80" t="s">
        <v>294</v>
      </c>
      <c r="I42" s="87">
        <v>0</v>
      </c>
      <c r="J42" s="93" t="s">
        <v>166</v>
      </c>
      <c r="K42" s="94">
        <v>3.2500000000000001E-2</v>
      </c>
      <c r="L42" s="94">
        <v>2.9000000000000005E-2</v>
      </c>
      <c r="M42" s="87">
        <v>114806.2</v>
      </c>
      <c r="N42" s="89">
        <v>100.01</v>
      </c>
      <c r="O42" s="87">
        <v>114.81766999999999</v>
      </c>
      <c r="P42" s="88">
        <f t="shared" si="1"/>
        <v>1.2611439997866096E-3</v>
      </c>
      <c r="Q42" s="88">
        <f>O42/'סכום נכסי הקרן'!$C$42</f>
        <v>3.158683413955517E-5</v>
      </c>
    </row>
    <row r="43" spans="2:17">
      <c r="B43" s="86" t="s">
        <v>2209</v>
      </c>
      <c r="C43" s="93" t="s">
        <v>2029</v>
      </c>
      <c r="D43" s="80" t="s">
        <v>2044</v>
      </c>
      <c r="E43" s="80"/>
      <c r="F43" s="80" t="s">
        <v>2045</v>
      </c>
      <c r="G43" s="107">
        <v>42901</v>
      </c>
      <c r="H43" s="80" t="s">
        <v>2019</v>
      </c>
      <c r="I43" s="87">
        <v>2.31</v>
      </c>
      <c r="J43" s="93" t="s">
        <v>166</v>
      </c>
      <c r="K43" s="94">
        <v>0.04</v>
      </c>
      <c r="L43" s="94">
        <v>1.5399999999999999E-2</v>
      </c>
      <c r="M43" s="87">
        <v>2406430</v>
      </c>
      <c r="N43" s="89">
        <v>105.87</v>
      </c>
      <c r="O43" s="87">
        <v>2547.6873900000001</v>
      </c>
      <c r="P43" s="88">
        <f t="shared" si="1"/>
        <v>2.7983503455787841E-2</v>
      </c>
      <c r="Q43" s="88">
        <f>O43/'סכום נכסי הקרן'!$C$42</f>
        <v>7.0087974287726107E-4</v>
      </c>
    </row>
    <row r="44" spans="2:17">
      <c r="B44" s="86" t="s">
        <v>2210</v>
      </c>
      <c r="C44" s="93" t="s">
        <v>2029</v>
      </c>
      <c r="D44" s="80">
        <v>4069</v>
      </c>
      <c r="E44" s="80"/>
      <c r="F44" s="80" t="s">
        <v>482</v>
      </c>
      <c r="G44" s="107">
        <v>42052</v>
      </c>
      <c r="H44" s="80" t="s">
        <v>162</v>
      </c>
      <c r="I44" s="87">
        <v>5.6499999999999995</v>
      </c>
      <c r="J44" s="93" t="s">
        <v>166</v>
      </c>
      <c r="K44" s="94">
        <v>2.9779E-2</v>
      </c>
      <c r="L44" s="94">
        <v>2E-3</v>
      </c>
      <c r="M44" s="87">
        <v>615773.38</v>
      </c>
      <c r="N44" s="89">
        <v>118.86</v>
      </c>
      <c r="O44" s="87">
        <v>731.90824999999995</v>
      </c>
      <c r="P44" s="88">
        <f t="shared" si="1"/>
        <v>8.0391955165247456E-3</v>
      </c>
      <c r="Q44" s="88">
        <f>O44/'סכום נכסי הקרן'!$C$42</f>
        <v>2.0135110299766647E-4</v>
      </c>
    </row>
    <row r="45" spans="2:17">
      <c r="B45" s="86" t="s">
        <v>2211</v>
      </c>
      <c r="C45" s="93" t="s">
        <v>2021</v>
      </c>
      <c r="D45" s="80" t="s">
        <v>2046</v>
      </c>
      <c r="E45" s="80"/>
      <c r="F45" s="80" t="s">
        <v>482</v>
      </c>
      <c r="G45" s="107">
        <v>42122</v>
      </c>
      <c r="H45" s="80" t="s">
        <v>162</v>
      </c>
      <c r="I45" s="87">
        <v>5.8</v>
      </c>
      <c r="J45" s="93" t="s">
        <v>166</v>
      </c>
      <c r="K45" s="94">
        <v>2.4799999999999999E-2</v>
      </c>
      <c r="L45" s="94">
        <v>9.1000000000000004E-3</v>
      </c>
      <c r="M45" s="87">
        <v>4722356.5599999996</v>
      </c>
      <c r="N45" s="89">
        <v>111.44</v>
      </c>
      <c r="O45" s="87">
        <v>5262.5941600000006</v>
      </c>
      <c r="P45" s="88">
        <f t="shared" si="1"/>
        <v>5.7803725229714671E-2</v>
      </c>
      <c r="Q45" s="88">
        <f>O45/'סכום נכסי הקרן'!$C$42</f>
        <v>1.4477622553715965E-3</v>
      </c>
    </row>
    <row r="46" spans="2:17">
      <c r="B46" s="86" t="s">
        <v>2212</v>
      </c>
      <c r="C46" s="93" t="s">
        <v>2029</v>
      </c>
      <c r="D46" s="80">
        <v>4099</v>
      </c>
      <c r="E46" s="80"/>
      <c r="F46" s="80" t="s">
        <v>482</v>
      </c>
      <c r="G46" s="107">
        <v>42052</v>
      </c>
      <c r="H46" s="80" t="s">
        <v>162</v>
      </c>
      <c r="I46" s="87">
        <v>5.6700000000000008</v>
      </c>
      <c r="J46" s="93" t="s">
        <v>166</v>
      </c>
      <c r="K46" s="94">
        <v>2.9779E-2</v>
      </c>
      <c r="L46" s="94">
        <v>2.0000000000000005E-3</v>
      </c>
      <c r="M46" s="87">
        <v>448547.62</v>
      </c>
      <c r="N46" s="89">
        <v>118.92</v>
      </c>
      <c r="O46" s="87">
        <v>533.41283999999996</v>
      </c>
      <c r="P46" s="88">
        <f t="shared" si="1"/>
        <v>5.858944904343859E-3</v>
      </c>
      <c r="Q46" s="88">
        <f>O46/'סכום נכסי הקרן'!$C$42</f>
        <v>1.4674416320231094E-4</v>
      </c>
    </row>
    <row r="47" spans="2:17">
      <c r="B47" s="86" t="s">
        <v>2212</v>
      </c>
      <c r="C47" s="93" t="s">
        <v>2029</v>
      </c>
      <c r="D47" s="80" t="s">
        <v>2047</v>
      </c>
      <c r="E47" s="80"/>
      <c r="F47" s="80" t="s">
        <v>482</v>
      </c>
      <c r="G47" s="107">
        <v>42054</v>
      </c>
      <c r="H47" s="80" t="s">
        <v>162</v>
      </c>
      <c r="I47" s="87">
        <v>5.67</v>
      </c>
      <c r="J47" s="93" t="s">
        <v>166</v>
      </c>
      <c r="K47" s="94">
        <v>2.9779E-2</v>
      </c>
      <c r="L47" s="94">
        <v>2.2000000000000001E-3</v>
      </c>
      <c r="M47" s="87">
        <v>12685.17</v>
      </c>
      <c r="N47" s="89">
        <v>118.84</v>
      </c>
      <c r="O47" s="87">
        <v>15.075040000000001</v>
      </c>
      <c r="P47" s="88">
        <f t="shared" si="1"/>
        <v>1.6558249477230405E-4</v>
      </c>
      <c r="Q47" s="88">
        <f>O47/'סכום נכסי הקרן'!$C$42</f>
        <v>4.1472082487578769E-6</v>
      </c>
    </row>
    <row r="48" spans="2:17">
      <c r="B48" s="86" t="s">
        <v>2213</v>
      </c>
      <c r="C48" s="93" t="s">
        <v>2029</v>
      </c>
      <c r="D48" s="80">
        <v>4100</v>
      </c>
      <c r="E48" s="80"/>
      <c r="F48" s="80" t="s">
        <v>482</v>
      </c>
      <c r="G48" s="107">
        <v>42052</v>
      </c>
      <c r="H48" s="80" t="s">
        <v>162</v>
      </c>
      <c r="I48" s="87">
        <v>5.6400000000000015</v>
      </c>
      <c r="J48" s="93" t="s">
        <v>166</v>
      </c>
      <c r="K48" s="94">
        <v>2.9779E-2</v>
      </c>
      <c r="L48" s="94">
        <v>1.8E-3</v>
      </c>
      <c r="M48" s="87">
        <v>511024.48</v>
      </c>
      <c r="N48" s="89">
        <v>119.02</v>
      </c>
      <c r="O48" s="87">
        <v>608.22133999999994</v>
      </c>
      <c r="P48" s="88">
        <f t="shared" si="1"/>
        <v>6.6806328109878148E-3</v>
      </c>
      <c r="Q48" s="88">
        <f>O48/'סכום נכסי הקרן'!$C$42</f>
        <v>1.6732430284221926E-4</v>
      </c>
    </row>
    <row r="49" spans="2:17">
      <c r="B49" s="86" t="s">
        <v>2214</v>
      </c>
      <c r="C49" s="93" t="s">
        <v>2021</v>
      </c>
      <c r="D49" s="80" t="s">
        <v>2048</v>
      </c>
      <c r="E49" s="80"/>
      <c r="F49" s="80" t="s">
        <v>482</v>
      </c>
      <c r="G49" s="107">
        <v>41767</v>
      </c>
      <c r="H49" s="80" t="s">
        <v>162</v>
      </c>
      <c r="I49" s="87">
        <v>6.25</v>
      </c>
      <c r="J49" s="93" t="s">
        <v>166</v>
      </c>
      <c r="K49" s="94">
        <v>5.3499999999999999E-2</v>
      </c>
      <c r="L49" s="94">
        <v>6.8999999999999999E-3</v>
      </c>
      <c r="M49" s="87">
        <v>21199.7</v>
      </c>
      <c r="N49" s="89">
        <v>134.38999999999999</v>
      </c>
      <c r="O49" s="87">
        <v>28.490269999999999</v>
      </c>
      <c r="P49" s="88">
        <f t="shared" si="1"/>
        <v>3.1293382858927938E-4</v>
      </c>
      <c r="Q49" s="88">
        <f>O49/'סכום נכסי הקרן'!$C$42</f>
        <v>7.8377956379113472E-6</v>
      </c>
    </row>
    <row r="50" spans="2:17">
      <c r="B50" s="86" t="s">
        <v>2214</v>
      </c>
      <c r="C50" s="93" t="s">
        <v>2021</v>
      </c>
      <c r="D50" s="80" t="s">
        <v>2049</v>
      </c>
      <c r="E50" s="80"/>
      <c r="F50" s="80" t="s">
        <v>482</v>
      </c>
      <c r="G50" s="107">
        <v>41269</v>
      </c>
      <c r="H50" s="80" t="s">
        <v>162</v>
      </c>
      <c r="I50" s="87">
        <v>6.339999999999999</v>
      </c>
      <c r="J50" s="93" t="s">
        <v>166</v>
      </c>
      <c r="K50" s="94">
        <v>5.3499999999999999E-2</v>
      </c>
      <c r="L50" s="94">
        <v>1E-3</v>
      </c>
      <c r="M50" s="87">
        <v>105289.53</v>
      </c>
      <c r="N50" s="89">
        <v>141.56</v>
      </c>
      <c r="O50" s="87">
        <v>149.04785000000001</v>
      </c>
      <c r="P50" s="88">
        <f t="shared" si="1"/>
        <v>1.6371243355538798E-3</v>
      </c>
      <c r="Q50" s="88">
        <f>O50/'סכום נכסי הקרן'!$C$42</f>
        <v>4.1003703670413266E-5</v>
      </c>
    </row>
    <row r="51" spans="2:17">
      <c r="B51" s="86" t="s">
        <v>2214</v>
      </c>
      <c r="C51" s="93" t="s">
        <v>2021</v>
      </c>
      <c r="D51" s="80" t="s">
        <v>2050</v>
      </c>
      <c r="E51" s="80"/>
      <c r="F51" s="80" t="s">
        <v>482</v>
      </c>
      <c r="G51" s="107">
        <v>41767</v>
      </c>
      <c r="H51" s="80" t="s">
        <v>162</v>
      </c>
      <c r="I51" s="87">
        <v>6.7500000000000009</v>
      </c>
      <c r="J51" s="93" t="s">
        <v>166</v>
      </c>
      <c r="K51" s="94">
        <v>5.3499999999999999E-2</v>
      </c>
      <c r="L51" s="94">
        <v>1.03E-2</v>
      </c>
      <c r="M51" s="87">
        <v>16591.07</v>
      </c>
      <c r="N51" s="89">
        <v>134.38999999999999</v>
      </c>
      <c r="O51" s="87">
        <v>22.296759999999999</v>
      </c>
      <c r="P51" s="88">
        <f t="shared" si="1"/>
        <v>2.449050315050121E-4</v>
      </c>
      <c r="Q51" s="88">
        <f>O51/'סכום נכסי הקרן'!$C$42</f>
        <v>6.133934436829002E-6</v>
      </c>
    </row>
    <row r="52" spans="2:17">
      <c r="B52" s="86" t="s">
        <v>2214</v>
      </c>
      <c r="C52" s="93" t="s">
        <v>2021</v>
      </c>
      <c r="D52" s="80" t="s">
        <v>2051</v>
      </c>
      <c r="E52" s="80"/>
      <c r="F52" s="80" t="s">
        <v>482</v>
      </c>
      <c r="G52" s="107">
        <v>41767</v>
      </c>
      <c r="H52" s="80" t="s">
        <v>162</v>
      </c>
      <c r="I52" s="87">
        <v>6.25</v>
      </c>
      <c r="J52" s="93" t="s">
        <v>166</v>
      </c>
      <c r="K52" s="94">
        <v>5.3499999999999999E-2</v>
      </c>
      <c r="L52" s="94">
        <v>6.9000000000000008E-3</v>
      </c>
      <c r="M52" s="87">
        <v>21199.81</v>
      </c>
      <c r="N52" s="89">
        <v>134.38999999999999</v>
      </c>
      <c r="O52" s="87">
        <v>28.490410000000001</v>
      </c>
      <c r="P52" s="88">
        <f t="shared" si="1"/>
        <v>3.1293536633307767E-4</v>
      </c>
      <c r="Q52" s="88">
        <f>O52/'סכום נכסי הקרן'!$C$42</f>
        <v>7.8378341525126234E-6</v>
      </c>
    </row>
    <row r="53" spans="2:17">
      <c r="B53" s="86" t="s">
        <v>2214</v>
      </c>
      <c r="C53" s="93" t="s">
        <v>2021</v>
      </c>
      <c r="D53" s="80" t="s">
        <v>2052</v>
      </c>
      <c r="E53" s="80"/>
      <c r="F53" s="80" t="s">
        <v>482</v>
      </c>
      <c r="G53" s="107">
        <v>41269</v>
      </c>
      <c r="H53" s="80" t="s">
        <v>162</v>
      </c>
      <c r="I53" s="87">
        <v>6.34</v>
      </c>
      <c r="J53" s="93" t="s">
        <v>166</v>
      </c>
      <c r="K53" s="94">
        <v>5.3499999999999999E-2</v>
      </c>
      <c r="L53" s="94">
        <v>1E-3</v>
      </c>
      <c r="M53" s="87">
        <v>111870.76</v>
      </c>
      <c r="N53" s="89">
        <v>141.56</v>
      </c>
      <c r="O53" s="87">
        <v>158.36425</v>
      </c>
      <c r="P53" s="88">
        <f t="shared" si="1"/>
        <v>1.7394545949957578E-3</v>
      </c>
      <c r="Q53" s="88">
        <f>O53/'סכום נכסי הקרן'!$C$42</f>
        <v>4.3566685322782203E-5</v>
      </c>
    </row>
    <row r="54" spans="2:17">
      <c r="B54" s="86" t="s">
        <v>2214</v>
      </c>
      <c r="C54" s="93" t="s">
        <v>2021</v>
      </c>
      <c r="D54" s="80" t="s">
        <v>2053</v>
      </c>
      <c r="E54" s="80"/>
      <c r="F54" s="80" t="s">
        <v>482</v>
      </c>
      <c r="G54" s="107">
        <v>41281</v>
      </c>
      <c r="H54" s="80" t="s">
        <v>162</v>
      </c>
      <c r="I54" s="87">
        <v>6.34</v>
      </c>
      <c r="J54" s="93" t="s">
        <v>166</v>
      </c>
      <c r="K54" s="94">
        <v>5.3499999999999999E-2</v>
      </c>
      <c r="L54" s="94">
        <v>1.1000000000000001E-3</v>
      </c>
      <c r="M54" s="87">
        <v>140940.20000000001</v>
      </c>
      <c r="N54" s="89">
        <v>141.47999999999999</v>
      </c>
      <c r="O54" s="87">
        <v>199.40217999999999</v>
      </c>
      <c r="P54" s="88">
        <f t="shared" si="1"/>
        <v>2.1902104689232021E-3</v>
      </c>
      <c r="Q54" s="88">
        <f>O54/'סכום נכסי הקרן'!$C$42</f>
        <v>5.485639611677998E-5</v>
      </c>
    </row>
    <row r="55" spans="2:17">
      <c r="B55" s="86" t="s">
        <v>2214</v>
      </c>
      <c r="C55" s="93" t="s">
        <v>2021</v>
      </c>
      <c r="D55" s="80" t="s">
        <v>2054</v>
      </c>
      <c r="E55" s="80"/>
      <c r="F55" s="80" t="s">
        <v>482</v>
      </c>
      <c r="G55" s="107">
        <v>41767</v>
      </c>
      <c r="H55" s="80" t="s">
        <v>162</v>
      </c>
      <c r="I55" s="87">
        <v>6.25</v>
      </c>
      <c r="J55" s="93" t="s">
        <v>166</v>
      </c>
      <c r="K55" s="94">
        <v>5.3499999999999999E-2</v>
      </c>
      <c r="L55" s="94">
        <v>6.9000000000000008E-3</v>
      </c>
      <c r="M55" s="87">
        <v>24886.58</v>
      </c>
      <c r="N55" s="89">
        <v>134.38999999999999</v>
      </c>
      <c r="O55" s="87">
        <v>33.445059999999998</v>
      </c>
      <c r="P55" s="88">
        <f t="shared" si="1"/>
        <v>3.6735666854677631E-4</v>
      </c>
      <c r="Q55" s="88">
        <f>O55/'סכום נכסי הקרן'!$C$42</f>
        <v>9.2008796468999153E-6</v>
      </c>
    </row>
    <row r="56" spans="2:17">
      <c r="B56" s="86" t="s">
        <v>2214</v>
      </c>
      <c r="C56" s="93" t="s">
        <v>2021</v>
      </c>
      <c r="D56" s="80" t="s">
        <v>2055</v>
      </c>
      <c r="E56" s="80"/>
      <c r="F56" s="80" t="s">
        <v>482</v>
      </c>
      <c r="G56" s="107">
        <v>41281</v>
      </c>
      <c r="H56" s="80" t="s">
        <v>162</v>
      </c>
      <c r="I56" s="87">
        <v>6.34</v>
      </c>
      <c r="J56" s="93" t="s">
        <v>166</v>
      </c>
      <c r="K56" s="94">
        <v>5.3499999999999999E-2</v>
      </c>
      <c r="L56" s="94">
        <v>1.0999999999999998E-3</v>
      </c>
      <c r="M56" s="87">
        <v>101524.72</v>
      </c>
      <c r="N56" s="89">
        <v>141.47999999999999</v>
      </c>
      <c r="O56" s="87">
        <v>143.63717000000003</v>
      </c>
      <c r="P56" s="88">
        <f t="shared" si="1"/>
        <v>1.5776940525951209E-3</v>
      </c>
      <c r="Q56" s="88">
        <f>O56/'סכום נכסי הקרן'!$C$42</f>
        <v>3.9515202364453926E-5</v>
      </c>
    </row>
    <row r="57" spans="2:17">
      <c r="B57" s="86" t="s">
        <v>2214</v>
      </c>
      <c r="C57" s="93" t="s">
        <v>2021</v>
      </c>
      <c r="D57" s="80" t="s">
        <v>2056</v>
      </c>
      <c r="E57" s="80"/>
      <c r="F57" s="80" t="s">
        <v>482</v>
      </c>
      <c r="G57" s="107">
        <v>41767</v>
      </c>
      <c r="H57" s="80" t="s">
        <v>162</v>
      </c>
      <c r="I57" s="87">
        <v>6.25</v>
      </c>
      <c r="J57" s="93" t="s">
        <v>166</v>
      </c>
      <c r="K57" s="94">
        <v>5.3499999999999999E-2</v>
      </c>
      <c r="L57" s="94">
        <v>6.9000000000000008E-3</v>
      </c>
      <c r="M57" s="87">
        <v>20275.61</v>
      </c>
      <c r="N57" s="89">
        <v>134.38999999999999</v>
      </c>
      <c r="O57" s="87">
        <v>27.248390000000001</v>
      </c>
      <c r="P57" s="88">
        <f t="shared" si="1"/>
        <v>2.9929316238820608E-4</v>
      </c>
      <c r="Q57" s="88">
        <f>O57/'סכום נכסי הקרן'!$C$42</f>
        <v>7.4961491162459038E-6</v>
      </c>
    </row>
    <row r="58" spans="2:17">
      <c r="B58" s="86" t="s">
        <v>2214</v>
      </c>
      <c r="C58" s="93" t="s">
        <v>2021</v>
      </c>
      <c r="D58" s="80" t="s">
        <v>2057</v>
      </c>
      <c r="E58" s="80"/>
      <c r="F58" s="80" t="s">
        <v>482</v>
      </c>
      <c r="G58" s="107">
        <v>41281</v>
      </c>
      <c r="H58" s="80" t="s">
        <v>162</v>
      </c>
      <c r="I58" s="87">
        <v>6.34</v>
      </c>
      <c r="J58" s="93" t="s">
        <v>166</v>
      </c>
      <c r="K58" s="94">
        <v>5.3499999999999999E-2</v>
      </c>
      <c r="L58" s="94">
        <v>1.0999999999999998E-3</v>
      </c>
      <c r="M58" s="87">
        <v>121929.19</v>
      </c>
      <c r="N58" s="89">
        <v>141.47999999999999</v>
      </c>
      <c r="O58" s="87">
        <v>172.50542000000002</v>
      </c>
      <c r="P58" s="88">
        <f t="shared" si="1"/>
        <v>1.8947795697619454E-3</v>
      </c>
      <c r="Q58" s="88">
        <f>O58/'סכום נכסי הקרן'!$C$42</f>
        <v>4.7456981923725714E-5</v>
      </c>
    </row>
    <row r="59" spans="2:17">
      <c r="B59" s="86" t="s">
        <v>2215</v>
      </c>
      <c r="C59" s="93" t="s">
        <v>2021</v>
      </c>
      <c r="D59" s="80">
        <v>7127</v>
      </c>
      <c r="E59" s="80"/>
      <c r="F59" s="80" t="s">
        <v>2045</v>
      </c>
      <c r="G59" s="107">
        <v>43708</v>
      </c>
      <c r="H59" s="80" t="s">
        <v>2019</v>
      </c>
      <c r="I59" s="87">
        <v>6.9799999999999995</v>
      </c>
      <c r="J59" s="93" t="s">
        <v>166</v>
      </c>
      <c r="K59" s="94">
        <v>3.1E-2</v>
      </c>
      <c r="L59" s="94">
        <v>1.24E-2</v>
      </c>
      <c r="M59" s="87">
        <v>521694.73</v>
      </c>
      <c r="N59" s="89">
        <v>114.12</v>
      </c>
      <c r="O59" s="87">
        <v>595.35801000000004</v>
      </c>
      <c r="P59" s="88">
        <f t="shared" si="1"/>
        <v>6.539343482901163E-3</v>
      </c>
      <c r="Q59" s="88">
        <f>O59/'סכום נכסי הקרן'!$C$42</f>
        <v>1.6378554551338336E-4</v>
      </c>
    </row>
    <row r="60" spans="2:17">
      <c r="B60" s="86" t="s">
        <v>2215</v>
      </c>
      <c r="C60" s="93" t="s">
        <v>2021</v>
      </c>
      <c r="D60" s="80">
        <v>7128</v>
      </c>
      <c r="E60" s="80"/>
      <c r="F60" s="80" t="s">
        <v>2045</v>
      </c>
      <c r="G60" s="107">
        <v>43708</v>
      </c>
      <c r="H60" s="80" t="s">
        <v>2019</v>
      </c>
      <c r="I60" s="87">
        <v>7.0100000000000007</v>
      </c>
      <c r="J60" s="93" t="s">
        <v>166</v>
      </c>
      <c r="K60" s="94">
        <v>2.4900000000000002E-2</v>
      </c>
      <c r="L60" s="94">
        <v>1.2500000000000001E-2</v>
      </c>
      <c r="M60" s="87">
        <v>221477.58</v>
      </c>
      <c r="N60" s="89">
        <v>111.5</v>
      </c>
      <c r="O60" s="87">
        <v>246.94749999999999</v>
      </c>
      <c r="P60" s="88">
        <f t="shared" si="1"/>
        <v>2.7124427615305533E-3</v>
      </c>
      <c r="Q60" s="88">
        <f>O60/'סכום נכסי הקרן'!$C$42</f>
        <v>6.7936317847921846E-5</v>
      </c>
    </row>
    <row r="61" spans="2:17">
      <c r="B61" s="86" t="s">
        <v>2215</v>
      </c>
      <c r="C61" s="93" t="s">
        <v>2021</v>
      </c>
      <c r="D61" s="80">
        <v>7130</v>
      </c>
      <c r="E61" s="80"/>
      <c r="F61" s="80" t="s">
        <v>2045</v>
      </c>
      <c r="G61" s="107">
        <v>43708</v>
      </c>
      <c r="H61" s="80" t="s">
        <v>2019</v>
      </c>
      <c r="I61" s="87">
        <v>7.37</v>
      </c>
      <c r="J61" s="93" t="s">
        <v>166</v>
      </c>
      <c r="K61" s="94">
        <v>3.6000000000000004E-2</v>
      </c>
      <c r="L61" s="94">
        <v>1.2899999999999998E-2</v>
      </c>
      <c r="M61" s="87">
        <v>138707.75</v>
      </c>
      <c r="N61" s="89">
        <v>118.79</v>
      </c>
      <c r="O61" s="87">
        <v>164.77094</v>
      </c>
      <c r="P61" s="88">
        <f t="shared" si="1"/>
        <v>1.8098249365293639E-3</v>
      </c>
      <c r="Q61" s="88">
        <f>O61/'סכום נכסי הקרן'!$C$42</f>
        <v>4.5329193257436739E-5</v>
      </c>
    </row>
    <row r="62" spans="2:17">
      <c r="B62" s="86" t="s">
        <v>2216</v>
      </c>
      <c r="C62" s="93" t="s">
        <v>2029</v>
      </c>
      <c r="D62" s="80">
        <v>22333</v>
      </c>
      <c r="E62" s="80"/>
      <c r="F62" s="80" t="s">
        <v>2045</v>
      </c>
      <c r="G62" s="107">
        <v>41639</v>
      </c>
      <c r="H62" s="80" t="s">
        <v>2019</v>
      </c>
      <c r="I62" s="87">
        <v>1.9500000000000002</v>
      </c>
      <c r="J62" s="93" t="s">
        <v>166</v>
      </c>
      <c r="K62" s="94">
        <v>3.7000000000000005E-2</v>
      </c>
      <c r="L62" s="94">
        <v>-6.0000000000000006E-4</v>
      </c>
      <c r="M62" s="87">
        <v>1448161.51</v>
      </c>
      <c r="N62" s="89">
        <v>109.93</v>
      </c>
      <c r="O62" s="87">
        <v>1591.96389</v>
      </c>
      <c r="P62" s="88">
        <f t="shared" si="1"/>
        <v>1.7485947134708885E-2</v>
      </c>
      <c r="Q62" s="88">
        <f>O62/'סכום נכסי הקרן'!$C$42</f>
        <v>4.3795610335579059E-4</v>
      </c>
    </row>
    <row r="63" spans="2:17">
      <c r="B63" s="86" t="s">
        <v>2216</v>
      </c>
      <c r="C63" s="93" t="s">
        <v>2029</v>
      </c>
      <c r="D63" s="80">
        <v>22334</v>
      </c>
      <c r="E63" s="80"/>
      <c r="F63" s="80" t="s">
        <v>2045</v>
      </c>
      <c r="G63" s="107">
        <v>42004</v>
      </c>
      <c r="H63" s="80" t="s">
        <v>2019</v>
      </c>
      <c r="I63" s="87">
        <v>2.42</v>
      </c>
      <c r="J63" s="93" t="s">
        <v>166</v>
      </c>
      <c r="K63" s="94">
        <v>3.7000000000000005E-2</v>
      </c>
      <c r="L63" s="94">
        <v>4.0000000000000002E-4</v>
      </c>
      <c r="M63" s="87">
        <v>589991.75</v>
      </c>
      <c r="N63" s="89">
        <v>111.66</v>
      </c>
      <c r="O63" s="87">
        <v>658.78472999999997</v>
      </c>
      <c r="P63" s="88">
        <f t="shared" si="1"/>
        <v>7.2360152352032711E-3</v>
      </c>
      <c r="Q63" s="88">
        <f>O63/'סכום נכסי הקרן'!$C$42</f>
        <v>1.8123450859246348E-4</v>
      </c>
    </row>
    <row r="64" spans="2:17">
      <c r="B64" s="86" t="s">
        <v>2217</v>
      </c>
      <c r="C64" s="93" t="s">
        <v>2029</v>
      </c>
      <c r="D64" s="80" t="s">
        <v>2058</v>
      </c>
      <c r="E64" s="80"/>
      <c r="F64" s="80" t="s">
        <v>2045</v>
      </c>
      <c r="G64" s="107">
        <v>42759</v>
      </c>
      <c r="H64" s="80" t="s">
        <v>2019</v>
      </c>
      <c r="I64" s="87">
        <v>3.5799999999999996</v>
      </c>
      <c r="J64" s="93" t="s">
        <v>166</v>
      </c>
      <c r="K64" s="94">
        <v>2.5499999999999998E-2</v>
      </c>
      <c r="L64" s="94">
        <v>1.09E-2</v>
      </c>
      <c r="M64" s="87">
        <v>813948.25</v>
      </c>
      <c r="N64" s="89">
        <v>106.43</v>
      </c>
      <c r="O64" s="87">
        <v>866.28515000000004</v>
      </c>
      <c r="P64" s="88">
        <f t="shared" si="1"/>
        <v>9.5151758351022381E-3</v>
      </c>
      <c r="Q64" s="88">
        <f>O64/'סכום נכסי הקרן'!$C$42</f>
        <v>2.3831876531382038E-4</v>
      </c>
    </row>
    <row r="65" spans="2:17">
      <c r="B65" s="86" t="s">
        <v>2217</v>
      </c>
      <c r="C65" s="93" t="s">
        <v>2029</v>
      </c>
      <c r="D65" s="80" t="s">
        <v>2059</v>
      </c>
      <c r="E65" s="80"/>
      <c r="F65" s="80" t="s">
        <v>2045</v>
      </c>
      <c r="G65" s="107">
        <v>42759</v>
      </c>
      <c r="H65" s="80" t="s">
        <v>2019</v>
      </c>
      <c r="I65" s="87">
        <v>3.4899999999999998</v>
      </c>
      <c r="J65" s="93" t="s">
        <v>166</v>
      </c>
      <c r="K65" s="94">
        <v>3.8800000000000001E-2</v>
      </c>
      <c r="L65" s="94">
        <v>1.8000000000000002E-2</v>
      </c>
      <c r="M65" s="87">
        <v>813948.25</v>
      </c>
      <c r="N65" s="89">
        <v>109.15</v>
      </c>
      <c r="O65" s="87">
        <v>888.42453</v>
      </c>
      <c r="P65" s="88">
        <f t="shared" si="1"/>
        <v>9.7583522229003489E-3</v>
      </c>
      <c r="Q65" s="88">
        <f>O65/'סכום נכסי הקרן'!$C$42</f>
        <v>2.4440940383672877E-4</v>
      </c>
    </row>
    <row r="66" spans="2:17">
      <c r="B66" s="86" t="s">
        <v>2218</v>
      </c>
      <c r="C66" s="93" t="s">
        <v>2029</v>
      </c>
      <c r="D66" s="80">
        <v>2963</v>
      </c>
      <c r="E66" s="80"/>
      <c r="F66" s="80" t="s">
        <v>573</v>
      </c>
      <c r="G66" s="107">
        <v>41423</v>
      </c>
      <c r="H66" s="80" t="s">
        <v>162</v>
      </c>
      <c r="I66" s="87">
        <v>4.6900000000000004</v>
      </c>
      <c r="J66" s="93" t="s">
        <v>166</v>
      </c>
      <c r="K66" s="94">
        <v>0.05</v>
      </c>
      <c r="L66" s="94">
        <v>1.9000000000000002E-3</v>
      </c>
      <c r="M66" s="87">
        <v>249558.73</v>
      </c>
      <c r="N66" s="89">
        <v>126.08</v>
      </c>
      <c r="O66" s="87">
        <v>314.64365999999995</v>
      </c>
      <c r="P66" s="88">
        <f t="shared" si="1"/>
        <v>3.4560095487035924E-3</v>
      </c>
      <c r="Q66" s="88">
        <f>O66/'סכום נכסי הקרן'!$C$42</f>
        <v>8.6559822207527712E-5</v>
      </c>
    </row>
    <row r="67" spans="2:17">
      <c r="B67" s="86" t="s">
        <v>2218</v>
      </c>
      <c r="C67" s="93" t="s">
        <v>2029</v>
      </c>
      <c r="D67" s="80">
        <v>2968</v>
      </c>
      <c r="E67" s="80"/>
      <c r="F67" s="80" t="s">
        <v>573</v>
      </c>
      <c r="G67" s="107">
        <v>41423</v>
      </c>
      <c r="H67" s="80" t="s">
        <v>162</v>
      </c>
      <c r="I67" s="87">
        <v>4.6899999999999995</v>
      </c>
      <c r="J67" s="93" t="s">
        <v>166</v>
      </c>
      <c r="K67" s="94">
        <v>0.05</v>
      </c>
      <c r="L67" s="94">
        <v>1.8999999999999998E-3</v>
      </c>
      <c r="M67" s="87">
        <v>80263.03</v>
      </c>
      <c r="N67" s="89">
        <v>126.08</v>
      </c>
      <c r="O67" s="87">
        <v>101.19563000000001</v>
      </c>
      <c r="P67" s="88">
        <f t="shared" si="1"/>
        <v>1.1115210888631151E-3</v>
      </c>
      <c r="Q67" s="88">
        <f>O67/'סכום נכסי הקרן'!$C$42</f>
        <v>2.7839352431187585E-5</v>
      </c>
    </row>
    <row r="68" spans="2:17">
      <c r="B68" s="86" t="s">
        <v>2218</v>
      </c>
      <c r="C68" s="93" t="s">
        <v>2029</v>
      </c>
      <c r="D68" s="80">
        <v>4605</v>
      </c>
      <c r="E68" s="80"/>
      <c r="F68" s="80" t="s">
        <v>573</v>
      </c>
      <c r="G68" s="107">
        <v>42352</v>
      </c>
      <c r="H68" s="80" t="s">
        <v>162</v>
      </c>
      <c r="I68" s="87">
        <v>6.92</v>
      </c>
      <c r="J68" s="93" t="s">
        <v>166</v>
      </c>
      <c r="K68" s="94">
        <v>0.05</v>
      </c>
      <c r="L68" s="94">
        <v>8.5000000000000006E-3</v>
      </c>
      <c r="M68" s="87">
        <v>252687.68</v>
      </c>
      <c r="N68" s="89">
        <v>132.16</v>
      </c>
      <c r="O68" s="87">
        <v>333.95203999999995</v>
      </c>
      <c r="P68" s="88">
        <f t="shared" si="1"/>
        <v>3.6680905601245675E-3</v>
      </c>
      <c r="Q68" s="88">
        <f>O68/'סכום נכסי הקרן'!$C$42</f>
        <v>9.1871640471767921E-5</v>
      </c>
    </row>
    <row r="69" spans="2:17">
      <c r="B69" s="86" t="s">
        <v>2218</v>
      </c>
      <c r="C69" s="93" t="s">
        <v>2029</v>
      </c>
      <c r="D69" s="80">
        <v>4606</v>
      </c>
      <c r="E69" s="80"/>
      <c r="F69" s="80" t="s">
        <v>573</v>
      </c>
      <c r="G69" s="107">
        <v>42352</v>
      </c>
      <c r="H69" s="80" t="s">
        <v>162</v>
      </c>
      <c r="I69" s="87">
        <v>8.9700000000000006</v>
      </c>
      <c r="J69" s="93" t="s">
        <v>166</v>
      </c>
      <c r="K69" s="94">
        <v>4.0999999999999995E-2</v>
      </c>
      <c r="L69" s="94">
        <v>1.0600000000000004E-2</v>
      </c>
      <c r="M69" s="87">
        <v>690277.86</v>
      </c>
      <c r="N69" s="89">
        <v>130.80000000000001</v>
      </c>
      <c r="O69" s="87">
        <v>902.88346999999999</v>
      </c>
      <c r="P69" s="88">
        <f t="shared" si="1"/>
        <v>9.9171675465719988E-3</v>
      </c>
      <c r="Q69" s="88">
        <f>O69/'סכום נכסי הקרן'!$C$42</f>
        <v>2.4838712032944089E-4</v>
      </c>
    </row>
    <row r="70" spans="2:17">
      <c r="B70" s="86" t="s">
        <v>2218</v>
      </c>
      <c r="C70" s="93" t="s">
        <v>2029</v>
      </c>
      <c r="D70" s="80">
        <v>5150</v>
      </c>
      <c r="E70" s="80"/>
      <c r="F70" s="80" t="s">
        <v>573</v>
      </c>
      <c r="G70" s="107">
        <v>42631</v>
      </c>
      <c r="H70" s="80" t="s">
        <v>162</v>
      </c>
      <c r="I70" s="87">
        <v>8.86</v>
      </c>
      <c r="J70" s="93" t="s">
        <v>166</v>
      </c>
      <c r="K70" s="94">
        <v>4.0999999999999995E-2</v>
      </c>
      <c r="L70" s="94">
        <v>1.4499999999999999E-2</v>
      </c>
      <c r="M70" s="87">
        <v>204840.5</v>
      </c>
      <c r="N70" s="89">
        <v>126.87</v>
      </c>
      <c r="O70" s="87">
        <v>259.88114000000002</v>
      </c>
      <c r="P70" s="88">
        <f t="shared" si="1"/>
        <v>2.854504366520448E-3</v>
      </c>
      <c r="Q70" s="88">
        <f>O70/'סכום נכסי הקרן'!$C$42</f>
        <v>7.1494417759727382E-5</v>
      </c>
    </row>
    <row r="71" spans="2:17">
      <c r="B71" s="86" t="s">
        <v>2219</v>
      </c>
      <c r="C71" s="93" t="s">
        <v>2021</v>
      </c>
      <c r="D71" s="80" t="s">
        <v>2060</v>
      </c>
      <c r="E71" s="80"/>
      <c r="F71" s="80" t="s">
        <v>573</v>
      </c>
      <c r="G71" s="107">
        <v>43011</v>
      </c>
      <c r="H71" s="80" t="s">
        <v>162</v>
      </c>
      <c r="I71" s="87">
        <v>8.6</v>
      </c>
      <c r="J71" s="93" t="s">
        <v>166</v>
      </c>
      <c r="K71" s="94">
        <v>3.9E-2</v>
      </c>
      <c r="L71" s="94">
        <v>2.1000000000000001E-2</v>
      </c>
      <c r="M71" s="87">
        <v>155970.39000000001</v>
      </c>
      <c r="N71" s="89">
        <v>118.42</v>
      </c>
      <c r="O71" s="87">
        <v>184.70015000000001</v>
      </c>
      <c r="P71" s="88">
        <f t="shared" si="1"/>
        <v>2.028725072823606E-3</v>
      </c>
      <c r="Q71" s="88">
        <f>O71/'סכום נכסי הקרן'!$C$42</f>
        <v>5.0811804521037238E-5</v>
      </c>
    </row>
    <row r="72" spans="2:17">
      <c r="B72" s="86" t="s">
        <v>2219</v>
      </c>
      <c r="C72" s="93" t="s">
        <v>2021</v>
      </c>
      <c r="D72" s="80" t="s">
        <v>2061</v>
      </c>
      <c r="E72" s="80"/>
      <c r="F72" s="80" t="s">
        <v>573</v>
      </c>
      <c r="G72" s="107">
        <v>43104</v>
      </c>
      <c r="H72" s="80" t="s">
        <v>162</v>
      </c>
      <c r="I72" s="87">
        <v>8.6100000000000012</v>
      </c>
      <c r="J72" s="93" t="s">
        <v>166</v>
      </c>
      <c r="K72" s="94">
        <v>3.8199999999999998E-2</v>
      </c>
      <c r="L72" s="94">
        <v>2.3900000000000001E-2</v>
      </c>
      <c r="M72" s="87">
        <v>277581.99</v>
      </c>
      <c r="N72" s="89">
        <v>112.58</v>
      </c>
      <c r="O72" s="87">
        <v>312.50180999999998</v>
      </c>
      <c r="P72" s="88">
        <f t="shared" si="1"/>
        <v>3.4324837161732605E-3</v>
      </c>
      <c r="Q72" s="88">
        <f>O72/'סכום נכסי הקרן'!$C$42</f>
        <v>8.5970590073642704E-5</v>
      </c>
    </row>
    <row r="73" spans="2:17">
      <c r="B73" s="86" t="s">
        <v>2219</v>
      </c>
      <c r="C73" s="93" t="s">
        <v>2021</v>
      </c>
      <c r="D73" s="80" t="s">
        <v>2062</v>
      </c>
      <c r="E73" s="80"/>
      <c r="F73" s="80" t="s">
        <v>573</v>
      </c>
      <c r="G73" s="107">
        <v>43194</v>
      </c>
      <c r="H73" s="80" t="s">
        <v>162</v>
      </c>
      <c r="I73" s="87">
        <v>8.66</v>
      </c>
      <c r="J73" s="93" t="s">
        <v>166</v>
      </c>
      <c r="K73" s="94">
        <v>3.7900000000000003E-2</v>
      </c>
      <c r="L73" s="94">
        <v>1.9600000000000003E-2</v>
      </c>
      <c r="M73" s="87">
        <v>179201.65</v>
      </c>
      <c r="N73" s="89">
        <v>116.73</v>
      </c>
      <c r="O73" s="87">
        <v>209.18208999999999</v>
      </c>
      <c r="P73" s="88">
        <f t="shared" si="1"/>
        <v>2.2976318685645034E-3</v>
      </c>
      <c r="Q73" s="88">
        <f>O73/'סכום נכסי הקרן'!$C$42</f>
        <v>5.7546891360846307E-5</v>
      </c>
    </row>
    <row r="74" spans="2:17">
      <c r="B74" s="86" t="s">
        <v>2219</v>
      </c>
      <c r="C74" s="93" t="s">
        <v>2021</v>
      </c>
      <c r="D74" s="80" t="s">
        <v>2063</v>
      </c>
      <c r="E74" s="80"/>
      <c r="F74" s="80" t="s">
        <v>573</v>
      </c>
      <c r="G74" s="107">
        <v>43285</v>
      </c>
      <c r="H74" s="80" t="s">
        <v>162</v>
      </c>
      <c r="I74" s="87">
        <v>8.629999999999999</v>
      </c>
      <c r="J74" s="93" t="s">
        <v>166</v>
      </c>
      <c r="K74" s="94">
        <v>4.0099999999999997E-2</v>
      </c>
      <c r="L74" s="94">
        <v>1.9699999999999999E-2</v>
      </c>
      <c r="M74" s="87">
        <v>238027.68</v>
      </c>
      <c r="N74" s="89">
        <v>117.35</v>
      </c>
      <c r="O74" s="87">
        <v>279.32549999999998</v>
      </c>
      <c r="P74" s="88">
        <f t="shared" si="1"/>
        <v>3.0680789665248789E-3</v>
      </c>
      <c r="Q74" s="88">
        <f>O74/'סכום נכסי הקרן'!$C$42</f>
        <v>7.6843644705978771E-5</v>
      </c>
    </row>
    <row r="75" spans="2:17">
      <c r="B75" s="86" t="s">
        <v>2219</v>
      </c>
      <c r="C75" s="93" t="s">
        <v>2021</v>
      </c>
      <c r="D75" s="80" t="s">
        <v>2064</v>
      </c>
      <c r="E75" s="80"/>
      <c r="F75" s="80" t="s">
        <v>573</v>
      </c>
      <c r="G75" s="107">
        <v>43377</v>
      </c>
      <c r="H75" s="80" t="s">
        <v>162</v>
      </c>
      <c r="I75" s="87">
        <v>8.6199999999999992</v>
      </c>
      <c r="J75" s="93" t="s">
        <v>166</v>
      </c>
      <c r="K75" s="94">
        <v>3.9699999999999999E-2</v>
      </c>
      <c r="L75" s="94">
        <v>2.1300000000000003E-2</v>
      </c>
      <c r="M75" s="87">
        <v>476271.4</v>
      </c>
      <c r="N75" s="89">
        <v>115.18</v>
      </c>
      <c r="O75" s="87">
        <v>548.56938000000002</v>
      </c>
      <c r="P75" s="88">
        <f t="shared" si="1"/>
        <v>6.025422585684421E-3</v>
      </c>
      <c r="Q75" s="88">
        <f>O75/'סכום נכסי הקרן'!$C$42</f>
        <v>1.509137924510976E-4</v>
      </c>
    </row>
    <row r="76" spans="2:17">
      <c r="B76" s="86" t="s">
        <v>2219</v>
      </c>
      <c r="C76" s="93" t="s">
        <v>2021</v>
      </c>
      <c r="D76" s="80" t="s">
        <v>2065</v>
      </c>
      <c r="E76" s="80"/>
      <c r="F76" s="80" t="s">
        <v>573</v>
      </c>
      <c r="G76" s="107">
        <v>43469</v>
      </c>
      <c r="H76" s="80" t="s">
        <v>162</v>
      </c>
      <c r="I76" s="87">
        <v>10.33</v>
      </c>
      <c r="J76" s="93" t="s">
        <v>166</v>
      </c>
      <c r="K76" s="94">
        <v>4.1700000000000001E-2</v>
      </c>
      <c r="L76" s="94">
        <v>1.7600000000000001E-2</v>
      </c>
      <c r="M76" s="87">
        <v>335111.58</v>
      </c>
      <c r="N76" s="89">
        <v>124.66</v>
      </c>
      <c r="O76" s="87">
        <v>417.75011999999998</v>
      </c>
      <c r="P76" s="88">
        <f t="shared" si="1"/>
        <v>4.5885189731522695E-3</v>
      </c>
      <c r="Q76" s="88">
        <f>O76/'סכום נכסי הקרן'!$C$42</f>
        <v>1.1492485217840834E-4</v>
      </c>
    </row>
    <row r="77" spans="2:17">
      <c r="B77" s="86" t="s">
        <v>2219</v>
      </c>
      <c r="C77" s="93" t="s">
        <v>2021</v>
      </c>
      <c r="D77" s="80" t="s">
        <v>2066</v>
      </c>
      <c r="E77" s="80"/>
      <c r="F77" s="80" t="s">
        <v>573</v>
      </c>
      <c r="G77" s="107">
        <v>43559</v>
      </c>
      <c r="H77" s="80" t="s">
        <v>162</v>
      </c>
      <c r="I77" s="87">
        <v>10.33</v>
      </c>
      <c r="J77" s="93" t="s">
        <v>166</v>
      </c>
      <c r="K77" s="94">
        <v>3.7200000000000004E-2</v>
      </c>
      <c r="L77" s="94">
        <v>2.1000000000000001E-2</v>
      </c>
      <c r="M77" s="87">
        <v>802850.36</v>
      </c>
      <c r="N77" s="89">
        <v>115.72</v>
      </c>
      <c r="O77" s="87">
        <v>929.05843999999991</v>
      </c>
      <c r="P77" s="88">
        <f t="shared" si="1"/>
        <v>1.0204670387903776E-2</v>
      </c>
      <c r="Q77" s="88">
        <f>O77/'סכום נכסי הקרן'!$C$42</f>
        <v>2.555879669935287E-4</v>
      </c>
    </row>
    <row r="78" spans="2:17">
      <c r="B78" s="86" t="s">
        <v>2219</v>
      </c>
      <c r="C78" s="93" t="s">
        <v>2021</v>
      </c>
      <c r="D78" s="80" t="s">
        <v>2067</v>
      </c>
      <c r="E78" s="80"/>
      <c r="F78" s="80" t="s">
        <v>573</v>
      </c>
      <c r="G78" s="107">
        <v>43742</v>
      </c>
      <c r="H78" s="80" t="s">
        <v>162</v>
      </c>
      <c r="I78" s="87">
        <v>10.180000000000001</v>
      </c>
      <c r="J78" s="93" t="s">
        <v>166</v>
      </c>
      <c r="K78" s="94">
        <v>3.1E-2</v>
      </c>
      <c r="L78" s="94">
        <v>2.9500000000000002E-2</v>
      </c>
      <c r="M78" s="87">
        <v>946251.66</v>
      </c>
      <c r="N78" s="89">
        <v>101.91</v>
      </c>
      <c r="O78" s="87">
        <v>964.32508999999993</v>
      </c>
      <c r="P78" s="88">
        <f t="shared" si="1"/>
        <v>1.0592035190203582E-2</v>
      </c>
      <c r="Q78" s="88">
        <f>O78/'סכום נכסי הקרן'!$C$42</f>
        <v>2.6528997387285084E-4</v>
      </c>
    </row>
    <row r="79" spans="2:17">
      <c r="B79" s="86" t="s">
        <v>2219</v>
      </c>
      <c r="C79" s="93" t="s">
        <v>2021</v>
      </c>
      <c r="D79" s="80" t="s">
        <v>2068</v>
      </c>
      <c r="E79" s="80"/>
      <c r="F79" s="80" t="s">
        <v>573</v>
      </c>
      <c r="G79" s="107">
        <v>42935</v>
      </c>
      <c r="H79" s="80" t="s">
        <v>162</v>
      </c>
      <c r="I79" s="87">
        <v>10.27</v>
      </c>
      <c r="J79" s="93" t="s">
        <v>166</v>
      </c>
      <c r="K79" s="94">
        <v>4.0800000000000003E-2</v>
      </c>
      <c r="L79" s="94">
        <v>2.07E-2</v>
      </c>
      <c r="M79" s="87">
        <v>727970.49</v>
      </c>
      <c r="N79" s="89">
        <v>121.52</v>
      </c>
      <c r="O79" s="87">
        <v>884.62973999999997</v>
      </c>
      <c r="P79" s="88">
        <f t="shared" si="1"/>
        <v>9.7166706886996444E-3</v>
      </c>
      <c r="Q79" s="88">
        <f>O79/'סכום נכסי הקרן'!$C$42</f>
        <v>2.4336544080974482E-4</v>
      </c>
    </row>
    <row r="80" spans="2:17">
      <c r="B80" s="86" t="s">
        <v>2207</v>
      </c>
      <c r="C80" s="93" t="s">
        <v>2029</v>
      </c>
      <c r="D80" s="80" t="s">
        <v>2069</v>
      </c>
      <c r="E80" s="80"/>
      <c r="F80" s="80" t="s">
        <v>2070</v>
      </c>
      <c r="G80" s="107">
        <v>40742</v>
      </c>
      <c r="H80" s="80" t="s">
        <v>2019</v>
      </c>
      <c r="I80" s="87">
        <v>7.6700000000000008</v>
      </c>
      <c r="J80" s="93" t="s">
        <v>166</v>
      </c>
      <c r="K80" s="94">
        <v>0.06</v>
      </c>
      <c r="L80" s="94">
        <v>1.1000000000000001E-3</v>
      </c>
      <c r="M80" s="87">
        <v>949943.81</v>
      </c>
      <c r="N80" s="89">
        <v>161.47999999999999</v>
      </c>
      <c r="O80" s="87">
        <v>1533.9692500000001</v>
      </c>
      <c r="P80" s="88">
        <f t="shared" si="1"/>
        <v>1.6848940720488977E-2</v>
      </c>
      <c r="Q80" s="88">
        <f>O80/'סכום נכסי הקרן'!$C$42</f>
        <v>4.2200152881457923E-4</v>
      </c>
    </row>
    <row r="81" spans="2:17">
      <c r="B81" s="86" t="s">
        <v>2220</v>
      </c>
      <c r="C81" s="93" t="s">
        <v>2021</v>
      </c>
      <c r="D81" s="80" t="s">
        <v>2071</v>
      </c>
      <c r="E81" s="80"/>
      <c r="F81" s="80" t="s">
        <v>2070</v>
      </c>
      <c r="G81" s="107">
        <v>42680</v>
      </c>
      <c r="H81" s="80" t="s">
        <v>2019</v>
      </c>
      <c r="I81" s="87">
        <v>3.54</v>
      </c>
      <c r="J81" s="93" t="s">
        <v>166</v>
      </c>
      <c r="K81" s="94">
        <v>2.3E-2</v>
      </c>
      <c r="L81" s="94">
        <v>1.3499999999999998E-2</v>
      </c>
      <c r="M81" s="87">
        <v>282736.49</v>
      </c>
      <c r="N81" s="89">
        <v>105.81</v>
      </c>
      <c r="O81" s="87">
        <v>299.1635</v>
      </c>
      <c r="P81" s="88">
        <f t="shared" si="1"/>
        <v>3.2859772627345718E-3</v>
      </c>
      <c r="Q81" s="88">
        <f>O81/'סכום נכסי הקרן'!$C$42</f>
        <v>8.2301163706847676E-5</v>
      </c>
    </row>
    <row r="82" spans="2:17">
      <c r="B82" s="86" t="s">
        <v>2221</v>
      </c>
      <c r="C82" s="93" t="s">
        <v>2021</v>
      </c>
      <c r="D82" s="80" t="s">
        <v>2072</v>
      </c>
      <c r="E82" s="80"/>
      <c r="F82" s="80" t="s">
        <v>577</v>
      </c>
      <c r="G82" s="107">
        <v>42516</v>
      </c>
      <c r="H82" s="80" t="s">
        <v>294</v>
      </c>
      <c r="I82" s="87">
        <v>5.169999999999999</v>
      </c>
      <c r="J82" s="93" t="s">
        <v>166</v>
      </c>
      <c r="K82" s="94">
        <v>2.3269999999999999E-2</v>
      </c>
      <c r="L82" s="94">
        <v>1.4599999999999995E-2</v>
      </c>
      <c r="M82" s="87">
        <v>1761626.21</v>
      </c>
      <c r="N82" s="89">
        <v>106.86</v>
      </c>
      <c r="O82" s="87">
        <v>1882.4738300000001</v>
      </c>
      <c r="P82" s="88">
        <f t="shared" si="1"/>
        <v>2.0676874695853158E-2</v>
      </c>
      <c r="Q82" s="88">
        <f>O82/'סכום נכסי הקרן'!$C$42</f>
        <v>5.1787663554105556E-4</v>
      </c>
    </row>
    <row r="83" spans="2:17">
      <c r="B83" s="86" t="s">
        <v>2220</v>
      </c>
      <c r="C83" s="93" t="s">
        <v>2021</v>
      </c>
      <c r="D83" s="80" t="s">
        <v>2073</v>
      </c>
      <c r="E83" s="80"/>
      <c r="F83" s="80" t="s">
        <v>2070</v>
      </c>
      <c r="G83" s="107">
        <v>42680</v>
      </c>
      <c r="H83" s="80" t="s">
        <v>2019</v>
      </c>
      <c r="I83" s="87">
        <v>2.3499999999999996</v>
      </c>
      <c r="J83" s="93" t="s">
        <v>166</v>
      </c>
      <c r="K83" s="94">
        <v>2.35E-2</v>
      </c>
      <c r="L83" s="94">
        <v>1.9699999999999999E-2</v>
      </c>
      <c r="M83" s="87">
        <v>555846.6</v>
      </c>
      <c r="N83" s="89">
        <v>101.04</v>
      </c>
      <c r="O83" s="87">
        <v>561.62742000000003</v>
      </c>
      <c r="P83" s="88">
        <f t="shared" si="1"/>
        <v>6.1688505858778888E-3</v>
      </c>
      <c r="Q83" s="88">
        <f>O83/'סכום נכסי הקרן'!$C$42</f>
        <v>1.5450611533718018E-4</v>
      </c>
    </row>
    <row r="84" spans="2:17">
      <c r="B84" s="86" t="s">
        <v>2220</v>
      </c>
      <c r="C84" s="93" t="s">
        <v>2021</v>
      </c>
      <c r="D84" s="80" t="s">
        <v>2074</v>
      </c>
      <c r="E84" s="80"/>
      <c r="F84" s="80" t="s">
        <v>2070</v>
      </c>
      <c r="G84" s="107">
        <v>42680</v>
      </c>
      <c r="H84" s="80" t="s">
        <v>2019</v>
      </c>
      <c r="I84" s="87">
        <v>3.4899999999999998</v>
      </c>
      <c r="J84" s="93" t="s">
        <v>166</v>
      </c>
      <c r="K84" s="94">
        <v>3.3700000000000001E-2</v>
      </c>
      <c r="L84" s="94">
        <v>2.5900000000000003E-2</v>
      </c>
      <c r="M84" s="87">
        <v>144448.10999999999</v>
      </c>
      <c r="N84" s="89">
        <v>103</v>
      </c>
      <c r="O84" s="87">
        <v>148.78155999999998</v>
      </c>
      <c r="P84" s="88">
        <f t="shared" si="1"/>
        <v>1.6341994370107965E-3</v>
      </c>
      <c r="Q84" s="88">
        <f>O84/'סכום נכסי הקרן'!$C$42</f>
        <v>4.0930446147742552E-5</v>
      </c>
    </row>
    <row r="85" spans="2:17">
      <c r="B85" s="86" t="s">
        <v>2220</v>
      </c>
      <c r="C85" s="93" t="s">
        <v>2021</v>
      </c>
      <c r="D85" s="80" t="s">
        <v>2075</v>
      </c>
      <c r="E85" s="80"/>
      <c r="F85" s="80" t="s">
        <v>2070</v>
      </c>
      <c r="G85" s="107">
        <v>42717</v>
      </c>
      <c r="H85" s="80" t="s">
        <v>2019</v>
      </c>
      <c r="I85" s="87">
        <v>3.24</v>
      </c>
      <c r="J85" s="93" t="s">
        <v>166</v>
      </c>
      <c r="K85" s="94">
        <v>3.85E-2</v>
      </c>
      <c r="L85" s="94">
        <v>3.1300000000000001E-2</v>
      </c>
      <c r="M85" s="87">
        <v>37547.08</v>
      </c>
      <c r="N85" s="89">
        <v>102.63</v>
      </c>
      <c r="O85" s="87">
        <v>38.534570000000002</v>
      </c>
      <c r="P85" s="88">
        <f t="shared" si="1"/>
        <v>4.2325925739354484E-4</v>
      </c>
      <c r="Q85" s="88">
        <f>O85/'סכום נכסי הקרן'!$C$42</f>
        <v>1.0601025706488196E-5</v>
      </c>
    </row>
    <row r="86" spans="2:17">
      <c r="B86" s="86" t="s">
        <v>2220</v>
      </c>
      <c r="C86" s="93" t="s">
        <v>2021</v>
      </c>
      <c r="D86" s="80" t="s">
        <v>2076</v>
      </c>
      <c r="E86" s="80"/>
      <c r="F86" s="80" t="s">
        <v>2070</v>
      </c>
      <c r="G86" s="107">
        <v>42710</v>
      </c>
      <c r="H86" s="80" t="s">
        <v>2019</v>
      </c>
      <c r="I86" s="87">
        <v>3.2399999999999993</v>
      </c>
      <c r="J86" s="93" t="s">
        <v>166</v>
      </c>
      <c r="K86" s="94">
        <v>3.8399999999999997E-2</v>
      </c>
      <c r="L86" s="94">
        <v>3.1200000000000002E-2</v>
      </c>
      <c r="M86" s="87">
        <v>112255.47</v>
      </c>
      <c r="N86" s="89">
        <v>102.63</v>
      </c>
      <c r="O86" s="87">
        <v>115.20778999999999</v>
      </c>
      <c r="P86" s="88">
        <f t="shared" ref="P86:P149" si="2">O86/$O$10</f>
        <v>1.2654290327192299E-3</v>
      </c>
      <c r="Q86" s="88">
        <f>O86/'סכום נכסי הקרן'!$C$42</f>
        <v>3.1694157827054863E-5</v>
      </c>
    </row>
    <row r="87" spans="2:17">
      <c r="B87" s="86" t="s">
        <v>2220</v>
      </c>
      <c r="C87" s="93" t="s">
        <v>2021</v>
      </c>
      <c r="D87" s="80" t="s">
        <v>2077</v>
      </c>
      <c r="E87" s="80"/>
      <c r="F87" s="80" t="s">
        <v>2070</v>
      </c>
      <c r="G87" s="107">
        <v>42680</v>
      </c>
      <c r="H87" s="80" t="s">
        <v>2019</v>
      </c>
      <c r="I87" s="87">
        <v>4.45</v>
      </c>
      <c r="J87" s="93" t="s">
        <v>166</v>
      </c>
      <c r="K87" s="94">
        <v>3.6699999999999997E-2</v>
      </c>
      <c r="L87" s="94">
        <v>2.6300000000000004E-2</v>
      </c>
      <c r="M87" s="87">
        <v>492020.73</v>
      </c>
      <c r="N87" s="89">
        <v>104.97</v>
      </c>
      <c r="O87" s="87">
        <v>516.47416999999996</v>
      </c>
      <c r="P87" s="88">
        <f t="shared" si="2"/>
        <v>5.6728925133236836E-3</v>
      </c>
      <c r="Q87" s="88">
        <f>O87/'סכום נכסי הקרן'!$C$42</f>
        <v>1.4208426233657608E-4</v>
      </c>
    </row>
    <row r="88" spans="2:17">
      <c r="B88" s="86" t="s">
        <v>2220</v>
      </c>
      <c r="C88" s="93" t="s">
        <v>2021</v>
      </c>
      <c r="D88" s="80" t="s">
        <v>2078</v>
      </c>
      <c r="E88" s="80"/>
      <c r="F88" s="80" t="s">
        <v>2070</v>
      </c>
      <c r="G88" s="107">
        <v>42680</v>
      </c>
      <c r="H88" s="80" t="s">
        <v>2019</v>
      </c>
      <c r="I88" s="87">
        <v>2.34</v>
      </c>
      <c r="J88" s="93" t="s">
        <v>166</v>
      </c>
      <c r="K88" s="94">
        <v>3.1800000000000002E-2</v>
      </c>
      <c r="L88" s="94">
        <v>2.5299999999999993E-2</v>
      </c>
      <c r="M88" s="87">
        <v>567145.99</v>
      </c>
      <c r="N88" s="89">
        <v>101.72</v>
      </c>
      <c r="O88" s="87">
        <v>576.90089999999998</v>
      </c>
      <c r="P88" s="88">
        <f t="shared" si="2"/>
        <v>6.3366127226453456E-3</v>
      </c>
      <c r="Q88" s="88">
        <f>O88/'סכום נכסי הקרן'!$C$42</f>
        <v>1.5870791528220442E-4</v>
      </c>
    </row>
    <row r="89" spans="2:17">
      <c r="B89" s="86" t="s">
        <v>2222</v>
      </c>
      <c r="C89" s="93" t="s">
        <v>2029</v>
      </c>
      <c r="D89" s="80" t="s">
        <v>2079</v>
      </c>
      <c r="E89" s="80"/>
      <c r="F89" s="80" t="s">
        <v>2070</v>
      </c>
      <c r="G89" s="107">
        <v>42884</v>
      </c>
      <c r="H89" s="80" t="s">
        <v>2019</v>
      </c>
      <c r="I89" s="87">
        <v>0.78</v>
      </c>
      <c r="J89" s="93" t="s">
        <v>166</v>
      </c>
      <c r="K89" s="94">
        <v>2.2099999999999998E-2</v>
      </c>
      <c r="L89" s="94">
        <v>1.4800000000000002E-2</v>
      </c>
      <c r="M89" s="87">
        <v>322012.11</v>
      </c>
      <c r="N89" s="89">
        <v>100.77</v>
      </c>
      <c r="O89" s="87">
        <v>324.49159999999995</v>
      </c>
      <c r="P89" s="88">
        <f t="shared" si="2"/>
        <v>3.5641781819919925E-3</v>
      </c>
      <c r="Q89" s="88">
        <f>O89/'סכום נכסי הקרן'!$C$42</f>
        <v>8.9269032796771431E-5</v>
      </c>
    </row>
    <row r="90" spans="2:17">
      <c r="B90" s="86" t="s">
        <v>2222</v>
      </c>
      <c r="C90" s="93" t="s">
        <v>2029</v>
      </c>
      <c r="D90" s="80" t="s">
        <v>2080</v>
      </c>
      <c r="E90" s="80"/>
      <c r="F90" s="80" t="s">
        <v>2070</v>
      </c>
      <c r="G90" s="107">
        <v>43006</v>
      </c>
      <c r="H90" s="80" t="s">
        <v>2019</v>
      </c>
      <c r="I90" s="87">
        <v>0.98999999999999988</v>
      </c>
      <c r="J90" s="93" t="s">
        <v>166</v>
      </c>
      <c r="K90" s="94">
        <v>2.0799999999999999E-2</v>
      </c>
      <c r="L90" s="94">
        <v>1.6300000000000002E-2</v>
      </c>
      <c r="M90" s="87">
        <v>375680.79</v>
      </c>
      <c r="N90" s="89">
        <v>100.46</v>
      </c>
      <c r="O90" s="87">
        <v>377.40890999999999</v>
      </c>
      <c r="P90" s="88">
        <f t="shared" si="2"/>
        <v>4.145415791075577E-3</v>
      </c>
      <c r="Q90" s="88">
        <f>O90/'סכום נכסי הקרן'!$C$42</f>
        <v>1.0382681204870561E-4</v>
      </c>
    </row>
    <row r="91" spans="2:17">
      <c r="B91" s="86" t="s">
        <v>2222</v>
      </c>
      <c r="C91" s="93" t="s">
        <v>2029</v>
      </c>
      <c r="D91" s="80" t="s">
        <v>2081</v>
      </c>
      <c r="E91" s="80"/>
      <c r="F91" s="80" t="s">
        <v>2070</v>
      </c>
      <c r="G91" s="107">
        <v>42828</v>
      </c>
      <c r="H91" s="80" t="s">
        <v>2019</v>
      </c>
      <c r="I91" s="87">
        <v>0.62999999999999989</v>
      </c>
      <c r="J91" s="93" t="s">
        <v>166</v>
      </c>
      <c r="K91" s="94">
        <v>2.2700000000000001E-2</v>
      </c>
      <c r="L91" s="94">
        <v>1.4399999999999998E-2</v>
      </c>
      <c r="M91" s="87">
        <v>322012.11</v>
      </c>
      <c r="N91" s="89">
        <v>101.08</v>
      </c>
      <c r="O91" s="87">
        <v>325.48983000000004</v>
      </c>
      <c r="P91" s="88">
        <f t="shared" si="2"/>
        <v>3.5751426247899267E-3</v>
      </c>
      <c r="Q91" s="88">
        <f>O91/'סכום נכסי הקרן'!$C$42</f>
        <v>8.9543650157001187E-5</v>
      </c>
    </row>
    <row r="92" spans="2:17">
      <c r="B92" s="86" t="s">
        <v>2222</v>
      </c>
      <c r="C92" s="93" t="s">
        <v>2029</v>
      </c>
      <c r="D92" s="80" t="s">
        <v>2082</v>
      </c>
      <c r="E92" s="80"/>
      <c r="F92" s="80" t="s">
        <v>2070</v>
      </c>
      <c r="G92" s="107">
        <v>42859</v>
      </c>
      <c r="H92" s="80" t="s">
        <v>2019</v>
      </c>
      <c r="I92" s="87">
        <v>0.70999999999999985</v>
      </c>
      <c r="J92" s="93" t="s">
        <v>166</v>
      </c>
      <c r="K92" s="94">
        <v>2.2799999999999997E-2</v>
      </c>
      <c r="L92" s="94">
        <v>1.44E-2</v>
      </c>
      <c r="M92" s="87">
        <v>322012.11</v>
      </c>
      <c r="N92" s="89">
        <v>100.96</v>
      </c>
      <c r="O92" s="87">
        <v>325.10343999999998</v>
      </c>
      <c r="P92" s="88">
        <f t="shared" si="2"/>
        <v>3.5708985617456442E-3</v>
      </c>
      <c r="Q92" s="88">
        <f>O92/'סכום נכסי הקרן'!$C$42</f>
        <v>8.9437352608521203E-5</v>
      </c>
    </row>
    <row r="93" spans="2:17">
      <c r="B93" s="86" t="s">
        <v>2223</v>
      </c>
      <c r="C93" s="93" t="s">
        <v>2021</v>
      </c>
      <c r="D93" s="80" t="s">
        <v>2083</v>
      </c>
      <c r="E93" s="80"/>
      <c r="F93" s="80" t="s">
        <v>2084</v>
      </c>
      <c r="G93" s="107">
        <v>43093</v>
      </c>
      <c r="H93" s="80" t="s">
        <v>2019</v>
      </c>
      <c r="I93" s="87">
        <v>3.98</v>
      </c>
      <c r="J93" s="93" t="s">
        <v>166</v>
      </c>
      <c r="K93" s="94">
        <v>2.6089999999999999E-2</v>
      </c>
      <c r="L93" s="94">
        <v>1.9699999999999995E-2</v>
      </c>
      <c r="M93" s="87">
        <v>824527.8</v>
      </c>
      <c r="N93" s="89">
        <v>104.1</v>
      </c>
      <c r="O93" s="87">
        <v>858.33343000000002</v>
      </c>
      <c r="P93" s="88">
        <f t="shared" si="2"/>
        <v>9.4278350628501685E-3</v>
      </c>
      <c r="Q93" s="88">
        <f>O93/'סכום נכסי הקרן'!$C$42</f>
        <v>2.3613121299052218E-4</v>
      </c>
    </row>
    <row r="94" spans="2:17">
      <c r="B94" s="86" t="s">
        <v>2223</v>
      </c>
      <c r="C94" s="93" t="s">
        <v>2021</v>
      </c>
      <c r="D94" s="80" t="s">
        <v>2085</v>
      </c>
      <c r="E94" s="80"/>
      <c r="F94" s="80" t="s">
        <v>2084</v>
      </c>
      <c r="G94" s="107">
        <v>43374</v>
      </c>
      <c r="H94" s="80" t="s">
        <v>2019</v>
      </c>
      <c r="I94" s="87">
        <v>3.9800000000000004</v>
      </c>
      <c r="J94" s="93" t="s">
        <v>166</v>
      </c>
      <c r="K94" s="94">
        <v>2.6849999999999999E-2</v>
      </c>
      <c r="L94" s="94">
        <v>1.9100000000000002E-2</v>
      </c>
      <c r="M94" s="87">
        <v>1154338.92</v>
      </c>
      <c r="N94" s="89">
        <v>103.51</v>
      </c>
      <c r="O94" s="87">
        <v>1194.8562299999999</v>
      </c>
      <c r="P94" s="88">
        <f t="shared" si="2"/>
        <v>1.312416255330864E-2</v>
      </c>
      <c r="Q94" s="88">
        <f>O94/'סכום נכסי הקרן'!$C$42</f>
        <v>3.287100805792713E-4</v>
      </c>
    </row>
    <row r="95" spans="2:17">
      <c r="B95" s="86" t="s">
        <v>2224</v>
      </c>
      <c r="C95" s="93" t="s">
        <v>2021</v>
      </c>
      <c r="D95" s="80" t="s">
        <v>2086</v>
      </c>
      <c r="E95" s="80"/>
      <c r="F95" s="80" t="s">
        <v>610</v>
      </c>
      <c r="G95" s="107">
        <v>43301</v>
      </c>
      <c r="H95" s="80" t="s">
        <v>294</v>
      </c>
      <c r="I95" s="87">
        <v>1.1200000000000001</v>
      </c>
      <c r="J95" s="93" t="s">
        <v>165</v>
      </c>
      <c r="K95" s="94">
        <v>6.3230000000000008E-2</v>
      </c>
      <c r="L95" s="94">
        <v>6.4499999999999988E-2</v>
      </c>
      <c r="M95" s="87">
        <v>841045.17</v>
      </c>
      <c r="N95" s="89">
        <v>101.18</v>
      </c>
      <c r="O95" s="87">
        <v>2940.95066</v>
      </c>
      <c r="P95" s="88">
        <f t="shared" si="2"/>
        <v>3.2303061702327433E-2</v>
      </c>
      <c r="Q95" s="88">
        <f>O95/'סכום נכסי הקרן'!$C$42</f>
        <v>8.090681574537727E-4</v>
      </c>
    </row>
    <row r="96" spans="2:17">
      <c r="B96" s="86" t="s">
        <v>2224</v>
      </c>
      <c r="C96" s="93" t="s">
        <v>2021</v>
      </c>
      <c r="D96" s="80" t="s">
        <v>2087</v>
      </c>
      <c r="E96" s="80"/>
      <c r="F96" s="80" t="s">
        <v>610</v>
      </c>
      <c r="G96" s="107">
        <v>43496</v>
      </c>
      <c r="H96" s="80" t="s">
        <v>294</v>
      </c>
      <c r="I96" s="87">
        <v>1.1000000000000001</v>
      </c>
      <c r="J96" s="93" t="s">
        <v>165</v>
      </c>
      <c r="K96" s="94">
        <v>6.1839999999999999E-2</v>
      </c>
      <c r="L96" s="94">
        <v>6.4500000000000016E-2</v>
      </c>
      <c r="M96" s="87">
        <v>311528.57</v>
      </c>
      <c r="N96" s="89">
        <v>101.18</v>
      </c>
      <c r="O96" s="87">
        <v>1089.34717</v>
      </c>
      <c r="P96" s="88">
        <f t="shared" si="2"/>
        <v>1.1965263248505423E-2</v>
      </c>
      <c r="Q96" s="88">
        <f>O96/'סכום נכסי הקרן'!$C$42</f>
        <v>2.996840850296284E-4</v>
      </c>
    </row>
    <row r="97" spans="2:17">
      <c r="B97" s="86" t="s">
        <v>2224</v>
      </c>
      <c r="C97" s="93" t="s">
        <v>2021</v>
      </c>
      <c r="D97" s="80" t="s">
        <v>2088</v>
      </c>
      <c r="E97" s="80"/>
      <c r="F97" s="80" t="s">
        <v>610</v>
      </c>
      <c r="G97" s="107">
        <v>43738</v>
      </c>
      <c r="H97" s="80" t="s">
        <v>294</v>
      </c>
      <c r="I97" s="87">
        <v>1.0999999999999999</v>
      </c>
      <c r="J97" s="93" t="s">
        <v>165</v>
      </c>
      <c r="K97" s="94">
        <v>6.1839999999999999E-2</v>
      </c>
      <c r="L97" s="94">
        <v>6.4499999999999988E-2</v>
      </c>
      <c r="M97" s="87">
        <v>81195.41</v>
      </c>
      <c r="N97" s="89">
        <v>101.18</v>
      </c>
      <c r="O97" s="87">
        <v>283.92257000000001</v>
      </c>
      <c r="P97" s="88">
        <f t="shared" si="2"/>
        <v>3.1185726514002038E-3</v>
      </c>
      <c r="Q97" s="88">
        <f>O97/'סכום נכסי הקרן'!$C$42</f>
        <v>7.8108318406620194E-5</v>
      </c>
    </row>
    <row r="98" spans="2:17">
      <c r="B98" s="86" t="s">
        <v>2224</v>
      </c>
      <c r="C98" s="93" t="s">
        <v>2021</v>
      </c>
      <c r="D98" s="80">
        <v>6615</v>
      </c>
      <c r="E98" s="80"/>
      <c r="F98" s="80" t="s">
        <v>610</v>
      </c>
      <c r="G98" s="107">
        <v>43496</v>
      </c>
      <c r="H98" s="80" t="s">
        <v>294</v>
      </c>
      <c r="I98" s="87">
        <v>1.0999999999999999</v>
      </c>
      <c r="J98" s="93" t="s">
        <v>165</v>
      </c>
      <c r="K98" s="94">
        <v>6.1839999999999999E-2</v>
      </c>
      <c r="L98" s="94">
        <v>6.4499999999999988E-2</v>
      </c>
      <c r="M98" s="87">
        <v>56893.46</v>
      </c>
      <c r="N98" s="89">
        <v>101.18</v>
      </c>
      <c r="O98" s="87">
        <v>198.94394</v>
      </c>
      <c r="P98" s="88">
        <f t="shared" si="2"/>
        <v>2.1851772137938983E-3</v>
      </c>
      <c r="Q98" s="88">
        <f>O98/'סכום נכסי הקרן'!$C$42</f>
        <v>5.4730332324716356E-5</v>
      </c>
    </row>
    <row r="99" spans="2:17">
      <c r="B99" s="86" t="s">
        <v>2224</v>
      </c>
      <c r="C99" s="93" t="s">
        <v>2021</v>
      </c>
      <c r="D99" s="80" t="s">
        <v>2089</v>
      </c>
      <c r="E99" s="80"/>
      <c r="F99" s="80" t="s">
        <v>610</v>
      </c>
      <c r="G99" s="107">
        <v>43496</v>
      </c>
      <c r="H99" s="80" t="s">
        <v>294</v>
      </c>
      <c r="I99" s="87">
        <v>1.1000000000000001</v>
      </c>
      <c r="J99" s="93" t="s">
        <v>165</v>
      </c>
      <c r="K99" s="94">
        <v>6.1839999999999999E-2</v>
      </c>
      <c r="L99" s="94">
        <v>6.4500000000000002E-2</v>
      </c>
      <c r="M99" s="87">
        <v>49156.88</v>
      </c>
      <c r="N99" s="89">
        <v>101.18</v>
      </c>
      <c r="O99" s="87">
        <v>171.89082999999999</v>
      </c>
      <c r="P99" s="88">
        <f t="shared" si="2"/>
        <v>1.8880289843265425E-3</v>
      </c>
      <c r="Q99" s="88">
        <f>O99/'סכום נכסי הקרן'!$C$42</f>
        <v>4.7287905575165165E-5</v>
      </c>
    </row>
    <row r="100" spans="2:17">
      <c r="B100" s="86" t="s">
        <v>2224</v>
      </c>
      <c r="C100" s="93" t="s">
        <v>2021</v>
      </c>
      <c r="D100" s="80">
        <v>6719</v>
      </c>
      <c r="E100" s="80"/>
      <c r="F100" s="80" t="s">
        <v>610</v>
      </c>
      <c r="G100" s="107">
        <v>43487</v>
      </c>
      <c r="H100" s="80" t="s">
        <v>294</v>
      </c>
      <c r="I100" s="87">
        <v>1.1000000000000001</v>
      </c>
      <c r="J100" s="93" t="s">
        <v>165</v>
      </c>
      <c r="K100" s="94">
        <v>6.1839999999999999E-2</v>
      </c>
      <c r="L100" s="94">
        <v>6.4500000000000002E-2</v>
      </c>
      <c r="M100" s="87">
        <v>22774.9</v>
      </c>
      <c r="N100" s="89">
        <v>101.18</v>
      </c>
      <c r="O100" s="87">
        <v>79.638829999999999</v>
      </c>
      <c r="P100" s="88">
        <f t="shared" si="2"/>
        <v>8.7474369236482355E-4</v>
      </c>
      <c r="Q100" s="88">
        <f>O100/'סכום נכסי הקרן'!$C$42</f>
        <v>2.1908984168362157E-5</v>
      </c>
    </row>
    <row r="101" spans="2:17">
      <c r="B101" s="86" t="s">
        <v>2224</v>
      </c>
      <c r="C101" s="93" t="s">
        <v>2021</v>
      </c>
      <c r="D101" s="80">
        <v>6735</v>
      </c>
      <c r="E101" s="80"/>
      <c r="F101" s="80" t="s">
        <v>610</v>
      </c>
      <c r="G101" s="107">
        <v>43493</v>
      </c>
      <c r="H101" s="80" t="s">
        <v>294</v>
      </c>
      <c r="I101" s="87">
        <v>1.1000000000000001</v>
      </c>
      <c r="J101" s="93" t="s">
        <v>165</v>
      </c>
      <c r="K101" s="94">
        <v>6.1839999999999999E-2</v>
      </c>
      <c r="L101" s="94">
        <v>6.4500000000000002E-2</v>
      </c>
      <c r="M101" s="87">
        <v>56110.61</v>
      </c>
      <c r="N101" s="89">
        <v>101.18</v>
      </c>
      <c r="O101" s="87">
        <v>196.20651999999998</v>
      </c>
      <c r="P101" s="88">
        <f t="shared" si="2"/>
        <v>2.1551097093070377E-3</v>
      </c>
      <c r="Q101" s="88">
        <f>O101/'סכום נכסי הקרן'!$C$42</f>
        <v>5.3977256325958487E-5</v>
      </c>
    </row>
    <row r="102" spans="2:17">
      <c r="B102" s="86" t="s">
        <v>2224</v>
      </c>
      <c r="C102" s="93" t="s">
        <v>2021</v>
      </c>
      <c r="D102" s="80">
        <v>6956</v>
      </c>
      <c r="E102" s="80"/>
      <c r="F102" s="80" t="s">
        <v>610</v>
      </c>
      <c r="G102" s="107">
        <v>43628</v>
      </c>
      <c r="H102" s="80" t="s">
        <v>294</v>
      </c>
      <c r="I102" s="87">
        <v>1.1200000000000001</v>
      </c>
      <c r="J102" s="93" t="s">
        <v>165</v>
      </c>
      <c r="K102" s="94">
        <v>6.4340000000000008E-2</v>
      </c>
      <c r="L102" s="94">
        <v>6.6000000000000003E-2</v>
      </c>
      <c r="M102" s="87">
        <v>96882.69</v>
      </c>
      <c r="N102" s="89">
        <v>101.18</v>
      </c>
      <c r="O102" s="87">
        <v>338.77754999999996</v>
      </c>
      <c r="P102" s="88">
        <f t="shared" si="2"/>
        <v>3.7210934035232387E-3</v>
      </c>
      <c r="Q102" s="88">
        <f>O102/'סכום נכסי הקרן'!$C$42</f>
        <v>9.3199158997520662E-5</v>
      </c>
    </row>
    <row r="103" spans="2:17">
      <c r="B103" s="86" t="s">
        <v>2224</v>
      </c>
      <c r="C103" s="93" t="s">
        <v>2021</v>
      </c>
      <c r="D103" s="80">
        <v>6829</v>
      </c>
      <c r="E103" s="80"/>
      <c r="F103" s="80" t="s">
        <v>610</v>
      </c>
      <c r="G103" s="107">
        <v>43738</v>
      </c>
      <c r="H103" s="80" t="s">
        <v>294</v>
      </c>
      <c r="I103" s="87">
        <v>1.1000000000000001</v>
      </c>
      <c r="J103" s="93" t="s">
        <v>165</v>
      </c>
      <c r="K103" s="94">
        <v>6.1839999999999999E-2</v>
      </c>
      <c r="L103" s="94">
        <v>6.4500000000000002E-2</v>
      </c>
      <c r="M103" s="87">
        <v>39295.839999999997</v>
      </c>
      <c r="N103" s="89">
        <v>101.18</v>
      </c>
      <c r="O103" s="87">
        <v>137.40893</v>
      </c>
      <c r="P103" s="88">
        <f t="shared" si="2"/>
        <v>1.5092837852100486E-3</v>
      </c>
      <c r="Q103" s="88">
        <f>O103/'סכום נכסי הקרן'!$C$42</f>
        <v>3.7801786791212076E-5</v>
      </c>
    </row>
    <row r="104" spans="2:17">
      <c r="B104" s="86" t="s">
        <v>2224</v>
      </c>
      <c r="C104" s="93" t="s">
        <v>2021</v>
      </c>
      <c r="D104" s="80">
        <v>6886</v>
      </c>
      <c r="E104" s="80"/>
      <c r="F104" s="80" t="s">
        <v>610</v>
      </c>
      <c r="G104" s="107">
        <v>43578</v>
      </c>
      <c r="H104" s="80" t="s">
        <v>294</v>
      </c>
      <c r="I104" s="87">
        <v>1.0999999999999999</v>
      </c>
      <c r="J104" s="93" t="s">
        <v>165</v>
      </c>
      <c r="K104" s="94">
        <v>6.1839999999999999E-2</v>
      </c>
      <c r="L104" s="94">
        <v>6.54E-2</v>
      </c>
      <c r="M104" s="87">
        <v>25400.46</v>
      </c>
      <c r="N104" s="89">
        <v>101.18</v>
      </c>
      <c r="O104" s="87">
        <v>88.819860000000006</v>
      </c>
      <c r="P104" s="88">
        <f t="shared" si="2"/>
        <v>9.7558706339265287E-4</v>
      </c>
      <c r="Q104" s="88">
        <f>O104/'סכום נכסי הקרן'!$C$42</f>
        <v>2.443472495233975E-5</v>
      </c>
    </row>
    <row r="105" spans="2:17">
      <c r="B105" s="86" t="s">
        <v>2224</v>
      </c>
      <c r="C105" s="93" t="s">
        <v>2021</v>
      </c>
      <c r="D105" s="80">
        <v>6889</v>
      </c>
      <c r="E105" s="80"/>
      <c r="F105" s="80" t="s">
        <v>610</v>
      </c>
      <c r="G105" s="107">
        <v>43584</v>
      </c>
      <c r="H105" s="80" t="s">
        <v>294</v>
      </c>
      <c r="I105" s="87">
        <v>1.1200000000000001</v>
      </c>
      <c r="J105" s="93" t="s">
        <v>165</v>
      </c>
      <c r="K105" s="94">
        <v>6.4340000000000008E-2</v>
      </c>
      <c r="L105" s="94">
        <v>6.6000000000000003E-2</v>
      </c>
      <c r="M105" s="87">
        <v>48557.42</v>
      </c>
      <c r="N105" s="89">
        <v>101.18</v>
      </c>
      <c r="O105" s="87">
        <v>169.79465999999999</v>
      </c>
      <c r="P105" s="88">
        <f t="shared" si="2"/>
        <v>1.8650048956298053E-3</v>
      </c>
      <c r="Q105" s="88">
        <f>O105/'סכום נכסי הקרן'!$C$42</f>
        <v>4.6711240205468052E-5</v>
      </c>
    </row>
    <row r="106" spans="2:17">
      <c r="B106" s="86" t="s">
        <v>2224</v>
      </c>
      <c r="C106" s="93" t="s">
        <v>2021</v>
      </c>
      <c r="D106" s="80">
        <v>6926</v>
      </c>
      <c r="E106" s="80"/>
      <c r="F106" s="80" t="s">
        <v>610</v>
      </c>
      <c r="G106" s="107">
        <v>43738</v>
      </c>
      <c r="H106" s="80" t="s">
        <v>294</v>
      </c>
      <c r="I106" s="87">
        <v>1.1199999999999999</v>
      </c>
      <c r="J106" s="93" t="s">
        <v>165</v>
      </c>
      <c r="K106" s="94">
        <v>6.4340000000000008E-2</v>
      </c>
      <c r="L106" s="94">
        <v>6.6000000000000003E-2</v>
      </c>
      <c r="M106" s="87">
        <v>21404.38</v>
      </c>
      <c r="N106" s="89">
        <v>101.18</v>
      </c>
      <c r="O106" s="87">
        <v>74.846419999999995</v>
      </c>
      <c r="P106" s="88">
        <f t="shared" si="2"/>
        <v>8.2210441553559209E-4</v>
      </c>
      <c r="Q106" s="88">
        <f>O106/'סכום נכסי הקרן'!$C$42</f>
        <v>2.0590571594768338E-5</v>
      </c>
    </row>
    <row r="107" spans="2:17">
      <c r="B107" s="86" t="s">
        <v>2224</v>
      </c>
      <c r="C107" s="93" t="s">
        <v>2021</v>
      </c>
      <c r="D107" s="80">
        <v>7112</v>
      </c>
      <c r="E107" s="80"/>
      <c r="F107" s="80" t="s">
        <v>610</v>
      </c>
      <c r="G107" s="107">
        <v>43761</v>
      </c>
      <c r="H107" s="80" t="s">
        <v>294</v>
      </c>
      <c r="I107" s="87">
        <v>1.0999999999999999</v>
      </c>
      <c r="J107" s="93" t="s">
        <v>165</v>
      </c>
      <c r="K107" s="94">
        <v>6.1839999999999999E-2</v>
      </c>
      <c r="L107" s="94">
        <v>6.54E-2</v>
      </c>
      <c r="M107" s="87">
        <v>11752.42</v>
      </c>
      <c r="N107" s="89">
        <v>101.18</v>
      </c>
      <c r="O107" s="87">
        <v>41.095639999999996</v>
      </c>
      <c r="P107" s="88">
        <f t="shared" si="2"/>
        <v>4.5138975388884465E-4</v>
      </c>
      <c r="Q107" s="88">
        <f>O107/'סכום נכסי הקרן'!$C$42</f>
        <v>1.1305587062852513E-5</v>
      </c>
    </row>
    <row r="108" spans="2:17">
      <c r="B108" s="86" t="s">
        <v>2224</v>
      </c>
      <c r="C108" s="93" t="s">
        <v>2021</v>
      </c>
      <c r="D108" s="80">
        <v>7236</v>
      </c>
      <c r="E108" s="80"/>
      <c r="F108" s="80" t="s">
        <v>610</v>
      </c>
      <c r="G108" s="107">
        <v>43761</v>
      </c>
      <c r="H108" s="80" t="s">
        <v>294</v>
      </c>
      <c r="I108" s="87">
        <v>1.0999999999999999</v>
      </c>
      <c r="J108" s="93" t="s">
        <v>165</v>
      </c>
      <c r="K108" s="94">
        <v>6.1839999999999999E-2</v>
      </c>
      <c r="L108" s="94">
        <v>6.5399999999999986E-2</v>
      </c>
      <c r="M108" s="87">
        <v>29777.21</v>
      </c>
      <c r="N108" s="89">
        <v>101.18</v>
      </c>
      <c r="O108" s="87">
        <v>104.12441</v>
      </c>
      <c r="P108" s="88">
        <f t="shared" si="2"/>
        <v>1.1436904694444752E-3</v>
      </c>
      <c r="Q108" s="88">
        <f>O108/'סכום נכסי הקרן'!$C$42</f>
        <v>2.8645072387804421E-5</v>
      </c>
    </row>
    <row r="109" spans="2:17">
      <c r="B109" s="86" t="s">
        <v>2224</v>
      </c>
      <c r="C109" s="93" t="s">
        <v>2021</v>
      </c>
      <c r="D109" s="80" t="s">
        <v>2090</v>
      </c>
      <c r="E109" s="80"/>
      <c r="F109" s="80" t="s">
        <v>610</v>
      </c>
      <c r="G109" s="107">
        <v>43761</v>
      </c>
      <c r="H109" s="80" t="s">
        <v>294</v>
      </c>
      <c r="I109" s="87">
        <v>1.0999999999999999</v>
      </c>
      <c r="J109" s="93" t="s">
        <v>165</v>
      </c>
      <c r="K109" s="94">
        <v>6.1839999999999999E-2</v>
      </c>
      <c r="L109" s="94">
        <v>6.5399999999999986E-2</v>
      </c>
      <c r="M109" s="87">
        <v>38443.42</v>
      </c>
      <c r="N109" s="89">
        <v>101.18</v>
      </c>
      <c r="O109" s="87">
        <v>134.4282</v>
      </c>
      <c r="P109" s="88">
        <f t="shared" si="2"/>
        <v>1.4765437918407012E-3</v>
      </c>
      <c r="Q109" s="88">
        <f>O109/'סכום נכסי הקרן'!$C$42</f>
        <v>3.6981775166478739E-5</v>
      </c>
    </row>
    <row r="110" spans="2:17">
      <c r="B110" s="86" t="s">
        <v>2224</v>
      </c>
      <c r="C110" s="93" t="s">
        <v>2021</v>
      </c>
      <c r="D110" s="80">
        <v>7058</v>
      </c>
      <c r="E110" s="80"/>
      <c r="F110" s="80" t="s">
        <v>610</v>
      </c>
      <c r="G110" s="107">
        <v>43761</v>
      </c>
      <c r="H110" s="80" t="s">
        <v>294</v>
      </c>
      <c r="I110" s="87">
        <v>1.0999999999999999</v>
      </c>
      <c r="J110" s="93" t="s">
        <v>165</v>
      </c>
      <c r="K110" s="94">
        <v>6.1839999999999999E-2</v>
      </c>
      <c r="L110" s="94">
        <v>6.54E-2</v>
      </c>
      <c r="M110" s="87">
        <v>1502.67</v>
      </c>
      <c r="N110" s="89">
        <v>101.18</v>
      </c>
      <c r="O110" s="87">
        <v>5.2545000000000002</v>
      </c>
      <c r="P110" s="88">
        <f t="shared" si="2"/>
        <v>5.7714819912986738E-5</v>
      </c>
      <c r="Q110" s="88">
        <f>O110/'סכום נכסי הקרן'!$C$42</f>
        <v>1.4455355171925424E-6</v>
      </c>
    </row>
    <row r="111" spans="2:17">
      <c r="B111" s="86" t="s">
        <v>2224</v>
      </c>
      <c r="C111" s="93" t="s">
        <v>2021</v>
      </c>
      <c r="D111" s="80">
        <v>7078</v>
      </c>
      <c r="E111" s="80"/>
      <c r="F111" s="80" t="s">
        <v>610</v>
      </c>
      <c r="G111" s="107">
        <v>43677</v>
      </c>
      <c r="H111" s="80" t="s">
        <v>294</v>
      </c>
      <c r="I111" s="87">
        <v>1.1000000000000001</v>
      </c>
      <c r="J111" s="93" t="s">
        <v>165</v>
      </c>
      <c r="K111" s="94">
        <v>6.1839999999999999E-2</v>
      </c>
      <c r="L111" s="94">
        <v>6.54E-2</v>
      </c>
      <c r="M111" s="87">
        <v>27048.560000000001</v>
      </c>
      <c r="N111" s="89">
        <v>101.18</v>
      </c>
      <c r="O111" s="87">
        <v>94.58287</v>
      </c>
      <c r="P111" s="88">
        <f t="shared" si="2"/>
        <v>1.0388872982973519E-3</v>
      </c>
      <c r="Q111" s="88">
        <f>O111/'סכום נכסי הקרן'!$C$42</f>
        <v>2.6020153754497098E-5</v>
      </c>
    </row>
    <row r="112" spans="2:17">
      <c r="B112" s="86" t="s">
        <v>2225</v>
      </c>
      <c r="C112" s="93" t="s">
        <v>2021</v>
      </c>
      <c r="D112" s="80" t="s">
        <v>2091</v>
      </c>
      <c r="E112" s="80"/>
      <c r="F112" s="80" t="s">
        <v>2084</v>
      </c>
      <c r="G112" s="107">
        <v>42732</v>
      </c>
      <c r="H112" s="80" t="s">
        <v>2019</v>
      </c>
      <c r="I112" s="87">
        <v>3.6799999999999997</v>
      </c>
      <c r="J112" s="93" t="s">
        <v>166</v>
      </c>
      <c r="K112" s="94">
        <v>2.1613000000000004E-2</v>
      </c>
      <c r="L112" s="94">
        <v>6.7000000000000002E-3</v>
      </c>
      <c r="M112" s="87">
        <v>1443484.26</v>
      </c>
      <c r="N112" s="89">
        <v>107.5</v>
      </c>
      <c r="O112" s="87">
        <v>1551.74569</v>
      </c>
      <c r="P112" s="88">
        <f t="shared" si="2"/>
        <v>1.7044195080236624E-2</v>
      </c>
      <c r="Q112" s="88">
        <f>O112/'סכום נכסי הקרן'!$C$42</f>
        <v>4.268919038053951E-4</v>
      </c>
    </row>
    <row r="113" spans="2:17">
      <c r="B113" s="86" t="s">
        <v>2226</v>
      </c>
      <c r="C113" s="93" t="s">
        <v>2021</v>
      </c>
      <c r="D113" s="80" t="s">
        <v>2092</v>
      </c>
      <c r="E113" s="80"/>
      <c r="F113" s="80" t="s">
        <v>2084</v>
      </c>
      <c r="G113" s="107">
        <v>41339</v>
      </c>
      <c r="H113" s="80" t="s">
        <v>2019</v>
      </c>
      <c r="I113" s="87">
        <v>2</v>
      </c>
      <c r="J113" s="93" t="s">
        <v>166</v>
      </c>
      <c r="K113" s="94">
        <v>4.7500000000000001E-2</v>
      </c>
      <c r="L113" s="94">
        <v>-8.9999999999999998E-4</v>
      </c>
      <c r="M113" s="87">
        <v>222728.64</v>
      </c>
      <c r="N113" s="89">
        <v>112.51</v>
      </c>
      <c r="O113" s="87">
        <v>250.59200000000001</v>
      </c>
      <c r="P113" s="88">
        <f t="shared" si="2"/>
        <v>2.7524735277638544E-3</v>
      </c>
      <c r="Q113" s="88">
        <f>O113/'סכום נכסי הקרן'!$C$42</f>
        <v>6.8938935450435547E-5</v>
      </c>
    </row>
    <row r="114" spans="2:17">
      <c r="B114" s="86" t="s">
        <v>2226</v>
      </c>
      <c r="C114" s="93" t="s">
        <v>2021</v>
      </c>
      <c r="D114" s="80" t="s">
        <v>2093</v>
      </c>
      <c r="E114" s="80"/>
      <c r="F114" s="80" t="s">
        <v>2084</v>
      </c>
      <c r="G114" s="107">
        <v>41338</v>
      </c>
      <c r="H114" s="80" t="s">
        <v>2019</v>
      </c>
      <c r="I114" s="87">
        <v>2</v>
      </c>
      <c r="J114" s="93" t="s">
        <v>166</v>
      </c>
      <c r="K114" s="94">
        <v>4.4999999999999998E-2</v>
      </c>
      <c r="L114" s="94">
        <v>-2.0999999999999999E-3</v>
      </c>
      <c r="M114" s="87">
        <v>378834.23</v>
      </c>
      <c r="N114" s="89">
        <v>112.25</v>
      </c>
      <c r="O114" s="87">
        <v>425.24142000000001</v>
      </c>
      <c r="P114" s="88">
        <f t="shared" si="2"/>
        <v>4.6708025454073191E-3</v>
      </c>
      <c r="Q114" s="88">
        <f>O114/'סכום נכסי הקרן'!$C$42</f>
        <v>1.1698574098228016E-4</v>
      </c>
    </row>
    <row r="115" spans="2:17">
      <c r="B115" s="86" t="s">
        <v>2227</v>
      </c>
      <c r="C115" s="93" t="s">
        <v>2029</v>
      </c>
      <c r="D115" s="80" t="s">
        <v>2094</v>
      </c>
      <c r="E115" s="80"/>
      <c r="F115" s="80" t="s">
        <v>602</v>
      </c>
      <c r="G115" s="107">
        <v>42432</v>
      </c>
      <c r="H115" s="80" t="s">
        <v>162</v>
      </c>
      <c r="I115" s="87">
        <v>6.1300000000000008</v>
      </c>
      <c r="J115" s="93" t="s">
        <v>166</v>
      </c>
      <c r="K115" s="94">
        <v>2.5399999999999999E-2</v>
      </c>
      <c r="L115" s="94">
        <v>3.1000000000000003E-3</v>
      </c>
      <c r="M115" s="87">
        <v>936197.34</v>
      </c>
      <c r="N115" s="89">
        <v>117.21</v>
      </c>
      <c r="O115" s="87">
        <v>1097.3168999999998</v>
      </c>
      <c r="P115" s="88">
        <f t="shared" si="2"/>
        <v>1.2052801840513249E-2</v>
      </c>
      <c r="Q115" s="88">
        <f>O115/'סכום נכסי הקרן'!$C$42</f>
        <v>3.0187659198127641E-4</v>
      </c>
    </row>
    <row r="116" spans="2:17">
      <c r="B116" s="86" t="s">
        <v>2228</v>
      </c>
      <c r="C116" s="93" t="s">
        <v>2021</v>
      </c>
      <c r="D116" s="80" t="s">
        <v>2095</v>
      </c>
      <c r="E116" s="80"/>
      <c r="F116" s="80" t="s">
        <v>2084</v>
      </c>
      <c r="G116" s="107">
        <v>42242</v>
      </c>
      <c r="H116" s="80" t="s">
        <v>2019</v>
      </c>
      <c r="I116" s="87">
        <v>4.8899999999999997</v>
      </c>
      <c r="J116" s="93" t="s">
        <v>166</v>
      </c>
      <c r="K116" s="94">
        <v>2.6600000000000002E-2</v>
      </c>
      <c r="L116" s="94">
        <v>1.0999999999999999E-2</v>
      </c>
      <c r="M116" s="87">
        <v>1641182.05</v>
      </c>
      <c r="N116" s="89">
        <v>108.44</v>
      </c>
      <c r="O116" s="87">
        <v>1779.69802</v>
      </c>
      <c r="P116" s="88">
        <f t="shared" si="2"/>
        <v>1.954799709273938E-2</v>
      </c>
      <c r="Q116" s="88">
        <f>O116/'סכום נכסי הקרן'!$C$42</f>
        <v>4.8960256880526093E-4</v>
      </c>
    </row>
    <row r="117" spans="2:17">
      <c r="B117" s="86" t="s">
        <v>2229</v>
      </c>
      <c r="C117" s="93" t="s">
        <v>2029</v>
      </c>
      <c r="D117" s="80">
        <v>7134</v>
      </c>
      <c r="E117" s="80"/>
      <c r="F117" s="80" t="s">
        <v>602</v>
      </c>
      <c r="G117" s="107">
        <v>43738</v>
      </c>
      <c r="H117" s="80" t="s">
        <v>162</v>
      </c>
      <c r="I117" s="87">
        <v>6.879999999999999</v>
      </c>
      <c r="J117" s="93" t="s">
        <v>166</v>
      </c>
      <c r="K117" s="94">
        <v>0.04</v>
      </c>
      <c r="L117" s="94">
        <v>2.98E-2</v>
      </c>
      <c r="M117" s="87">
        <v>65607.44</v>
      </c>
      <c r="N117" s="89">
        <v>107.17</v>
      </c>
      <c r="O117" s="87">
        <v>70.311490000000006</v>
      </c>
      <c r="P117" s="88">
        <f t="shared" si="2"/>
        <v>7.7229326922899767E-4</v>
      </c>
      <c r="Q117" s="88">
        <f>O117/'סכום נכסי הקרן'!$C$42</f>
        <v>1.9342992875007761E-5</v>
      </c>
    </row>
    <row r="118" spans="2:17">
      <c r="B118" s="86" t="s">
        <v>2229</v>
      </c>
      <c r="C118" s="93" t="s">
        <v>2029</v>
      </c>
      <c r="D118" s="80" t="s">
        <v>2096</v>
      </c>
      <c r="E118" s="80"/>
      <c r="F118" s="80" t="s">
        <v>602</v>
      </c>
      <c r="G118" s="107">
        <v>43072</v>
      </c>
      <c r="H118" s="80" t="s">
        <v>162</v>
      </c>
      <c r="I118" s="87">
        <v>6.9599999999999991</v>
      </c>
      <c r="J118" s="93" t="s">
        <v>166</v>
      </c>
      <c r="K118" s="94">
        <v>0.04</v>
      </c>
      <c r="L118" s="94">
        <v>2.5499999999999998E-2</v>
      </c>
      <c r="M118" s="87">
        <v>1077924.6000000001</v>
      </c>
      <c r="N118" s="89">
        <v>111.54</v>
      </c>
      <c r="O118" s="87">
        <v>1202.31709</v>
      </c>
      <c r="P118" s="88">
        <f t="shared" si="2"/>
        <v>1.320611177612642E-2</v>
      </c>
      <c r="Q118" s="88">
        <f>O118/'סכום נכסי הקרן'!$C$42</f>
        <v>3.3076259520840851E-4</v>
      </c>
    </row>
    <row r="119" spans="2:17">
      <c r="B119" s="86" t="s">
        <v>2230</v>
      </c>
      <c r="C119" s="93" t="s">
        <v>2021</v>
      </c>
      <c r="D119" s="80" t="s">
        <v>2097</v>
      </c>
      <c r="E119" s="80"/>
      <c r="F119" s="80" t="s">
        <v>602</v>
      </c>
      <c r="G119" s="107">
        <v>42326</v>
      </c>
      <c r="H119" s="80" t="s">
        <v>162</v>
      </c>
      <c r="I119" s="87">
        <v>9.81</v>
      </c>
      <c r="J119" s="93" t="s">
        <v>166</v>
      </c>
      <c r="K119" s="94">
        <v>3.5499999999999997E-2</v>
      </c>
      <c r="L119" s="94">
        <v>1.9799999999999998E-2</v>
      </c>
      <c r="M119" s="87">
        <v>25073.66</v>
      </c>
      <c r="N119" s="89">
        <v>117.08</v>
      </c>
      <c r="O119" s="87">
        <v>29.356279999999998</v>
      </c>
      <c r="P119" s="88">
        <f t="shared" si="2"/>
        <v>3.2244598220862388E-4</v>
      </c>
      <c r="Q119" s="88">
        <f>O119/'סכום נכסי הקרן'!$C$42</f>
        <v>8.0760387082784448E-6</v>
      </c>
    </row>
    <row r="120" spans="2:17">
      <c r="B120" s="86" t="s">
        <v>2230</v>
      </c>
      <c r="C120" s="93" t="s">
        <v>2021</v>
      </c>
      <c r="D120" s="80" t="s">
        <v>2098</v>
      </c>
      <c r="E120" s="80"/>
      <c r="F120" s="80" t="s">
        <v>602</v>
      </c>
      <c r="G120" s="107">
        <v>42606</v>
      </c>
      <c r="H120" s="80" t="s">
        <v>162</v>
      </c>
      <c r="I120" s="87">
        <v>9.81</v>
      </c>
      <c r="J120" s="93" t="s">
        <v>166</v>
      </c>
      <c r="K120" s="94">
        <v>3.5499999999999997E-2</v>
      </c>
      <c r="L120" s="94">
        <v>1.9800000000000002E-2</v>
      </c>
      <c r="M120" s="87">
        <v>105466.75</v>
      </c>
      <c r="N120" s="89">
        <v>117.04</v>
      </c>
      <c r="O120" s="87">
        <v>123.43812</v>
      </c>
      <c r="P120" s="88">
        <f t="shared" si="2"/>
        <v>1.3558300249686263E-3</v>
      </c>
      <c r="Q120" s="88">
        <f>O120/'סכום נכסי הקרן'!$C$42</f>
        <v>3.3958356957936072E-5</v>
      </c>
    </row>
    <row r="121" spans="2:17">
      <c r="B121" s="86" t="s">
        <v>2230</v>
      </c>
      <c r="C121" s="93" t="s">
        <v>2021</v>
      </c>
      <c r="D121" s="80" t="s">
        <v>2099</v>
      </c>
      <c r="E121" s="80"/>
      <c r="F121" s="80" t="s">
        <v>602</v>
      </c>
      <c r="G121" s="107">
        <v>42648</v>
      </c>
      <c r="H121" s="80" t="s">
        <v>162</v>
      </c>
      <c r="I121" s="87">
        <v>9.81</v>
      </c>
      <c r="J121" s="93" t="s">
        <v>166</v>
      </c>
      <c r="K121" s="94">
        <v>3.5499999999999997E-2</v>
      </c>
      <c r="L121" s="94">
        <v>1.9799999999999998E-2</v>
      </c>
      <c r="M121" s="87">
        <v>96745.25</v>
      </c>
      <c r="N121" s="89">
        <v>117.04</v>
      </c>
      <c r="O121" s="87">
        <v>113.23038000000001</v>
      </c>
      <c r="P121" s="88">
        <f t="shared" si="2"/>
        <v>1.243709390118766E-3</v>
      </c>
      <c r="Q121" s="88">
        <f>O121/'סכום נכסי הקרן'!$C$42</f>
        <v>3.1150163843411953E-5</v>
      </c>
    </row>
    <row r="122" spans="2:17">
      <c r="B122" s="86" t="s">
        <v>2230</v>
      </c>
      <c r="C122" s="93" t="s">
        <v>2021</v>
      </c>
      <c r="D122" s="80" t="s">
        <v>2100</v>
      </c>
      <c r="E122" s="80"/>
      <c r="F122" s="80" t="s">
        <v>602</v>
      </c>
      <c r="G122" s="107">
        <v>42718</v>
      </c>
      <c r="H122" s="80" t="s">
        <v>162</v>
      </c>
      <c r="I122" s="87">
        <v>9.8000000000000007</v>
      </c>
      <c r="J122" s="93" t="s">
        <v>166</v>
      </c>
      <c r="K122" s="94">
        <v>3.5499999999999997E-2</v>
      </c>
      <c r="L122" s="94">
        <v>0.02</v>
      </c>
      <c r="M122" s="87">
        <v>67593.47</v>
      </c>
      <c r="N122" s="89">
        <v>116.9</v>
      </c>
      <c r="O122" s="87">
        <v>79.016229999999993</v>
      </c>
      <c r="P122" s="88">
        <f t="shared" si="2"/>
        <v>8.6790512601639348E-4</v>
      </c>
      <c r="Q122" s="88">
        <f>O122/'סכום נכסי הקרן'!$C$42</f>
        <v>2.1737704234400015E-5</v>
      </c>
    </row>
    <row r="123" spans="2:17">
      <c r="B123" s="86" t="s">
        <v>2230</v>
      </c>
      <c r="C123" s="93" t="s">
        <v>2021</v>
      </c>
      <c r="D123" s="80" t="s">
        <v>2101</v>
      </c>
      <c r="E123" s="80"/>
      <c r="F123" s="80" t="s">
        <v>602</v>
      </c>
      <c r="G123" s="107">
        <v>42900</v>
      </c>
      <c r="H123" s="80" t="s">
        <v>162</v>
      </c>
      <c r="I123" s="87">
        <v>9.66</v>
      </c>
      <c r="J123" s="93" t="s">
        <v>166</v>
      </c>
      <c r="K123" s="94">
        <v>3.5499999999999997E-2</v>
      </c>
      <c r="L123" s="94">
        <v>2.3900000000000001E-2</v>
      </c>
      <c r="M123" s="87">
        <v>80067.039999999994</v>
      </c>
      <c r="N123" s="89">
        <v>112.65</v>
      </c>
      <c r="O123" s="87">
        <v>90.19547</v>
      </c>
      <c r="P123" s="88">
        <f t="shared" si="2"/>
        <v>9.9069660443756738E-4</v>
      </c>
      <c r="Q123" s="88">
        <f>O123/'סכום נכסי הקרן'!$C$42</f>
        <v>2.4813161171353018E-5</v>
      </c>
    </row>
    <row r="124" spans="2:17">
      <c r="B124" s="86" t="s">
        <v>2230</v>
      </c>
      <c r="C124" s="93" t="s">
        <v>2021</v>
      </c>
      <c r="D124" s="80" t="s">
        <v>2102</v>
      </c>
      <c r="E124" s="80"/>
      <c r="F124" s="80" t="s">
        <v>602</v>
      </c>
      <c r="G124" s="107">
        <v>43075</v>
      </c>
      <c r="H124" s="80" t="s">
        <v>162</v>
      </c>
      <c r="I124" s="87">
        <v>9.51</v>
      </c>
      <c r="J124" s="93" t="s">
        <v>166</v>
      </c>
      <c r="K124" s="94">
        <v>3.5499999999999997E-2</v>
      </c>
      <c r="L124" s="94">
        <v>2.81E-2</v>
      </c>
      <c r="M124" s="87">
        <v>49682.05</v>
      </c>
      <c r="N124" s="89">
        <v>108.25</v>
      </c>
      <c r="O124" s="87">
        <v>53.78051</v>
      </c>
      <c r="P124" s="88">
        <f t="shared" si="2"/>
        <v>5.907188979881211E-4</v>
      </c>
      <c r="Q124" s="88">
        <f>O124/'סכום נכסי הקרן'!$C$42</f>
        <v>1.4795249279232789E-5</v>
      </c>
    </row>
    <row r="125" spans="2:17">
      <c r="B125" s="86" t="s">
        <v>2230</v>
      </c>
      <c r="C125" s="93" t="s">
        <v>2021</v>
      </c>
      <c r="D125" s="80" t="s">
        <v>2103</v>
      </c>
      <c r="E125" s="80"/>
      <c r="F125" s="80" t="s">
        <v>602</v>
      </c>
      <c r="G125" s="107">
        <v>43292</v>
      </c>
      <c r="H125" s="80" t="s">
        <v>162</v>
      </c>
      <c r="I125" s="87">
        <v>9.6100000000000012</v>
      </c>
      <c r="J125" s="93" t="s">
        <v>166</v>
      </c>
      <c r="K125" s="94">
        <v>3.5499999999999997E-2</v>
      </c>
      <c r="L125" s="94">
        <v>2.5200000000000004E-2</v>
      </c>
      <c r="M125" s="87">
        <v>135471.65</v>
      </c>
      <c r="N125" s="89">
        <v>111.24</v>
      </c>
      <c r="O125" s="87">
        <v>150.69854999999998</v>
      </c>
      <c r="P125" s="88">
        <f t="shared" si="2"/>
        <v>1.6552554333234802E-3</v>
      </c>
      <c r="Q125" s="88">
        <f>O125/'סכום נכסי הקרן'!$C$42</f>
        <v>4.1457818329891744E-5</v>
      </c>
    </row>
    <row r="126" spans="2:17">
      <c r="B126" s="86" t="s">
        <v>2231</v>
      </c>
      <c r="C126" s="93" t="s">
        <v>2021</v>
      </c>
      <c r="D126" s="80" t="s">
        <v>2104</v>
      </c>
      <c r="E126" s="80"/>
      <c r="F126" s="80" t="s">
        <v>602</v>
      </c>
      <c r="G126" s="107">
        <v>42326</v>
      </c>
      <c r="H126" s="80" t="s">
        <v>162</v>
      </c>
      <c r="I126" s="87">
        <v>9.8000000000000007</v>
      </c>
      <c r="J126" s="93" t="s">
        <v>166</v>
      </c>
      <c r="K126" s="94">
        <v>3.5499999999999997E-2</v>
      </c>
      <c r="L126" s="94">
        <v>1.9900000000000001E-2</v>
      </c>
      <c r="M126" s="87">
        <v>55809.09</v>
      </c>
      <c r="N126" s="89">
        <v>116.95</v>
      </c>
      <c r="O126" s="87">
        <v>65.268699999999995</v>
      </c>
      <c r="P126" s="88">
        <f t="shared" si="2"/>
        <v>7.1690384745546807E-4</v>
      </c>
      <c r="Q126" s="88">
        <f>O126/'סכום נכסי הקרן'!$C$42</f>
        <v>1.795569968807401E-5</v>
      </c>
    </row>
    <row r="127" spans="2:17">
      <c r="B127" s="86" t="s">
        <v>2231</v>
      </c>
      <c r="C127" s="93" t="s">
        <v>2021</v>
      </c>
      <c r="D127" s="80" t="s">
        <v>2105</v>
      </c>
      <c r="E127" s="80"/>
      <c r="F127" s="80" t="s">
        <v>602</v>
      </c>
      <c r="G127" s="107">
        <v>42606</v>
      </c>
      <c r="H127" s="80" t="s">
        <v>162</v>
      </c>
      <c r="I127" s="87">
        <v>9.7799999999999994</v>
      </c>
      <c r="J127" s="93" t="s">
        <v>166</v>
      </c>
      <c r="K127" s="94">
        <v>3.5499999999999997E-2</v>
      </c>
      <c r="L127" s="94">
        <v>2.07E-2</v>
      </c>
      <c r="M127" s="87">
        <v>234748.53</v>
      </c>
      <c r="N127" s="89">
        <v>116.11</v>
      </c>
      <c r="O127" s="87">
        <v>272.56567000000001</v>
      </c>
      <c r="P127" s="88">
        <f t="shared" si="2"/>
        <v>2.9938297760990717E-3</v>
      </c>
      <c r="Q127" s="88">
        <f>O127/'סכום נכסי הקרן'!$C$42</f>
        <v>7.4983986440647411E-5</v>
      </c>
    </row>
    <row r="128" spans="2:17">
      <c r="B128" s="86" t="s">
        <v>2231</v>
      </c>
      <c r="C128" s="93" t="s">
        <v>2021</v>
      </c>
      <c r="D128" s="80" t="s">
        <v>2106</v>
      </c>
      <c r="E128" s="80"/>
      <c r="F128" s="80" t="s">
        <v>602</v>
      </c>
      <c r="G128" s="107">
        <v>42648</v>
      </c>
      <c r="H128" s="80" t="s">
        <v>162</v>
      </c>
      <c r="I128" s="87">
        <v>9.7800000000000011</v>
      </c>
      <c r="J128" s="93" t="s">
        <v>166</v>
      </c>
      <c r="K128" s="94">
        <v>3.5499999999999997E-2</v>
      </c>
      <c r="L128" s="94">
        <v>2.0599999999999997E-2</v>
      </c>
      <c r="M128" s="87">
        <v>215336.16</v>
      </c>
      <c r="N128" s="89">
        <v>116.21</v>
      </c>
      <c r="O128" s="87">
        <v>250.24120000000002</v>
      </c>
      <c r="P128" s="88">
        <f t="shared" si="2"/>
        <v>2.7486203811608522E-3</v>
      </c>
      <c r="Q128" s="88">
        <f>O128/'סכום נכסי הקרן'!$C$42</f>
        <v>6.8842428863808631E-5</v>
      </c>
    </row>
    <row r="129" spans="2:17">
      <c r="B129" s="86" t="s">
        <v>2231</v>
      </c>
      <c r="C129" s="93" t="s">
        <v>2021</v>
      </c>
      <c r="D129" s="80" t="s">
        <v>2107</v>
      </c>
      <c r="E129" s="80"/>
      <c r="F129" s="80" t="s">
        <v>602</v>
      </c>
      <c r="G129" s="107">
        <v>42718</v>
      </c>
      <c r="H129" s="80" t="s">
        <v>162</v>
      </c>
      <c r="I129" s="87">
        <v>9.77</v>
      </c>
      <c r="J129" s="93" t="s">
        <v>166</v>
      </c>
      <c r="K129" s="94">
        <v>3.5499999999999997E-2</v>
      </c>
      <c r="L129" s="94">
        <v>2.0899999999999998E-2</v>
      </c>
      <c r="M129" s="87">
        <v>150449.96</v>
      </c>
      <c r="N129" s="89">
        <v>115.83</v>
      </c>
      <c r="O129" s="87">
        <v>174.26551000000001</v>
      </c>
      <c r="P129" s="88">
        <f t="shared" si="2"/>
        <v>1.9141121946321801E-3</v>
      </c>
      <c r="Q129" s="88">
        <f>O129/'סכום נכסי הקרן'!$C$42</f>
        <v>4.7941190242015826E-5</v>
      </c>
    </row>
    <row r="130" spans="2:17">
      <c r="B130" s="86" t="s">
        <v>2231</v>
      </c>
      <c r="C130" s="93" t="s">
        <v>2021</v>
      </c>
      <c r="D130" s="80" t="s">
        <v>2108</v>
      </c>
      <c r="E130" s="80"/>
      <c r="F130" s="80" t="s">
        <v>602</v>
      </c>
      <c r="G130" s="107">
        <v>42900</v>
      </c>
      <c r="H130" s="80" t="s">
        <v>162</v>
      </c>
      <c r="I130" s="87">
        <v>9.51</v>
      </c>
      <c r="J130" s="93" t="s">
        <v>166</v>
      </c>
      <c r="K130" s="94">
        <v>3.5499999999999997E-2</v>
      </c>
      <c r="L130" s="94">
        <v>2.8099999999999997E-2</v>
      </c>
      <c r="M130" s="87">
        <v>178213.69</v>
      </c>
      <c r="N130" s="89">
        <v>108.26</v>
      </c>
      <c r="O130" s="87">
        <v>192.93335000000002</v>
      </c>
      <c r="P130" s="88">
        <f t="shared" si="2"/>
        <v>2.1191575888208662E-3</v>
      </c>
      <c r="Q130" s="88">
        <f>O130/'סכום נכסי הקרן'!$C$42</f>
        <v>5.3076793201244614E-5</v>
      </c>
    </row>
    <row r="131" spans="2:17">
      <c r="B131" s="86" t="s">
        <v>2231</v>
      </c>
      <c r="C131" s="93" t="s">
        <v>2021</v>
      </c>
      <c r="D131" s="80" t="s">
        <v>2109</v>
      </c>
      <c r="E131" s="80"/>
      <c r="F131" s="80" t="s">
        <v>602</v>
      </c>
      <c r="G131" s="107">
        <v>43075</v>
      </c>
      <c r="H131" s="80" t="s">
        <v>162</v>
      </c>
      <c r="I131" s="87">
        <v>9.3500000000000014</v>
      </c>
      <c r="J131" s="93" t="s">
        <v>166</v>
      </c>
      <c r="K131" s="94">
        <v>3.5499999999999997E-2</v>
      </c>
      <c r="L131" s="94">
        <v>3.2600000000000004E-2</v>
      </c>
      <c r="M131" s="87">
        <v>110582.61</v>
      </c>
      <c r="N131" s="89">
        <v>103.87</v>
      </c>
      <c r="O131" s="87">
        <v>114.86219</v>
      </c>
      <c r="P131" s="88">
        <f t="shared" si="2"/>
        <v>1.2616330023144477E-3</v>
      </c>
      <c r="Q131" s="88">
        <f>O131/'סכום נכסי הקרן'!$C$42</f>
        <v>3.1599081782761072E-5</v>
      </c>
    </row>
    <row r="132" spans="2:17">
      <c r="B132" s="86" t="s">
        <v>2231</v>
      </c>
      <c r="C132" s="93" t="s">
        <v>2021</v>
      </c>
      <c r="D132" s="80" t="s">
        <v>2110</v>
      </c>
      <c r="E132" s="80"/>
      <c r="F132" s="80" t="s">
        <v>602</v>
      </c>
      <c r="G132" s="107">
        <v>43292</v>
      </c>
      <c r="H132" s="80" t="s">
        <v>162</v>
      </c>
      <c r="I132" s="87">
        <v>9.42</v>
      </c>
      <c r="J132" s="93" t="s">
        <v>166</v>
      </c>
      <c r="K132" s="94">
        <v>3.5499999999999997E-2</v>
      </c>
      <c r="L132" s="94">
        <v>3.0499999999999999E-2</v>
      </c>
      <c r="M132" s="87">
        <v>301533.63</v>
      </c>
      <c r="N132" s="89">
        <v>105.86</v>
      </c>
      <c r="O132" s="87">
        <v>319.20277000000004</v>
      </c>
      <c r="P132" s="88">
        <f t="shared" si="2"/>
        <v>3.5060862853319111E-3</v>
      </c>
      <c r="Q132" s="88">
        <f>O132/'סכום נכסי הקרן'!$C$42</f>
        <v>8.7814052949137354E-5</v>
      </c>
    </row>
    <row r="133" spans="2:17">
      <c r="B133" s="86" t="s">
        <v>2232</v>
      </c>
      <c r="C133" s="93" t="s">
        <v>2021</v>
      </c>
      <c r="D133" s="80" t="s">
        <v>2111</v>
      </c>
      <c r="E133" s="80"/>
      <c r="F133" s="80" t="s">
        <v>602</v>
      </c>
      <c r="G133" s="107">
        <v>41816</v>
      </c>
      <c r="H133" s="80" t="s">
        <v>162</v>
      </c>
      <c r="I133" s="87">
        <v>8</v>
      </c>
      <c r="J133" s="93" t="s">
        <v>166</v>
      </c>
      <c r="K133" s="94">
        <v>4.4999999999999998E-2</v>
      </c>
      <c r="L133" s="94">
        <v>1.2699999999999996E-2</v>
      </c>
      <c r="M133" s="87">
        <v>204945.77</v>
      </c>
      <c r="N133" s="89">
        <v>129.75</v>
      </c>
      <c r="O133" s="87">
        <v>265.91714000000002</v>
      </c>
      <c r="P133" s="88">
        <f t="shared" si="2"/>
        <v>2.92080309199286E-3</v>
      </c>
      <c r="Q133" s="88">
        <f>O133/'סכום נכסי הקרן'!$C$42</f>
        <v>7.3154947283330808E-5</v>
      </c>
    </row>
    <row r="134" spans="2:17">
      <c r="B134" s="86" t="s">
        <v>2232</v>
      </c>
      <c r="C134" s="93" t="s">
        <v>2021</v>
      </c>
      <c r="D134" s="80" t="s">
        <v>2112</v>
      </c>
      <c r="E134" s="80"/>
      <c r="F134" s="80" t="s">
        <v>602</v>
      </c>
      <c r="G134" s="107">
        <v>42625</v>
      </c>
      <c r="H134" s="80" t="s">
        <v>162</v>
      </c>
      <c r="I134" s="87">
        <v>7.9099999999999993</v>
      </c>
      <c r="J134" s="93" t="s">
        <v>166</v>
      </c>
      <c r="K134" s="94">
        <v>4.4999999999999998E-2</v>
      </c>
      <c r="L134" s="94">
        <v>1.7000000000000001E-2</v>
      </c>
      <c r="M134" s="87">
        <v>57068.92</v>
      </c>
      <c r="N134" s="89">
        <v>126.09</v>
      </c>
      <c r="O134" s="87">
        <v>71.958190000000002</v>
      </c>
      <c r="P134" s="88">
        <f t="shared" si="2"/>
        <v>7.9038043146150599E-4</v>
      </c>
      <c r="Q134" s="88">
        <f>O134/'סכום נכסי הקרן'!$C$42</f>
        <v>1.9796007117306925E-5</v>
      </c>
    </row>
    <row r="135" spans="2:17">
      <c r="B135" s="86" t="s">
        <v>2232</v>
      </c>
      <c r="C135" s="93" t="s">
        <v>2021</v>
      </c>
      <c r="D135" s="80" t="s">
        <v>2113</v>
      </c>
      <c r="E135" s="80"/>
      <c r="F135" s="80" t="s">
        <v>602</v>
      </c>
      <c r="G135" s="107">
        <v>42716</v>
      </c>
      <c r="H135" s="80" t="s">
        <v>162</v>
      </c>
      <c r="I135" s="87">
        <v>7.9599999999999991</v>
      </c>
      <c r="J135" s="93" t="s">
        <v>166</v>
      </c>
      <c r="K135" s="94">
        <v>4.4999999999999998E-2</v>
      </c>
      <c r="L135" s="94">
        <v>1.4499999999999999E-2</v>
      </c>
      <c r="M135" s="87">
        <v>43175.98</v>
      </c>
      <c r="N135" s="89">
        <v>128.81</v>
      </c>
      <c r="O135" s="87">
        <v>55.61497</v>
      </c>
      <c r="P135" s="88">
        <f t="shared" si="2"/>
        <v>6.1086839433174616E-4</v>
      </c>
      <c r="Q135" s="88">
        <f>O135/'סכום נכסי הקרן'!$C$42</f>
        <v>1.5299917103929532E-5</v>
      </c>
    </row>
    <row r="136" spans="2:17">
      <c r="B136" s="86" t="s">
        <v>2232</v>
      </c>
      <c r="C136" s="93" t="s">
        <v>2021</v>
      </c>
      <c r="D136" s="80" t="s">
        <v>2114</v>
      </c>
      <c r="E136" s="80"/>
      <c r="F136" s="80" t="s">
        <v>602</v>
      </c>
      <c r="G136" s="107">
        <v>42803</v>
      </c>
      <c r="H136" s="80" t="s">
        <v>162</v>
      </c>
      <c r="I136" s="87">
        <v>7.8199999999999994</v>
      </c>
      <c r="J136" s="93" t="s">
        <v>166</v>
      </c>
      <c r="K136" s="94">
        <v>4.4999999999999998E-2</v>
      </c>
      <c r="L136" s="94">
        <v>2.0799999999999996E-2</v>
      </c>
      <c r="M136" s="87">
        <v>276704.09999999998</v>
      </c>
      <c r="N136" s="89">
        <v>123.39</v>
      </c>
      <c r="O136" s="87">
        <v>341.42518999999999</v>
      </c>
      <c r="P136" s="88">
        <f t="shared" si="2"/>
        <v>3.7501747748800609E-3</v>
      </c>
      <c r="Q136" s="88">
        <f>O136/'סכום נכסי הקרן'!$C$42</f>
        <v>9.3927536132688562E-5</v>
      </c>
    </row>
    <row r="137" spans="2:17">
      <c r="B137" s="86" t="s">
        <v>2232</v>
      </c>
      <c r="C137" s="93" t="s">
        <v>2021</v>
      </c>
      <c r="D137" s="80" t="s">
        <v>2115</v>
      </c>
      <c r="E137" s="80"/>
      <c r="F137" s="80" t="s">
        <v>602</v>
      </c>
      <c r="G137" s="107">
        <v>42898</v>
      </c>
      <c r="H137" s="80" t="s">
        <v>162</v>
      </c>
      <c r="I137" s="87">
        <v>7.72</v>
      </c>
      <c r="J137" s="93" t="s">
        <v>166</v>
      </c>
      <c r="K137" s="94">
        <v>4.4999999999999998E-2</v>
      </c>
      <c r="L137" s="94">
        <v>2.5600000000000001E-2</v>
      </c>
      <c r="M137" s="87">
        <v>52040.95</v>
      </c>
      <c r="N137" s="89">
        <v>118.35</v>
      </c>
      <c r="O137" s="87">
        <v>61.59046</v>
      </c>
      <c r="P137" s="88">
        <f t="shared" si="2"/>
        <v>6.765024849667929E-4</v>
      </c>
      <c r="Q137" s="88">
        <f>O137/'סכום נכסי הקרן'!$C$42</f>
        <v>1.6943800066652696E-5</v>
      </c>
    </row>
    <row r="138" spans="2:17">
      <c r="B138" s="86" t="s">
        <v>2232</v>
      </c>
      <c r="C138" s="93" t="s">
        <v>2021</v>
      </c>
      <c r="D138" s="80" t="s">
        <v>2116</v>
      </c>
      <c r="E138" s="80"/>
      <c r="F138" s="80" t="s">
        <v>602</v>
      </c>
      <c r="G138" s="107">
        <v>42989</v>
      </c>
      <c r="H138" s="80" t="s">
        <v>162</v>
      </c>
      <c r="I138" s="87">
        <v>7.6800000000000006</v>
      </c>
      <c r="J138" s="93" t="s">
        <v>166</v>
      </c>
      <c r="K138" s="94">
        <v>4.4999999999999998E-2</v>
      </c>
      <c r="L138" s="94">
        <v>2.75E-2</v>
      </c>
      <c r="M138" s="87">
        <v>65578.17</v>
      </c>
      <c r="N138" s="89">
        <v>117.2</v>
      </c>
      <c r="O138" s="87">
        <v>76.857619999999997</v>
      </c>
      <c r="P138" s="88">
        <f t="shared" si="2"/>
        <v>8.4419520358564428E-4</v>
      </c>
      <c r="Q138" s="88">
        <f>O138/'סכום נכסי הקרן'!$C$42</f>
        <v>2.1143861352533614E-5</v>
      </c>
    </row>
    <row r="139" spans="2:17">
      <c r="B139" s="86" t="s">
        <v>2232</v>
      </c>
      <c r="C139" s="93" t="s">
        <v>2021</v>
      </c>
      <c r="D139" s="80" t="s">
        <v>2117</v>
      </c>
      <c r="E139" s="80"/>
      <c r="F139" s="80" t="s">
        <v>602</v>
      </c>
      <c r="G139" s="107">
        <v>43080</v>
      </c>
      <c r="H139" s="80" t="s">
        <v>162</v>
      </c>
      <c r="I139" s="87">
        <v>7.57</v>
      </c>
      <c r="J139" s="93" t="s">
        <v>166</v>
      </c>
      <c r="K139" s="94">
        <v>4.4999999999999998E-2</v>
      </c>
      <c r="L139" s="94">
        <v>3.2300000000000002E-2</v>
      </c>
      <c r="M139" s="87">
        <v>20318.38</v>
      </c>
      <c r="N139" s="89">
        <v>112.31</v>
      </c>
      <c r="O139" s="87">
        <v>22.819569999999999</v>
      </c>
      <c r="P139" s="88">
        <f t="shared" si="2"/>
        <v>2.5064751604182982E-4</v>
      </c>
      <c r="Q139" s="88">
        <f>O139/'סכום נכסי הקרן'!$C$42</f>
        <v>6.2777617132099005E-6</v>
      </c>
    </row>
    <row r="140" spans="2:17">
      <c r="B140" s="86" t="s">
        <v>2232</v>
      </c>
      <c r="C140" s="93" t="s">
        <v>2021</v>
      </c>
      <c r="D140" s="80" t="s">
        <v>2118</v>
      </c>
      <c r="E140" s="80"/>
      <c r="F140" s="80" t="s">
        <v>602</v>
      </c>
      <c r="G140" s="107">
        <v>43171</v>
      </c>
      <c r="H140" s="80" t="s">
        <v>162</v>
      </c>
      <c r="I140" s="87">
        <v>7.5600000000000005</v>
      </c>
      <c r="J140" s="93" t="s">
        <v>166</v>
      </c>
      <c r="K140" s="94">
        <v>4.4999999999999998E-2</v>
      </c>
      <c r="L140" s="94">
        <v>3.2800000000000003E-2</v>
      </c>
      <c r="M140" s="87">
        <v>21585.86</v>
      </c>
      <c r="N140" s="89">
        <v>112.66</v>
      </c>
      <c r="O140" s="87">
        <v>24.318630000000002</v>
      </c>
      <c r="P140" s="88">
        <f t="shared" si="2"/>
        <v>2.6711301760025819E-4</v>
      </c>
      <c r="Q140" s="88">
        <f>O140/'סכום נכסי הקרן'!$C$42</f>
        <v>6.6901595574201314E-6</v>
      </c>
    </row>
    <row r="141" spans="2:17">
      <c r="B141" s="86" t="s">
        <v>2232</v>
      </c>
      <c r="C141" s="93" t="s">
        <v>2021</v>
      </c>
      <c r="D141" s="80" t="s">
        <v>2119</v>
      </c>
      <c r="E141" s="80"/>
      <c r="F141" s="80" t="s">
        <v>602</v>
      </c>
      <c r="G141" s="107">
        <v>43341</v>
      </c>
      <c r="H141" s="80" t="s">
        <v>162</v>
      </c>
      <c r="I141" s="87">
        <v>7.6300000000000008</v>
      </c>
      <c r="J141" s="93" t="s">
        <v>166</v>
      </c>
      <c r="K141" s="94">
        <v>4.4999999999999998E-2</v>
      </c>
      <c r="L141" s="94">
        <v>2.9699999999999997E-2</v>
      </c>
      <c r="M141" s="87">
        <v>38086.949999999997</v>
      </c>
      <c r="N141" s="89">
        <v>113.7</v>
      </c>
      <c r="O141" s="87">
        <v>43.304879999999997</v>
      </c>
      <c r="P141" s="88">
        <f t="shared" si="2"/>
        <v>4.7565579038034083E-4</v>
      </c>
      <c r="Q141" s="88">
        <f>O141/'סכום נכסי הקרן'!$C$42</f>
        <v>1.1913358475166234E-5</v>
      </c>
    </row>
    <row r="142" spans="2:17">
      <c r="B142" s="86" t="s">
        <v>2232</v>
      </c>
      <c r="C142" s="93" t="s">
        <v>2021</v>
      </c>
      <c r="D142" s="80" t="s">
        <v>2120</v>
      </c>
      <c r="E142" s="80"/>
      <c r="F142" s="80" t="s">
        <v>602</v>
      </c>
      <c r="G142" s="107">
        <v>41893</v>
      </c>
      <c r="H142" s="80" t="s">
        <v>162</v>
      </c>
      <c r="I142" s="87">
        <v>8</v>
      </c>
      <c r="J142" s="93" t="s">
        <v>166</v>
      </c>
      <c r="K142" s="94">
        <v>4.4999999999999998E-2</v>
      </c>
      <c r="L142" s="94">
        <v>1.2699999999999998E-2</v>
      </c>
      <c r="M142" s="87">
        <v>40208.29</v>
      </c>
      <c r="N142" s="89">
        <v>129.26</v>
      </c>
      <c r="O142" s="87">
        <v>51.973230000000001</v>
      </c>
      <c r="P142" s="88">
        <f t="shared" si="2"/>
        <v>5.7086794361903889E-4</v>
      </c>
      <c r="Q142" s="88">
        <f>O142/'סכום נכסי הקרן'!$C$42</f>
        <v>1.4298058789269571E-5</v>
      </c>
    </row>
    <row r="143" spans="2:17">
      <c r="B143" s="86" t="s">
        <v>2233</v>
      </c>
      <c r="C143" s="93" t="s">
        <v>2021</v>
      </c>
      <c r="D143" s="80" t="s">
        <v>2121</v>
      </c>
      <c r="E143" s="80"/>
      <c r="F143" s="80" t="s">
        <v>602</v>
      </c>
      <c r="G143" s="107">
        <v>42151</v>
      </c>
      <c r="H143" s="80" t="s">
        <v>162</v>
      </c>
      <c r="I143" s="87">
        <v>8</v>
      </c>
      <c r="J143" s="93" t="s">
        <v>166</v>
      </c>
      <c r="K143" s="94">
        <v>4.4999999999999998E-2</v>
      </c>
      <c r="L143" s="94">
        <v>1.26E-2</v>
      </c>
      <c r="M143" s="87">
        <v>147249.67000000001</v>
      </c>
      <c r="N143" s="89">
        <v>130.55000000000001</v>
      </c>
      <c r="O143" s="87">
        <v>192.23443</v>
      </c>
      <c r="P143" s="88">
        <f t="shared" si="2"/>
        <v>2.1114807324247131E-3</v>
      </c>
      <c r="Q143" s="88">
        <f>O143/'סכום נכסי הקרן'!$C$42</f>
        <v>5.2884517307500917E-5</v>
      </c>
    </row>
    <row r="144" spans="2:17">
      <c r="B144" s="86" t="s">
        <v>2233</v>
      </c>
      <c r="C144" s="93" t="s">
        <v>2021</v>
      </c>
      <c r="D144" s="80" t="s">
        <v>2122</v>
      </c>
      <c r="E144" s="80"/>
      <c r="F144" s="80" t="s">
        <v>602</v>
      </c>
      <c r="G144" s="107">
        <v>42166</v>
      </c>
      <c r="H144" s="80" t="s">
        <v>162</v>
      </c>
      <c r="I144" s="87">
        <v>8</v>
      </c>
      <c r="J144" s="93" t="s">
        <v>166</v>
      </c>
      <c r="K144" s="94">
        <v>4.4999999999999998E-2</v>
      </c>
      <c r="L144" s="94">
        <v>1.26E-2</v>
      </c>
      <c r="M144" s="87">
        <v>138545.71</v>
      </c>
      <c r="N144" s="89">
        <v>130.55000000000001</v>
      </c>
      <c r="O144" s="87">
        <v>180.87142</v>
      </c>
      <c r="P144" s="88">
        <f t="shared" si="2"/>
        <v>1.9866707455906724E-3</v>
      </c>
      <c r="Q144" s="88">
        <f>O144/'סכום נכסי הקרן'!$C$42</f>
        <v>4.9758504454286713E-5</v>
      </c>
    </row>
    <row r="145" spans="2:17">
      <c r="B145" s="86" t="s">
        <v>2233</v>
      </c>
      <c r="C145" s="93" t="s">
        <v>2021</v>
      </c>
      <c r="D145" s="80" t="s">
        <v>2123</v>
      </c>
      <c r="E145" s="80"/>
      <c r="F145" s="80" t="s">
        <v>602</v>
      </c>
      <c r="G145" s="107">
        <v>42257</v>
      </c>
      <c r="H145" s="80" t="s">
        <v>162</v>
      </c>
      <c r="I145" s="87">
        <v>8</v>
      </c>
      <c r="J145" s="93" t="s">
        <v>166</v>
      </c>
      <c r="K145" s="94">
        <v>4.4999999999999998E-2</v>
      </c>
      <c r="L145" s="94">
        <v>1.26E-2</v>
      </c>
      <c r="M145" s="87">
        <v>73623.789999999994</v>
      </c>
      <c r="N145" s="89">
        <v>129.65</v>
      </c>
      <c r="O145" s="87">
        <v>95.453240000000008</v>
      </c>
      <c r="P145" s="88">
        <f t="shared" si="2"/>
        <v>1.0484473416521273E-3</v>
      </c>
      <c r="Q145" s="88">
        <f>O145/'סכום נכסי הקרן'!$C$42</f>
        <v>2.6259596279589663E-5</v>
      </c>
    </row>
    <row r="146" spans="2:17">
      <c r="B146" s="86" t="s">
        <v>2232</v>
      </c>
      <c r="C146" s="93" t="s">
        <v>2021</v>
      </c>
      <c r="D146" s="80" t="s">
        <v>2124</v>
      </c>
      <c r="E146" s="80"/>
      <c r="F146" s="80" t="s">
        <v>602</v>
      </c>
      <c r="G146" s="107">
        <v>42348</v>
      </c>
      <c r="H146" s="80" t="s">
        <v>162</v>
      </c>
      <c r="I146" s="87">
        <v>8</v>
      </c>
      <c r="J146" s="93" t="s">
        <v>166</v>
      </c>
      <c r="K146" s="94">
        <v>4.4999999999999998E-2</v>
      </c>
      <c r="L146" s="94">
        <v>1.2699999999999999E-2</v>
      </c>
      <c r="M146" s="87">
        <v>127493.42</v>
      </c>
      <c r="N146" s="89">
        <v>130.29</v>
      </c>
      <c r="O146" s="87">
        <v>166.11117999999999</v>
      </c>
      <c r="P146" s="88">
        <f t="shared" si="2"/>
        <v>1.824545977587539E-3</v>
      </c>
      <c r="Q146" s="88">
        <f>O146/'סכום נכסי הקרן'!$C$42</f>
        <v>4.5697899037541821E-5</v>
      </c>
    </row>
    <row r="147" spans="2:17">
      <c r="B147" s="86" t="s">
        <v>2232</v>
      </c>
      <c r="C147" s="93" t="s">
        <v>2021</v>
      </c>
      <c r="D147" s="80" t="s">
        <v>2125</v>
      </c>
      <c r="E147" s="80"/>
      <c r="F147" s="80" t="s">
        <v>602</v>
      </c>
      <c r="G147" s="107">
        <v>42439</v>
      </c>
      <c r="H147" s="80" t="s">
        <v>162</v>
      </c>
      <c r="I147" s="87">
        <v>8</v>
      </c>
      <c r="J147" s="93" t="s">
        <v>166</v>
      </c>
      <c r="K147" s="94">
        <v>4.4999999999999998E-2</v>
      </c>
      <c r="L147" s="94">
        <v>1.2700000000000003E-2</v>
      </c>
      <c r="M147" s="87">
        <v>151422.1</v>
      </c>
      <c r="N147" s="89">
        <v>131.61000000000001</v>
      </c>
      <c r="O147" s="87">
        <v>199.28662</v>
      </c>
      <c r="P147" s="88">
        <f t="shared" si="2"/>
        <v>2.1889411712566033E-3</v>
      </c>
      <c r="Q147" s="88">
        <f>O147/'סכום נכסי הקרן'!$C$42</f>
        <v>5.4824605064469247E-5</v>
      </c>
    </row>
    <row r="148" spans="2:17">
      <c r="B148" s="86" t="s">
        <v>2232</v>
      </c>
      <c r="C148" s="93" t="s">
        <v>2021</v>
      </c>
      <c r="D148" s="80" t="s">
        <v>2126</v>
      </c>
      <c r="E148" s="80"/>
      <c r="F148" s="80" t="s">
        <v>602</v>
      </c>
      <c r="G148" s="107">
        <v>42549</v>
      </c>
      <c r="H148" s="80" t="s">
        <v>162</v>
      </c>
      <c r="I148" s="87">
        <v>7.9799999999999986</v>
      </c>
      <c r="J148" s="93" t="s">
        <v>166</v>
      </c>
      <c r="K148" s="94">
        <v>4.4999999999999998E-2</v>
      </c>
      <c r="L148" s="94">
        <v>1.3399999999999999E-2</v>
      </c>
      <c r="M148" s="87">
        <v>106508.54</v>
      </c>
      <c r="N148" s="89">
        <v>130.59</v>
      </c>
      <c r="O148" s="87">
        <v>139.08951000000002</v>
      </c>
      <c r="P148" s="88">
        <f t="shared" si="2"/>
        <v>1.5277430814417297E-3</v>
      </c>
      <c r="Q148" s="88">
        <f>O148/'סכום נכסי הקרן'!$C$42</f>
        <v>3.8264121567020141E-5</v>
      </c>
    </row>
    <row r="149" spans="2:17">
      <c r="B149" s="86" t="s">
        <v>2232</v>
      </c>
      <c r="C149" s="93" t="s">
        <v>2021</v>
      </c>
      <c r="D149" s="80" t="s">
        <v>2127</v>
      </c>
      <c r="E149" s="80"/>
      <c r="F149" s="80" t="s">
        <v>602</v>
      </c>
      <c r="G149" s="107">
        <v>42604</v>
      </c>
      <c r="H149" s="80" t="s">
        <v>162</v>
      </c>
      <c r="I149" s="87">
        <v>7.9200000000000008</v>
      </c>
      <c r="J149" s="93" t="s">
        <v>166</v>
      </c>
      <c r="K149" s="94">
        <v>4.4999999999999998E-2</v>
      </c>
      <c r="L149" s="94">
        <v>1.6899999999999998E-2</v>
      </c>
      <c r="M149" s="87">
        <v>139278.43</v>
      </c>
      <c r="N149" s="89">
        <v>126.11</v>
      </c>
      <c r="O149" s="87">
        <v>175.64402999999999</v>
      </c>
      <c r="P149" s="88">
        <f t="shared" si="2"/>
        <v>1.9292536987803291E-3</v>
      </c>
      <c r="Q149" s="88">
        <f>O149/'סכום נכסי הקרן'!$C$42</f>
        <v>4.8320427014527055E-5</v>
      </c>
    </row>
    <row r="150" spans="2:17">
      <c r="B150" s="86" t="s">
        <v>2234</v>
      </c>
      <c r="C150" s="93" t="s">
        <v>2021</v>
      </c>
      <c r="D150" s="80" t="s">
        <v>2128</v>
      </c>
      <c r="E150" s="80"/>
      <c r="F150" s="80" t="s">
        <v>602</v>
      </c>
      <c r="G150" s="107">
        <v>43321</v>
      </c>
      <c r="H150" s="80" t="s">
        <v>162</v>
      </c>
      <c r="I150" s="87">
        <v>0.10999999999999999</v>
      </c>
      <c r="J150" s="93" t="s">
        <v>166</v>
      </c>
      <c r="K150" s="94">
        <v>2.75E-2</v>
      </c>
      <c r="L150" s="94">
        <v>1.89E-2</v>
      </c>
      <c r="M150" s="87">
        <v>94995.23</v>
      </c>
      <c r="N150" s="89">
        <v>100.26</v>
      </c>
      <c r="O150" s="87">
        <v>95.24221</v>
      </c>
      <c r="P150" s="88">
        <f t="shared" ref="P150:P172" si="3">O150/$O$10</f>
        <v>1.0461294125539756E-3</v>
      </c>
      <c r="Q150" s="88">
        <f>O150/'סכום נכסי הקרן'!$C$42</f>
        <v>2.6201541020251354E-5</v>
      </c>
    </row>
    <row r="151" spans="2:17">
      <c r="B151" s="86" t="s">
        <v>2234</v>
      </c>
      <c r="C151" s="93" t="s">
        <v>2021</v>
      </c>
      <c r="D151" s="80" t="s">
        <v>2129</v>
      </c>
      <c r="E151" s="80"/>
      <c r="F151" s="80" t="s">
        <v>602</v>
      </c>
      <c r="G151" s="107">
        <v>43779</v>
      </c>
      <c r="H151" s="80" t="s">
        <v>162</v>
      </c>
      <c r="I151" s="87">
        <v>8.9100000000000019</v>
      </c>
      <c r="J151" s="93" t="s">
        <v>166</v>
      </c>
      <c r="K151" s="94">
        <v>2.7243E-2</v>
      </c>
      <c r="L151" s="94">
        <v>2.4699999999999996E-2</v>
      </c>
      <c r="M151" s="87">
        <v>327906.15000000002</v>
      </c>
      <c r="N151" s="89">
        <v>101.38</v>
      </c>
      <c r="O151" s="87">
        <v>332.43126000000001</v>
      </c>
      <c r="P151" s="88">
        <f t="shared" si="3"/>
        <v>3.6513864885997283E-3</v>
      </c>
      <c r="Q151" s="88">
        <f>O151/'סכום נכסי הקרן'!$C$42</f>
        <v>9.1453267362273956E-5</v>
      </c>
    </row>
    <row r="152" spans="2:17">
      <c r="B152" s="86" t="s">
        <v>2234</v>
      </c>
      <c r="C152" s="93" t="s">
        <v>2021</v>
      </c>
      <c r="D152" s="80" t="s">
        <v>2130</v>
      </c>
      <c r="E152" s="80"/>
      <c r="F152" s="80" t="s">
        <v>602</v>
      </c>
      <c r="G152" s="107">
        <v>43227</v>
      </c>
      <c r="H152" s="80" t="s">
        <v>162</v>
      </c>
      <c r="I152" s="87">
        <v>9.07</v>
      </c>
      <c r="J152" s="93" t="s">
        <v>166</v>
      </c>
      <c r="K152" s="94">
        <v>2.9805999999999999E-2</v>
      </c>
      <c r="L152" s="94">
        <v>1.6E-2</v>
      </c>
      <c r="M152" s="87">
        <v>107855.15</v>
      </c>
      <c r="N152" s="89">
        <v>113.98</v>
      </c>
      <c r="O152" s="87">
        <v>122.93330999999999</v>
      </c>
      <c r="P152" s="88">
        <f t="shared" si="3"/>
        <v>1.3502852503487241E-3</v>
      </c>
      <c r="Q152" s="88">
        <f>O152/'סכום נכסי הקרן'!$C$42</f>
        <v>3.3819481558862145E-5</v>
      </c>
    </row>
    <row r="153" spans="2:17">
      <c r="B153" s="86" t="s">
        <v>2234</v>
      </c>
      <c r="C153" s="93" t="s">
        <v>2021</v>
      </c>
      <c r="D153" s="80" t="s">
        <v>2131</v>
      </c>
      <c r="E153" s="80"/>
      <c r="F153" s="80" t="s">
        <v>602</v>
      </c>
      <c r="G153" s="107">
        <v>43279</v>
      </c>
      <c r="H153" s="80" t="s">
        <v>162</v>
      </c>
      <c r="I153" s="87">
        <v>9.1</v>
      </c>
      <c r="J153" s="93" t="s">
        <v>166</v>
      </c>
      <c r="K153" s="94">
        <v>2.9796999999999997E-2</v>
      </c>
      <c r="L153" s="94">
        <v>1.52E-2</v>
      </c>
      <c r="M153" s="87">
        <v>126139.92</v>
      </c>
      <c r="N153" s="89">
        <v>113.83</v>
      </c>
      <c r="O153" s="87">
        <v>143.58507999999998</v>
      </c>
      <c r="P153" s="88">
        <f t="shared" si="3"/>
        <v>1.5771219020633347E-3</v>
      </c>
      <c r="Q153" s="88">
        <f>O153/'סכום נכסי הקרן'!$C$42</f>
        <v>3.950087218173614E-5</v>
      </c>
    </row>
    <row r="154" spans="2:17">
      <c r="B154" s="86" t="s">
        <v>2234</v>
      </c>
      <c r="C154" s="93" t="s">
        <v>2021</v>
      </c>
      <c r="D154" s="80" t="s">
        <v>2132</v>
      </c>
      <c r="E154" s="80"/>
      <c r="F154" s="80" t="s">
        <v>602</v>
      </c>
      <c r="G154" s="107">
        <v>43321</v>
      </c>
      <c r="H154" s="80" t="s">
        <v>162</v>
      </c>
      <c r="I154" s="87">
        <v>9.1</v>
      </c>
      <c r="J154" s="93" t="s">
        <v>166</v>
      </c>
      <c r="K154" s="94">
        <v>3.0529000000000001E-2</v>
      </c>
      <c r="L154" s="94">
        <v>1.46E-2</v>
      </c>
      <c r="M154" s="87">
        <v>706617.72</v>
      </c>
      <c r="N154" s="89">
        <v>114.97</v>
      </c>
      <c r="O154" s="87">
        <v>812.39837</v>
      </c>
      <c r="P154" s="88">
        <f t="shared" si="3"/>
        <v>8.9232896797324136E-3</v>
      </c>
      <c r="Q154" s="88">
        <f>O154/'סכום נכסי הקרן'!$C$42</f>
        <v>2.2349428070117582E-4</v>
      </c>
    </row>
    <row r="155" spans="2:17">
      <c r="B155" s="86" t="s">
        <v>2234</v>
      </c>
      <c r="C155" s="93" t="s">
        <v>2021</v>
      </c>
      <c r="D155" s="80" t="s">
        <v>2133</v>
      </c>
      <c r="E155" s="80"/>
      <c r="F155" s="80" t="s">
        <v>602</v>
      </c>
      <c r="G155" s="107">
        <v>43138</v>
      </c>
      <c r="H155" s="80" t="s">
        <v>162</v>
      </c>
      <c r="I155" s="87">
        <v>9.0399999999999991</v>
      </c>
      <c r="J155" s="93" t="s">
        <v>166</v>
      </c>
      <c r="K155" s="94">
        <v>2.8243000000000001E-2</v>
      </c>
      <c r="L155" s="94">
        <v>1.84E-2</v>
      </c>
      <c r="M155" s="87">
        <v>676268.11</v>
      </c>
      <c r="N155" s="89">
        <v>109.97</v>
      </c>
      <c r="O155" s="87">
        <v>743.69204000000002</v>
      </c>
      <c r="P155" s="88">
        <f t="shared" si="3"/>
        <v>8.1686273021832206E-3</v>
      </c>
      <c r="Q155" s="88">
        <f>O155/'סכום נכסי הקרן'!$C$42</f>
        <v>2.0459287423605992E-4</v>
      </c>
    </row>
    <row r="156" spans="2:17">
      <c r="B156" s="86" t="s">
        <v>2234</v>
      </c>
      <c r="C156" s="93" t="s">
        <v>2021</v>
      </c>
      <c r="D156" s="80" t="s">
        <v>2134</v>
      </c>
      <c r="E156" s="80"/>
      <c r="F156" s="80" t="s">
        <v>602</v>
      </c>
      <c r="G156" s="107">
        <v>43417</v>
      </c>
      <c r="H156" s="80" t="s">
        <v>162</v>
      </c>
      <c r="I156" s="87">
        <v>9.01</v>
      </c>
      <c r="J156" s="93" t="s">
        <v>166</v>
      </c>
      <c r="K156" s="94">
        <v>3.2797E-2</v>
      </c>
      <c r="L156" s="94">
        <v>1.5599999999999998E-2</v>
      </c>
      <c r="M156" s="87">
        <v>804516.34</v>
      </c>
      <c r="N156" s="89">
        <v>115.93</v>
      </c>
      <c r="O156" s="87">
        <v>932.67581000000007</v>
      </c>
      <c r="P156" s="88">
        <f t="shared" si="3"/>
        <v>1.024440316135675E-2</v>
      </c>
      <c r="Q156" s="88">
        <f>O156/'סכום נכסי הקרן'!$C$42</f>
        <v>2.5658312101652363E-4</v>
      </c>
    </row>
    <row r="157" spans="2:17">
      <c r="B157" s="86" t="s">
        <v>2234</v>
      </c>
      <c r="C157" s="93" t="s">
        <v>2021</v>
      </c>
      <c r="D157" s="80" t="s">
        <v>2135</v>
      </c>
      <c r="E157" s="80"/>
      <c r="F157" s="80" t="s">
        <v>602</v>
      </c>
      <c r="G157" s="107">
        <v>43496</v>
      </c>
      <c r="H157" s="80" t="s">
        <v>162</v>
      </c>
      <c r="I157" s="87">
        <v>9.09</v>
      </c>
      <c r="J157" s="93" t="s">
        <v>166</v>
      </c>
      <c r="K157" s="94">
        <v>3.2190999999999997E-2</v>
      </c>
      <c r="L157" s="94">
        <v>1.3499999999999996E-2</v>
      </c>
      <c r="M157" s="87">
        <v>1016666.04</v>
      </c>
      <c r="N157" s="89">
        <v>117.92</v>
      </c>
      <c r="O157" s="87">
        <v>1198.8526200000001</v>
      </c>
      <c r="P157" s="88">
        <f t="shared" si="3"/>
        <v>1.3168058438578805E-2</v>
      </c>
      <c r="Q157" s="88">
        <f>O157/'סכום נכסי הקרן'!$C$42</f>
        <v>3.2980950463209335E-4</v>
      </c>
    </row>
    <row r="158" spans="2:17">
      <c r="B158" s="86" t="s">
        <v>2234</v>
      </c>
      <c r="C158" s="93" t="s">
        <v>2021</v>
      </c>
      <c r="D158" s="80" t="s">
        <v>2136</v>
      </c>
      <c r="E158" s="80"/>
      <c r="F158" s="80" t="s">
        <v>602</v>
      </c>
      <c r="G158" s="107">
        <v>43613</v>
      </c>
      <c r="H158" s="80" t="s">
        <v>162</v>
      </c>
      <c r="I158" s="87">
        <v>9.129999999999999</v>
      </c>
      <c r="J158" s="93" t="s">
        <v>166</v>
      </c>
      <c r="K158" s="94">
        <v>2.7243E-2</v>
      </c>
      <c r="L158" s="94">
        <v>1.6200000000000003E-2</v>
      </c>
      <c r="M158" s="87">
        <v>268333.33</v>
      </c>
      <c r="N158" s="89">
        <v>109.69</v>
      </c>
      <c r="O158" s="87">
        <v>294.33484999999996</v>
      </c>
      <c r="P158" s="88">
        <f t="shared" si="3"/>
        <v>3.2329399299392829E-3</v>
      </c>
      <c r="Q158" s="88">
        <f>O158/'סכום נכסי הקרן'!$C$42</f>
        <v>8.0972781353609157E-5</v>
      </c>
    </row>
    <row r="159" spans="2:17">
      <c r="B159" s="86" t="s">
        <v>2234</v>
      </c>
      <c r="C159" s="93" t="s">
        <v>2021</v>
      </c>
      <c r="D159" s="80" t="s">
        <v>2137</v>
      </c>
      <c r="E159" s="80"/>
      <c r="F159" s="80" t="s">
        <v>602</v>
      </c>
      <c r="G159" s="107">
        <v>43677</v>
      </c>
      <c r="H159" s="80" t="s">
        <v>162</v>
      </c>
      <c r="I159" s="87">
        <v>9.0400000000000009</v>
      </c>
      <c r="J159" s="93" t="s">
        <v>166</v>
      </c>
      <c r="K159" s="94">
        <v>2.7243E-2</v>
      </c>
      <c r="L159" s="94">
        <v>1.9200000000000002E-2</v>
      </c>
      <c r="M159" s="87">
        <v>264738.94</v>
      </c>
      <c r="N159" s="89">
        <v>106.79</v>
      </c>
      <c r="O159" s="87">
        <v>282.71472999999997</v>
      </c>
      <c r="P159" s="88">
        <f t="shared" si="3"/>
        <v>3.1053058766197864E-3</v>
      </c>
      <c r="Q159" s="88">
        <f>O159/'סכום נכסי הקרן'!$C$42</f>
        <v>7.7776036435150804E-5</v>
      </c>
    </row>
    <row r="160" spans="2:17">
      <c r="B160" s="86" t="s">
        <v>2234</v>
      </c>
      <c r="C160" s="93" t="s">
        <v>2021</v>
      </c>
      <c r="D160" s="80" t="s">
        <v>2138</v>
      </c>
      <c r="E160" s="80"/>
      <c r="F160" s="80" t="s">
        <v>602</v>
      </c>
      <c r="G160" s="107">
        <v>43541</v>
      </c>
      <c r="H160" s="80" t="s">
        <v>162</v>
      </c>
      <c r="I160" s="87">
        <v>9.11</v>
      </c>
      <c r="J160" s="93" t="s">
        <v>166</v>
      </c>
      <c r="K160" s="94">
        <v>2.9270999999999998E-2</v>
      </c>
      <c r="L160" s="94">
        <v>1.5300000000000001E-2</v>
      </c>
      <c r="M160" s="87">
        <v>87305.9</v>
      </c>
      <c r="N160" s="89">
        <v>113.23</v>
      </c>
      <c r="O160" s="87">
        <v>98.856460000000013</v>
      </c>
      <c r="P160" s="88">
        <f t="shared" si="3"/>
        <v>1.0858279162880154E-3</v>
      </c>
      <c r="Q160" s="88">
        <f>O160/'סכום נכסי הקרן'!$C$42</f>
        <v>2.7195836717846396E-5</v>
      </c>
    </row>
    <row r="161" spans="2:17">
      <c r="B161" s="86" t="s">
        <v>2235</v>
      </c>
      <c r="C161" s="93" t="s">
        <v>2021</v>
      </c>
      <c r="D161" s="80" t="s">
        <v>2139</v>
      </c>
      <c r="E161" s="80"/>
      <c r="F161" s="80" t="s">
        <v>633</v>
      </c>
      <c r="G161" s="107">
        <v>42825</v>
      </c>
      <c r="H161" s="80" t="s">
        <v>162</v>
      </c>
      <c r="I161" s="87">
        <v>6.91</v>
      </c>
      <c r="J161" s="93" t="s">
        <v>166</v>
      </c>
      <c r="K161" s="94">
        <v>2.8999999999999998E-2</v>
      </c>
      <c r="L161" s="94">
        <v>1.15E-2</v>
      </c>
      <c r="M161" s="87">
        <v>3109615.65</v>
      </c>
      <c r="N161" s="89">
        <v>115.44</v>
      </c>
      <c r="O161" s="87">
        <v>3589.7403300000001</v>
      </c>
      <c r="P161" s="88">
        <f t="shared" si="3"/>
        <v>3.9429292355188043E-2</v>
      </c>
      <c r="Q161" s="88">
        <f>O161/'סכום נכסי הקרן'!$C$42</f>
        <v>9.8755298211313696E-4</v>
      </c>
    </row>
    <row r="162" spans="2:17">
      <c r="B162" s="86" t="s">
        <v>2236</v>
      </c>
      <c r="C162" s="93" t="s">
        <v>2029</v>
      </c>
      <c r="D162" s="80" t="s">
        <v>2140</v>
      </c>
      <c r="E162" s="80"/>
      <c r="F162" s="80" t="s">
        <v>2141</v>
      </c>
      <c r="G162" s="107">
        <v>42372</v>
      </c>
      <c r="H162" s="80" t="s">
        <v>162</v>
      </c>
      <c r="I162" s="87">
        <v>9.6399999999999988</v>
      </c>
      <c r="J162" s="93" t="s">
        <v>166</v>
      </c>
      <c r="K162" s="94">
        <v>6.7000000000000004E-2</v>
      </c>
      <c r="L162" s="94">
        <v>2.0399999999999995E-2</v>
      </c>
      <c r="M162" s="87">
        <v>1002156.27</v>
      </c>
      <c r="N162" s="89">
        <v>151.85</v>
      </c>
      <c r="O162" s="87">
        <v>1521.7743600000001</v>
      </c>
      <c r="P162" s="88">
        <f t="shared" si="3"/>
        <v>1.6714993460005833E-2</v>
      </c>
      <c r="Q162" s="88">
        <f>O162/'סכום נכסי הקרן'!$C$42</f>
        <v>4.1864666220058051E-4</v>
      </c>
    </row>
    <row r="163" spans="2:17">
      <c r="B163" s="86" t="s">
        <v>2237</v>
      </c>
      <c r="C163" s="93" t="s">
        <v>2021</v>
      </c>
      <c r="D163" s="80" t="s">
        <v>2142</v>
      </c>
      <c r="E163" s="80"/>
      <c r="F163" s="80" t="s">
        <v>2143</v>
      </c>
      <c r="G163" s="107">
        <v>41529</v>
      </c>
      <c r="H163" s="80" t="s">
        <v>2019</v>
      </c>
      <c r="I163" s="87">
        <v>2.8200000000000003</v>
      </c>
      <c r="J163" s="93" t="s">
        <v>166</v>
      </c>
      <c r="K163" s="94">
        <v>7.6999999999999999E-2</v>
      </c>
      <c r="L163" s="94">
        <v>0</v>
      </c>
      <c r="M163" s="87">
        <v>1243303.6299999999</v>
      </c>
      <c r="N163" s="89">
        <v>0</v>
      </c>
      <c r="O163" s="89">
        <v>0</v>
      </c>
      <c r="P163" s="88">
        <f t="shared" si="3"/>
        <v>0</v>
      </c>
      <c r="Q163" s="88">
        <f>O163/'סכום נכסי הקרן'!$C$42</f>
        <v>0</v>
      </c>
    </row>
    <row r="164" spans="2:17">
      <c r="B164" s="83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7"/>
      <c r="N164" s="89"/>
      <c r="O164" s="80"/>
      <c r="P164" s="88"/>
      <c r="Q164" s="80"/>
    </row>
    <row r="165" spans="2:17">
      <c r="B165" s="81" t="s">
        <v>38</v>
      </c>
      <c r="C165" s="82"/>
      <c r="D165" s="82"/>
      <c r="E165" s="82"/>
      <c r="F165" s="82"/>
      <c r="G165" s="82"/>
      <c r="H165" s="82"/>
      <c r="I165" s="90">
        <v>2.6768782521168357</v>
      </c>
      <c r="J165" s="82"/>
      <c r="K165" s="82"/>
      <c r="L165" s="104">
        <v>5.1179538609120126E-2</v>
      </c>
      <c r="M165" s="90"/>
      <c r="N165" s="92"/>
      <c r="O165" s="90">
        <f>O166</f>
        <v>6648.0429799999993</v>
      </c>
      <c r="P165" s="91">
        <f t="shared" si="3"/>
        <v>7.302133473489307E-2</v>
      </c>
      <c r="Q165" s="91">
        <f>O165/'סכום נכסי הקרן'!$C$42</f>
        <v>1.8289051760229421E-3</v>
      </c>
    </row>
    <row r="166" spans="2:17">
      <c r="B166" s="99" t="s">
        <v>36</v>
      </c>
      <c r="C166" s="82"/>
      <c r="D166" s="82"/>
      <c r="E166" s="82"/>
      <c r="F166" s="82"/>
      <c r="G166" s="82"/>
      <c r="H166" s="82"/>
      <c r="I166" s="90">
        <v>2.6768782521168357</v>
      </c>
      <c r="J166" s="82"/>
      <c r="K166" s="82"/>
      <c r="L166" s="104">
        <v>5.1179538609120126E-2</v>
      </c>
      <c r="M166" s="90"/>
      <c r="N166" s="92"/>
      <c r="O166" s="90">
        <f>SUM(O167:O172)</f>
        <v>6648.0429799999993</v>
      </c>
      <c r="P166" s="91">
        <f t="shared" si="3"/>
        <v>7.302133473489307E-2</v>
      </c>
      <c r="Q166" s="91">
        <f>O166/'סכום נכסי הקרן'!$C$42</f>
        <v>1.8289051760229421E-3</v>
      </c>
    </row>
    <row r="167" spans="2:17">
      <c r="B167" s="86" t="s">
        <v>2238</v>
      </c>
      <c r="C167" s="93" t="s">
        <v>2021</v>
      </c>
      <c r="D167" s="80">
        <v>4623</v>
      </c>
      <c r="E167" s="80"/>
      <c r="F167" s="80" t="s">
        <v>1770</v>
      </c>
      <c r="G167" s="107">
        <v>42354</v>
      </c>
      <c r="H167" s="80" t="s">
        <v>1771</v>
      </c>
      <c r="I167" s="87">
        <v>4.76</v>
      </c>
      <c r="J167" s="93" t="s">
        <v>165</v>
      </c>
      <c r="K167" s="94">
        <v>5.0199999999999995E-2</v>
      </c>
      <c r="L167" s="94">
        <v>3.6400000000000009E-2</v>
      </c>
      <c r="M167" s="87">
        <v>288771</v>
      </c>
      <c r="N167" s="89">
        <v>109.43</v>
      </c>
      <c r="O167" s="87">
        <v>1092.1032600000001</v>
      </c>
      <c r="P167" s="88">
        <f t="shared" si="3"/>
        <v>1.1995535822111663E-2</v>
      </c>
      <c r="Q167" s="88">
        <f>O167/'סכום נכסי הקרן'!$C$42</f>
        <v>3.0044229722557076E-4</v>
      </c>
    </row>
    <row r="168" spans="2:17">
      <c r="B168" s="86" t="s">
        <v>2239</v>
      </c>
      <c r="C168" s="93" t="s">
        <v>2021</v>
      </c>
      <c r="D168" s="80" t="s">
        <v>2144</v>
      </c>
      <c r="E168" s="80"/>
      <c r="F168" s="80" t="s">
        <v>1510</v>
      </c>
      <c r="G168" s="107">
        <v>43051</v>
      </c>
      <c r="H168" s="80"/>
      <c r="I168" s="87">
        <v>2.37</v>
      </c>
      <c r="J168" s="93" t="s">
        <v>165</v>
      </c>
      <c r="K168" s="94">
        <v>4.5494000000000007E-2</v>
      </c>
      <c r="L168" s="94">
        <v>4.6500000000000007E-2</v>
      </c>
      <c r="M168" s="87">
        <v>694472.57</v>
      </c>
      <c r="N168" s="89">
        <v>100</v>
      </c>
      <c r="O168" s="87">
        <v>2400.0971300000001</v>
      </c>
      <c r="P168" s="88">
        <f t="shared" si="3"/>
        <v>2.6362389120111584E-2</v>
      </c>
      <c r="Q168" s="88">
        <f>O168/'סכום נכסי הקרן'!$C$42</f>
        <v>6.6027702847595144E-4</v>
      </c>
    </row>
    <row r="169" spans="2:17">
      <c r="B169" s="86" t="s">
        <v>2240</v>
      </c>
      <c r="C169" s="93" t="s">
        <v>2021</v>
      </c>
      <c r="D169" s="80" t="s">
        <v>2145</v>
      </c>
      <c r="E169" s="80"/>
      <c r="F169" s="80" t="s">
        <v>1510</v>
      </c>
      <c r="G169" s="107">
        <v>43053</v>
      </c>
      <c r="H169" s="80"/>
      <c r="I169" s="87">
        <v>2.09</v>
      </c>
      <c r="J169" s="93" t="s">
        <v>165</v>
      </c>
      <c r="K169" s="94">
        <v>5.5494000000000002E-2</v>
      </c>
      <c r="L169" s="94">
        <v>5.6900000000000006E-2</v>
      </c>
      <c r="M169" s="87">
        <v>325639.21999999997</v>
      </c>
      <c r="N169" s="89">
        <v>99.99</v>
      </c>
      <c r="O169" s="87">
        <v>1125.2966799999999</v>
      </c>
      <c r="P169" s="88">
        <f t="shared" si="3"/>
        <v>1.2360128506019957E-2</v>
      </c>
      <c r="Q169" s="88">
        <f>O169/'סכום נכסי הקרן'!$C$42</f>
        <v>3.0957394962771923E-4</v>
      </c>
    </row>
    <row r="170" spans="2:17">
      <c r="B170" s="86" t="s">
        <v>2240</v>
      </c>
      <c r="C170" s="93" t="s">
        <v>2021</v>
      </c>
      <c r="D170" s="80" t="s">
        <v>2146</v>
      </c>
      <c r="E170" s="80"/>
      <c r="F170" s="80" t="s">
        <v>1510</v>
      </c>
      <c r="G170" s="107">
        <v>43051</v>
      </c>
      <c r="H170" s="80"/>
      <c r="I170" s="87">
        <v>2.52</v>
      </c>
      <c r="J170" s="93" t="s">
        <v>165</v>
      </c>
      <c r="K170" s="94">
        <v>7.7994000000000008E-2</v>
      </c>
      <c r="L170" s="94">
        <v>7.9100000000000004E-2</v>
      </c>
      <c r="M170" s="87">
        <v>117443.12</v>
      </c>
      <c r="N170" s="89">
        <v>100.5</v>
      </c>
      <c r="O170" s="87">
        <v>407.91284999999999</v>
      </c>
      <c r="P170" s="88">
        <f t="shared" si="3"/>
        <v>4.4804675379090629E-3</v>
      </c>
      <c r="Q170" s="88">
        <f>O170/'סכום נכסי הקרן'!$C$42</f>
        <v>1.1221857695199047E-4</v>
      </c>
    </row>
    <row r="171" spans="2:17">
      <c r="B171" s="86" t="s">
        <v>2241</v>
      </c>
      <c r="C171" s="93" t="s">
        <v>2021</v>
      </c>
      <c r="D171" s="80" t="s">
        <v>2147</v>
      </c>
      <c r="E171" s="80"/>
      <c r="F171" s="80" t="s">
        <v>1510</v>
      </c>
      <c r="G171" s="107">
        <v>42887</v>
      </c>
      <c r="H171" s="80"/>
      <c r="I171" s="87">
        <v>2.14</v>
      </c>
      <c r="J171" s="93" t="s">
        <v>165</v>
      </c>
      <c r="K171" s="94">
        <v>5.4100000000000002E-2</v>
      </c>
      <c r="L171" s="94">
        <v>5.8400000000000014E-2</v>
      </c>
      <c r="M171" s="87">
        <v>304371.01</v>
      </c>
      <c r="N171" s="89">
        <v>99.96</v>
      </c>
      <c r="O171" s="87">
        <v>1051.48541</v>
      </c>
      <c r="P171" s="88">
        <f t="shared" si="3"/>
        <v>1.1549394058289661E-2</v>
      </c>
      <c r="Q171" s="88">
        <f>O171/'סכום נכסי הקרן'!$C$42</f>
        <v>2.8926815224374584E-4</v>
      </c>
    </row>
    <row r="172" spans="2:17">
      <c r="B172" s="86" t="s">
        <v>2241</v>
      </c>
      <c r="C172" s="93" t="s">
        <v>2021</v>
      </c>
      <c r="D172" s="80" t="s">
        <v>2148</v>
      </c>
      <c r="E172" s="80"/>
      <c r="F172" s="80" t="s">
        <v>1510</v>
      </c>
      <c r="G172" s="107">
        <v>42887</v>
      </c>
      <c r="H172" s="80"/>
      <c r="I172" s="87">
        <v>2.2399999999999998</v>
      </c>
      <c r="J172" s="93" t="s">
        <v>165</v>
      </c>
      <c r="K172" s="94">
        <v>5.2994000000000006E-2</v>
      </c>
      <c r="L172" s="94">
        <v>5.4600000000000003E-2</v>
      </c>
      <c r="M172" s="87">
        <v>165328.76</v>
      </c>
      <c r="N172" s="89">
        <v>99.96</v>
      </c>
      <c r="O172" s="87">
        <v>571.14765</v>
      </c>
      <c r="P172" s="88">
        <f t="shared" si="3"/>
        <v>6.2734196904511525E-3</v>
      </c>
      <c r="Q172" s="88">
        <f>O172/'סכום נכסי הקרן'!$C$42</f>
        <v>1.5712517149796463E-4</v>
      </c>
    </row>
    <row r="176" spans="2:17">
      <c r="B176" s="95" t="s">
        <v>255</v>
      </c>
    </row>
    <row r="177" spans="2:2">
      <c r="B177" s="95" t="s">
        <v>114</v>
      </c>
    </row>
    <row r="178" spans="2:2">
      <c r="B178" s="95" t="s">
        <v>238</v>
      </c>
    </row>
    <row r="179" spans="2:2">
      <c r="B179" s="95" t="s">
        <v>246</v>
      </c>
    </row>
  </sheetData>
  <sheetProtection sheet="1" objects="1" scenarios="1"/>
  <mergeCells count="1">
    <mergeCell ref="B6:Q6"/>
  </mergeCells>
  <phoneticPr fontId="3" type="noConversion"/>
  <conditionalFormatting sqref="B58:B172">
    <cfRule type="cellIs" dxfId="8" priority="7" operator="equal">
      <formula>2958465</formula>
    </cfRule>
    <cfRule type="cellIs" dxfId="7" priority="8" operator="equal">
      <formula>"NR3"</formula>
    </cfRule>
    <cfRule type="cellIs" dxfId="6" priority="9" operator="equal">
      <formula>"דירוג פנימי"</formula>
    </cfRule>
  </conditionalFormatting>
  <conditionalFormatting sqref="B58:B172">
    <cfRule type="cellIs" dxfId="5" priority="6" operator="equal">
      <formula>2958465</formula>
    </cfRule>
  </conditionalFormatting>
  <conditionalFormatting sqref="B11:B43">
    <cfRule type="cellIs" dxfId="4" priority="5" operator="equal">
      <formula>"NR3"</formula>
    </cfRule>
  </conditionalFormatting>
  <conditionalFormatting sqref="R13:R19">
    <cfRule type="cellIs" dxfId="3" priority="2" operator="equal">
      <formula>2958465</formula>
    </cfRule>
    <cfRule type="cellIs" dxfId="2" priority="3" operator="equal">
      <formula>"NR3"</formula>
    </cfRule>
    <cfRule type="cellIs" dxfId="1" priority="4" operator="equal">
      <formula>"דירוג פנימי"</formula>
    </cfRule>
  </conditionalFormatting>
  <conditionalFormatting sqref="R13:R19">
    <cfRule type="cellIs" dxfId="0" priority="1" operator="equal">
      <formula>2958465</formula>
    </cfRule>
  </conditionalFormatting>
  <dataValidations count="1">
    <dataValidation allowBlank="1" showInputMessage="1" showErrorMessage="1" sqref="D1:Q9 C5:C9 B1:B9 B173:Q1048576 R53:AF56 AH53:XFD56 R20:R52 R1:R12 T1:XFD52 S1:S20 S28:S52 A1:A1048576 R57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181</v>
      </c>
      <c r="C1" s="78" t="s" vm="1">
        <v>262</v>
      </c>
    </row>
    <row r="2" spans="2:64">
      <c r="B2" s="57" t="s">
        <v>180</v>
      </c>
      <c r="C2" s="78" t="s">
        <v>263</v>
      </c>
    </row>
    <row r="3" spans="2:64">
      <c r="B3" s="57" t="s">
        <v>182</v>
      </c>
      <c r="C3" s="78" t="s">
        <v>264</v>
      </c>
    </row>
    <row r="4" spans="2:64">
      <c r="B4" s="57" t="s">
        <v>183</v>
      </c>
      <c r="C4" s="78">
        <v>2207</v>
      </c>
    </row>
    <row r="6" spans="2:64" ht="26.25" customHeight="1">
      <c r="B6" s="157" t="s">
        <v>214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64" s="3" customFormat="1" ht="78.75">
      <c r="B7" s="60" t="s">
        <v>118</v>
      </c>
      <c r="C7" s="61" t="s">
        <v>44</v>
      </c>
      <c r="D7" s="61" t="s">
        <v>119</v>
      </c>
      <c r="E7" s="61" t="s">
        <v>15</v>
      </c>
      <c r="F7" s="61" t="s">
        <v>66</v>
      </c>
      <c r="G7" s="61" t="s">
        <v>18</v>
      </c>
      <c r="H7" s="61" t="s">
        <v>103</v>
      </c>
      <c r="I7" s="61" t="s">
        <v>52</v>
      </c>
      <c r="J7" s="61" t="s">
        <v>19</v>
      </c>
      <c r="K7" s="61" t="s">
        <v>240</v>
      </c>
      <c r="L7" s="61" t="s">
        <v>239</v>
      </c>
      <c r="M7" s="61" t="s">
        <v>112</v>
      </c>
      <c r="N7" s="61" t="s">
        <v>184</v>
      </c>
      <c r="O7" s="63" t="s">
        <v>186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247</v>
      </c>
      <c r="L8" s="33"/>
      <c r="M8" s="33" t="s">
        <v>243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"/>
      <c r="Q10" s="1"/>
      <c r="R10" s="1"/>
      <c r="S10" s="1"/>
      <c r="T10" s="1"/>
      <c r="U10" s="1"/>
      <c r="BL10" s="1"/>
    </row>
    <row r="11" spans="2:64" ht="20.25" customHeight="1">
      <c r="B11" s="95" t="s">
        <v>255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2:64">
      <c r="B12" s="95" t="s">
        <v>114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2:64">
      <c r="B13" s="95" t="s">
        <v>238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2:64">
      <c r="B14" s="95" t="s">
        <v>246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64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4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1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1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1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1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2:1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2: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1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1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1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AW862"/>
  <sheetViews>
    <sheetView rightToLeft="1" zoomScale="90" zoomScaleNormal="90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69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36.5703125" style="1" bestFit="1" customWidth="1"/>
    <col min="11" max="11" width="6.28515625" style="3" customWidth="1"/>
    <col min="12" max="12" width="8" style="3" customWidth="1"/>
    <col min="13" max="13" width="7.85546875" style="3" customWidth="1"/>
    <col min="14" max="14" width="8.140625" style="3" customWidth="1"/>
    <col min="15" max="15" width="9.5703125" style="3" customWidth="1"/>
    <col min="16" max="16" width="6.140625" style="3" customWidth="1"/>
    <col min="17" max="18" width="5.7109375" style="3" customWidth="1"/>
    <col min="19" max="19" width="6.85546875" style="3" customWidth="1"/>
    <col min="20" max="20" width="6.42578125" style="3" customWidth="1"/>
    <col min="21" max="21" width="6.7109375" style="3" customWidth="1"/>
    <col min="22" max="22" width="7.28515625" style="3" customWidth="1"/>
    <col min="23" max="34" width="5.7109375" style="3" customWidth="1"/>
    <col min="35" max="49" width="9.140625" style="3"/>
    <col min="50" max="16384" width="9.140625" style="1"/>
  </cols>
  <sheetData>
    <row r="1" spans="2:49">
      <c r="B1" s="57" t="s">
        <v>181</v>
      </c>
      <c r="C1" s="78" t="s" vm="1">
        <v>262</v>
      </c>
    </row>
    <row r="2" spans="2:49">
      <c r="B2" s="57" t="s">
        <v>180</v>
      </c>
      <c r="C2" s="78" t="s">
        <v>263</v>
      </c>
    </row>
    <row r="3" spans="2:49">
      <c r="B3" s="57" t="s">
        <v>182</v>
      </c>
      <c r="C3" s="78" t="s">
        <v>264</v>
      </c>
    </row>
    <row r="4" spans="2:49">
      <c r="B4" s="57" t="s">
        <v>183</v>
      </c>
      <c r="C4" s="78">
        <v>2207</v>
      </c>
    </row>
    <row r="6" spans="2:49" ht="26.25" customHeight="1">
      <c r="B6" s="157" t="s">
        <v>215</v>
      </c>
      <c r="C6" s="158"/>
      <c r="D6" s="158"/>
      <c r="E6" s="158"/>
      <c r="F6" s="158"/>
      <c r="G6" s="158"/>
      <c r="H6" s="158"/>
      <c r="I6" s="158"/>
      <c r="J6" s="159"/>
    </row>
    <row r="7" spans="2:49" s="3" customFormat="1" ht="78.75">
      <c r="B7" s="60" t="s">
        <v>118</v>
      </c>
      <c r="C7" s="62" t="s">
        <v>54</v>
      </c>
      <c r="D7" s="62" t="s">
        <v>86</v>
      </c>
      <c r="E7" s="62" t="s">
        <v>55</v>
      </c>
      <c r="F7" s="62" t="s">
        <v>103</v>
      </c>
      <c r="G7" s="62" t="s">
        <v>226</v>
      </c>
      <c r="H7" s="62" t="s">
        <v>184</v>
      </c>
      <c r="I7" s="64" t="s">
        <v>185</v>
      </c>
      <c r="J7" s="77" t="s">
        <v>250</v>
      </c>
    </row>
    <row r="8" spans="2:49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244</v>
      </c>
      <c r="H8" s="33" t="s">
        <v>20</v>
      </c>
      <c r="I8" s="18" t="s">
        <v>20</v>
      </c>
      <c r="J8" s="18"/>
    </row>
    <row r="9" spans="2:49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2:49" s="4" customFormat="1" ht="18" customHeight="1">
      <c r="B10" s="120" t="s">
        <v>40</v>
      </c>
      <c r="C10" s="120"/>
      <c r="D10" s="120"/>
      <c r="E10" s="133">
        <v>5.4758988508752687E-2</v>
      </c>
      <c r="F10" s="121"/>
      <c r="G10" s="122">
        <v>19620.114719999998</v>
      </c>
      <c r="H10" s="124">
        <f>G10/$G$10</f>
        <v>1</v>
      </c>
      <c r="I10" s="124">
        <f>G10/'סכום נכסי הקרן'!$C$42</f>
        <v>5.3975778245603217E-3</v>
      </c>
      <c r="J10" s="12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2:49" s="96" customFormat="1" ht="22.5" customHeight="1">
      <c r="B11" s="125" t="s">
        <v>237</v>
      </c>
      <c r="C11" s="120"/>
      <c r="D11" s="120"/>
      <c r="E11" s="133">
        <v>5.4758988508752687E-2</v>
      </c>
      <c r="F11" s="129" t="s">
        <v>166</v>
      </c>
      <c r="G11" s="122">
        <v>19620.114719999998</v>
      </c>
      <c r="H11" s="124">
        <f t="shared" ref="H11:H21" si="0">G11/$G$10</f>
        <v>1</v>
      </c>
      <c r="I11" s="124">
        <f>G11/'סכום נכסי הקרן'!$C$42</f>
        <v>5.3975778245603217E-3</v>
      </c>
      <c r="J11" s="12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2:49">
      <c r="B12" s="99" t="s">
        <v>87</v>
      </c>
      <c r="C12" s="106"/>
      <c r="D12" s="106"/>
      <c r="E12" s="133">
        <v>6.8551772575363573E-2</v>
      </c>
      <c r="F12" s="119" t="s">
        <v>166</v>
      </c>
      <c r="G12" s="90">
        <v>15672.49972</v>
      </c>
      <c r="H12" s="91">
        <f t="shared" si="0"/>
        <v>0.79879755769338345</v>
      </c>
      <c r="I12" s="91">
        <f>G12/'סכום נכסי הקרן'!$C$42</f>
        <v>4.3115719837187507E-3</v>
      </c>
      <c r="J12" s="82"/>
      <c r="AV12" s="1"/>
      <c r="AW12" s="1"/>
    </row>
    <row r="13" spans="2:49">
      <c r="B13" s="86" t="s">
        <v>2149</v>
      </c>
      <c r="C13" s="107">
        <v>43646</v>
      </c>
      <c r="D13" s="79" t="s">
        <v>2150</v>
      </c>
      <c r="E13" s="131">
        <v>7.0795921275168233E-2</v>
      </c>
      <c r="F13" s="93" t="s">
        <v>166</v>
      </c>
      <c r="G13" s="87">
        <v>3151</v>
      </c>
      <c r="H13" s="88">
        <f t="shared" si="0"/>
        <v>0.16060048806890975</v>
      </c>
      <c r="I13" s="88">
        <f>G13/'סכום נכסי הקרן'!$C$42</f>
        <v>8.6685363301431176E-4</v>
      </c>
      <c r="J13" s="80" t="s">
        <v>2151</v>
      </c>
      <c r="AV13" s="1"/>
      <c r="AW13" s="1"/>
    </row>
    <row r="14" spans="2:49">
      <c r="B14" s="86" t="s">
        <v>2152</v>
      </c>
      <c r="C14" s="107">
        <v>43830</v>
      </c>
      <c r="D14" s="79" t="s">
        <v>2150</v>
      </c>
      <c r="E14" s="131">
        <v>5.6376362585671455E-2</v>
      </c>
      <c r="F14" s="93" t="s">
        <v>166</v>
      </c>
      <c r="G14" s="87">
        <v>1426.5</v>
      </c>
      <c r="H14" s="88">
        <f t="shared" si="0"/>
        <v>7.2705996899492142E-2</v>
      </c>
      <c r="I14" s="88">
        <f>G14/'סכום נכסי הקרן'!$C$42</f>
        <v>3.9243627657725027E-4</v>
      </c>
      <c r="J14" s="80" t="s">
        <v>2153</v>
      </c>
      <c r="AV14" s="1"/>
      <c r="AW14" s="1"/>
    </row>
    <row r="15" spans="2:49">
      <c r="B15" s="86" t="s">
        <v>2154</v>
      </c>
      <c r="C15" s="107">
        <v>43646</v>
      </c>
      <c r="D15" s="79" t="s">
        <v>2150</v>
      </c>
      <c r="E15" s="131">
        <v>6.5682273791394463E-2</v>
      </c>
      <c r="F15" s="93" t="s">
        <v>166</v>
      </c>
      <c r="G15" s="87">
        <v>923.99974999999995</v>
      </c>
      <c r="H15" s="88">
        <f t="shared" si="0"/>
        <v>4.7094513115058891E-2</v>
      </c>
      <c r="I15" s="88">
        <f>G15/'סכום נכסי הקרן'!$C$42</f>
        <v>2.5419629964830713E-4</v>
      </c>
      <c r="J15" s="80" t="s">
        <v>2155</v>
      </c>
      <c r="AV15" s="1"/>
      <c r="AW15" s="1"/>
    </row>
    <row r="16" spans="2:49">
      <c r="B16" s="86" t="s">
        <v>2156</v>
      </c>
      <c r="C16" s="107">
        <v>43830</v>
      </c>
      <c r="D16" s="79" t="s">
        <v>2150</v>
      </c>
      <c r="E16" s="131">
        <v>6.7261997225437561E-2</v>
      </c>
      <c r="F16" s="93" t="s">
        <v>166</v>
      </c>
      <c r="G16" s="87">
        <v>3477.0000299999997</v>
      </c>
      <c r="H16" s="88">
        <f t="shared" si="0"/>
        <v>0.17721609071203229</v>
      </c>
      <c r="I16" s="88">
        <f>G16/'סכום נכסי הקרן'!$C$42</f>
        <v>9.5653764138253587E-4</v>
      </c>
      <c r="J16" s="80" t="s">
        <v>2157</v>
      </c>
      <c r="AV16" s="1"/>
      <c r="AW16" s="1"/>
    </row>
    <row r="17" spans="2:49">
      <c r="B17" s="86" t="s">
        <v>2158</v>
      </c>
      <c r="C17" s="107">
        <v>43830</v>
      </c>
      <c r="D17" s="79" t="s">
        <v>2150</v>
      </c>
      <c r="E17" s="131">
        <v>6.4238888462002652E-2</v>
      </c>
      <c r="F17" s="93" t="s">
        <v>166</v>
      </c>
      <c r="G17" s="87">
        <v>1172.9999399999999</v>
      </c>
      <c r="H17" s="88">
        <f t="shared" si="0"/>
        <v>5.9785580091654023E-2</v>
      </c>
      <c r="I17" s="88">
        <f>G17/'סכום נכסי הקרן'!$C$42</f>
        <v>3.226973213311868E-4</v>
      </c>
      <c r="J17" s="80" t="s">
        <v>2159</v>
      </c>
      <c r="AV17" s="1"/>
      <c r="AW17" s="1"/>
    </row>
    <row r="18" spans="2:49">
      <c r="B18" s="86" t="s">
        <v>2160</v>
      </c>
      <c r="C18" s="107">
        <v>43830</v>
      </c>
      <c r="D18" s="79" t="s">
        <v>2150</v>
      </c>
      <c r="E18" s="131">
        <v>7.2372273145026034E-2</v>
      </c>
      <c r="F18" s="93" t="s">
        <v>166</v>
      </c>
      <c r="G18" s="87">
        <v>776</v>
      </c>
      <c r="H18" s="88">
        <f t="shared" si="0"/>
        <v>3.9551246823698497E-2</v>
      </c>
      <c r="I18" s="88">
        <f>G18/'סכום נכסי הקרן'!$C$42</f>
        <v>2.1348093278930686E-4</v>
      </c>
      <c r="J18" s="80" t="s">
        <v>2161</v>
      </c>
      <c r="AV18" s="1"/>
      <c r="AW18" s="1"/>
    </row>
    <row r="19" spans="2:49">
      <c r="B19" s="86" t="s">
        <v>2162</v>
      </c>
      <c r="C19" s="107">
        <v>43646</v>
      </c>
      <c r="D19" s="79" t="s">
        <v>2150</v>
      </c>
      <c r="E19" s="131">
        <v>7.2767872361121894E-2</v>
      </c>
      <c r="F19" s="93" t="s">
        <v>166</v>
      </c>
      <c r="G19" s="87">
        <v>1674</v>
      </c>
      <c r="H19" s="88">
        <f t="shared" si="0"/>
        <v>8.5320602039782575E-2</v>
      </c>
      <c r="I19" s="88">
        <f>G19/'סכום נכסי הקרן'!$C$42</f>
        <v>4.6052458954806659E-4</v>
      </c>
      <c r="J19" s="80" t="s">
        <v>2163</v>
      </c>
      <c r="AV19" s="1"/>
      <c r="AW19" s="1"/>
    </row>
    <row r="20" spans="2:49">
      <c r="B20" s="86" t="s">
        <v>2164</v>
      </c>
      <c r="C20" s="107">
        <v>43830</v>
      </c>
      <c r="D20" s="79" t="s">
        <v>2150</v>
      </c>
      <c r="E20" s="131">
        <v>7.013331027149719E-2</v>
      </c>
      <c r="F20" s="93" t="s">
        <v>166</v>
      </c>
      <c r="G20" s="87">
        <v>1946</v>
      </c>
      <c r="H20" s="88">
        <f t="shared" si="0"/>
        <v>9.9183925668707817E-2</v>
      </c>
      <c r="I20" s="88">
        <f>G20/'סכום נכסי הקרן'!$C$42</f>
        <v>5.353529577422566E-4</v>
      </c>
      <c r="J20" s="80" t="s">
        <v>2165</v>
      </c>
      <c r="AV20" s="1"/>
      <c r="AW20" s="1"/>
    </row>
    <row r="21" spans="2:49">
      <c r="B21" s="86" t="s">
        <v>2166</v>
      </c>
      <c r="C21" s="107">
        <v>43830</v>
      </c>
      <c r="D21" s="79" t="s">
        <v>2150</v>
      </c>
      <c r="E21" s="131">
        <v>7.6899999999999996E-2</v>
      </c>
      <c r="F21" s="93" t="s">
        <v>166</v>
      </c>
      <c r="G21" s="87">
        <v>1125</v>
      </c>
      <c r="H21" s="88">
        <f t="shared" si="0"/>
        <v>5.7339114274047434E-2</v>
      </c>
      <c r="I21" s="88">
        <f>G21/'סכום נכסי הקרן'!$C$42</f>
        <v>3.0949233168552862E-4</v>
      </c>
      <c r="J21" s="80" t="s">
        <v>2165</v>
      </c>
      <c r="AV21" s="1"/>
      <c r="AW21" s="1"/>
    </row>
    <row r="22" spans="2:49">
      <c r="B22" s="105"/>
      <c r="C22" s="79"/>
      <c r="D22" s="79"/>
      <c r="E22" s="80"/>
      <c r="F22" s="80"/>
      <c r="G22" s="80"/>
      <c r="H22" s="88"/>
      <c r="I22" s="80"/>
      <c r="J22" s="80"/>
      <c r="AV22" s="1"/>
      <c r="AW22" s="1"/>
    </row>
    <row r="23" spans="2:49">
      <c r="B23" s="99" t="s">
        <v>88</v>
      </c>
      <c r="C23" s="106"/>
      <c r="D23" s="106"/>
      <c r="E23" s="134">
        <v>0</v>
      </c>
      <c r="F23" s="119" t="s">
        <v>166</v>
      </c>
      <c r="G23" s="90">
        <v>3947.6149999999998</v>
      </c>
      <c r="H23" s="91">
        <f t="shared" ref="H23:H25" si="1">G23/$G$10</f>
        <v>0.20120244230661666</v>
      </c>
      <c r="I23" s="91">
        <f>G23/'סכום נכסי הקרן'!$C$42</f>
        <v>1.0860058408415716E-3</v>
      </c>
      <c r="J23" s="82"/>
      <c r="AV23" s="1"/>
      <c r="AW23" s="1"/>
    </row>
    <row r="24" spans="2:49">
      <c r="B24" s="86" t="s">
        <v>2167</v>
      </c>
      <c r="C24" s="107">
        <v>43830</v>
      </c>
      <c r="D24" s="79" t="s">
        <v>27</v>
      </c>
      <c r="E24" s="132">
        <v>0</v>
      </c>
      <c r="F24" s="93" t="s">
        <v>166</v>
      </c>
      <c r="G24" s="87">
        <v>207</v>
      </c>
      <c r="H24" s="88">
        <f t="shared" si="1"/>
        <v>1.0550397026424728E-2</v>
      </c>
      <c r="I24" s="88">
        <f>G24/'סכום נכסי הקרן'!$C$42</f>
        <v>5.6946589030137267E-5</v>
      </c>
      <c r="J24" s="80" t="s">
        <v>2153</v>
      </c>
      <c r="AV24" s="1"/>
      <c r="AW24" s="1"/>
    </row>
    <row r="25" spans="2:49">
      <c r="B25" s="86" t="s">
        <v>2168</v>
      </c>
      <c r="C25" s="107">
        <v>43738</v>
      </c>
      <c r="D25" s="79" t="s">
        <v>27</v>
      </c>
      <c r="E25" s="132">
        <v>0</v>
      </c>
      <c r="F25" s="93" t="s">
        <v>166</v>
      </c>
      <c r="G25" s="87">
        <v>3740.6149999999998</v>
      </c>
      <c r="H25" s="88">
        <f t="shared" si="1"/>
        <v>0.19065204528019192</v>
      </c>
      <c r="I25" s="88">
        <f>G25/'סכום נכסי הקרן'!$C$42</f>
        <v>1.0290592518114343E-3</v>
      </c>
      <c r="J25" s="80" t="s">
        <v>2169</v>
      </c>
      <c r="AV25" s="1"/>
      <c r="AW25" s="1"/>
    </row>
    <row r="26" spans="2:49">
      <c r="B26" s="105"/>
      <c r="C26" s="79"/>
      <c r="D26" s="79"/>
      <c r="E26" s="80"/>
      <c r="F26" s="80"/>
      <c r="G26" s="80"/>
      <c r="H26" s="88"/>
      <c r="I26" s="80"/>
      <c r="J26" s="80"/>
      <c r="AV26" s="1"/>
      <c r="AW26" s="1"/>
    </row>
    <row r="27" spans="2:49">
      <c r="B27" s="79"/>
      <c r="C27" s="79"/>
      <c r="D27" s="79"/>
      <c r="E27" s="79"/>
      <c r="F27" s="79"/>
      <c r="G27" s="79"/>
      <c r="H27" s="79"/>
      <c r="I27" s="79"/>
      <c r="J27" s="79"/>
      <c r="AV27" s="1"/>
      <c r="AW27" s="1"/>
    </row>
    <row r="28" spans="2:49">
      <c r="B28" s="79"/>
      <c r="C28" s="79"/>
      <c r="D28" s="79"/>
      <c r="E28" s="79"/>
      <c r="F28" s="79"/>
      <c r="G28" s="79"/>
      <c r="H28" s="79"/>
      <c r="I28" s="79"/>
      <c r="J28" s="79"/>
    </row>
    <row r="29" spans="2:49">
      <c r="B29" s="114"/>
      <c r="C29" s="79"/>
      <c r="D29" s="79"/>
      <c r="E29" s="79"/>
      <c r="F29" s="79"/>
      <c r="G29" s="79"/>
      <c r="H29" s="79"/>
      <c r="I29" s="79"/>
      <c r="J29" s="79"/>
    </row>
    <row r="30" spans="2:49">
      <c r="B30" s="114"/>
      <c r="C30" s="79"/>
      <c r="D30" s="79"/>
      <c r="E30" s="79"/>
      <c r="F30" s="79"/>
      <c r="G30" s="79"/>
      <c r="H30" s="79"/>
      <c r="I30" s="79"/>
      <c r="J30" s="79"/>
      <c r="M30" s="130"/>
    </row>
    <row r="31" spans="2:49">
      <c r="B31" s="79"/>
      <c r="C31" s="79"/>
      <c r="D31" s="79"/>
      <c r="E31" s="79"/>
      <c r="F31" s="79"/>
      <c r="G31" s="79"/>
      <c r="H31" s="79"/>
      <c r="I31" s="79"/>
      <c r="J31" s="79"/>
      <c r="M31" s="130"/>
    </row>
    <row r="32" spans="2:49">
      <c r="B32" s="79"/>
      <c r="C32" s="79"/>
      <c r="D32" s="79"/>
      <c r="E32" s="79"/>
      <c r="F32" s="79"/>
      <c r="G32" s="79"/>
      <c r="H32" s="79"/>
      <c r="I32" s="79"/>
      <c r="J32" s="79"/>
      <c r="M32" s="130"/>
    </row>
    <row r="33" spans="2:13">
      <c r="B33" s="79"/>
      <c r="C33" s="79"/>
      <c r="D33" s="79"/>
      <c r="E33" s="79"/>
      <c r="F33" s="79"/>
      <c r="G33" s="79"/>
      <c r="H33" s="79"/>
      <c r="I33" s="79"/>
      <c r="J33" s="79"/>
      <c r="M33" s="130"/>
    </row>
    <row r="34" spans="2:13">
      <c r="B34" s="79"/>
      <c r="C34" s="79"/>
      <c r="D34" s="79"/>
      <c r="E34" s="79"/>
      <c r="F34" s="79"/>
      <c r="G34" s="79"/>
      <c r="H34" s="79"/>
      <c r="I34" s="79"/>
      <c r="J34" s="79"/>
      <c r="M34" s="130"/>
    </row>
    <row r="35" spans="2:13">
      <c r="B35" s="79"/>
      <c r="C35" s="79"/>
      <c r="D35" s="79"/>
      <c r="E35" s="79"/>
      <c r="F35" s="79"/>
      <c r="G35" s="79"/>
      <c r="H35" s="79"/>
      <c r="I35" s="79"/>
      <c r="J35" s="79"/>
      <c r="M35" s="130"/>
    </row>
    <row r="36" spans="2:13">
      <c r="B36" s="79"/>
      <c r="C36" s="79"/>
      <c r="D36" s="79"/>
      <c r="E36" s="79"/>
      <c r="F36" s="79"/>
      <c r="G36" s="79"/>
      <c r="H36" s="79"/>
      <c r="I36" s="79"/>
      <c r="J36" s="79"/>
    </row>
    <row r="37" spans="2:13">
      <c r="B37" s="79"/>
      <c r="C37" s="79"/>
      <c r="D37" s="79"/>
      <c r="E37" s="79"/>
      <c r="F37" s="79"/>
      <c r="G37" s="79"/>
      <c r="H37" s="79"/>
      <c r="I37" s="79"/>
      <c r="J37" s="79"/>
    </row>
    <row r="38" spans="2:13">
      <c r="B38" s="79"/>
      <c r="C38" s="79"/>
      <c r="D38" s="79"/>
      <c r="E38" s="79"/>
      <c r="F38" s="79"/>
      <c r="G38" s="79"/>
      <c r="H38" s="79"/>
      <c r="I38" s="79"/>
      <c r="J38" s="79"/>
    </row>
    <row r="39" spans="2:13">
      <c r="B39" s="79"/>
      <c r="C39" s="79"/>
      <c r="D39" s="79"/>
      <c r="E39" s="79"/>
      <c r="F39" s="79"/>
      <c r="G39" s="79"/>
      <c r="H39" s="79"/>
      <c r="I39" s="79"/>
      <c r="J39" s="79"/>
    </row>
    <row r="40" spans="2:13">
      <c r="B40" s="79"/>
      <c r="C40" s="79"/>
      <c r="D40" s="79"/>
      <c r="E40" s="79"/>
      <c r="F40" s="79"/>
      <c r="G40" s="79"/>
      <c r="H40" s="79"/>
      <c r="I40" s="79"/>
      <c r="J40" s="79"/>
    </row>
    <row r="41" spans="2:13">
      <c r="B41" s="79"/>
      <c r="C41" s="79"/>
      <c r="D41" s="79"/>
      <c r="E41" s="79"/>
      <c r="F41" s="79"/>
      <c r="G41" s="79"/>
      <c r="H41" s="79"/>
      <c r="I41" s="79"/>
      <c r="J41" s="79"/>
    </row>
    <row r="42" spans="2:13">
      <c r="B42" s="79"/>
      <c r="C42" s="79"/>
      <c r="D42" s="79"/>
      <c r="E42" s="79"/>
      <c r="F42" s="79"/>
      <c r="G42" s="79"/>
      <c r="H42" s="79"/>
      <c r="I42" s="79"/>
      <c r="J42" s="79"/>
    </row>
    <row r="43" spans="2:13">
      <c r="B43" s="79"/>
      <c r="C43" s="79"/>
      <c r="D43" s="79"/>
      <c r="E43" s="79"/>
      <c r="F43" s="79"/>
      <c r="G43" s="79"/>
      <c r="H43" s="79"/>
      <c r="I43" s="79"/>
      <c r="J43" s="79"/>
    </row>
    <row r="44" spans="2:13">
      <c r="B44" s="79"/>
      <c r="C44" s="79"/>
      <c r="D44" s="79"/>
      <c r="E44" s="79"/>
      <c r="F44" s="79"/>
      <c r="G44" s="79"/>
      <c r="H44" s="79"/>
      <c r="I44" s="79"/>
      <c r="J44" s="79"/>
    </row>
    <row r="45" spans="2:13">
      <c r="B45" s="79"/>
      <c r="C45" s="79"/>
      <c r="D45" s="79"/>
      <c r="E45" s="79"/>
      <c r="F45" s="79"/>
      <c r="G45" s="79"/>
      <c r="H45" s="79"/>
      <c r="I45" s="79"/>
      <c r="J45" s="79"/>
    </row>
    <row r="46" spans="2:13">
      <c r="B46" s="79"/>
      <c r="C46" s="79"/>
      <c r="D46" s="79"/>
      <c r="E46" s="79"/>
      <c r="F46" s="79"/>
      <c r="G46" s="79"/>
      <c r="H46" s="79"/>
      <c r="I46" s="79"/>
      <c r="J46" s="79"/>
    </row>
    <row r="47" spans="2:13">
      <c r="B47" s="79"/>
      <c r="C47" s="79"/>
      <c r="D47" s="79"/>
      <c r="E47" s="79"/>
      <c r="F47" s="79"/>
      <c r="G47" s="79"/>
      <c r="H47" s="79"/>
      <c r="I47" s="79"/>
      <c r="J47" s="79"/>
    </row>
    <row r="48" spans="2:13">
      <c r="B48" s="79"/>
      <c r="C48" s="79"/>
      <c r="D48" s="79"/>
      <c r="E48" s="79"/>
      <c r="F48" s="79"/>
      <c r="G48" s="79"/>
      <c r="H48" s="79"/>
      <c r="I48" s="79"/>
      <c r="J48" s="79"/>
    </row>
    <row r="49" spans="2:10">
      <c r="B49" s="79"/>
      <c r="C49" s="79"/>
      <c r="D49" s="79"/>
      <c r="E49" s="79"/>
      <c r="F49" s="79"/>
      <c r="G49" s="79"/>
      <c r="H49" s="79"/>
      <c r="I49" s="79"/>
      <c r="J49" s="79"/>
    </row>
    <row r="50" spans="2:10">
      <c r="B50" s="79"/>
      <c r="C50" s="79"/>
      <c r="D50" s="79"/>
      <c r="E50" s="79"/>
      <c r="F50" s="79"/>
      <c r="G50" s="79"/>
      <c r="H50" s="79"/>
      <c r="I50" s="79"/>
      <c r="J50" s="79"/>
    </row>
    <row r="51" spans="2:10">
      <c r="B51" s="79"/>
      <c r="C51" s="79"/>
      <c r="D51" s="79"/>
      <c r="E51" s="79"/>
      <c r="F51" s="79"/>
      <c r="G51" s="79"/>
      <c r="H51" s="79"/>
      <c r="I51" s="79"/>
      <c r="J51" s="79"/>
    </row>
    <row r="52" spans="2:10">
      <c r="B52" s="79"/>
      <c r="C52" s="79"/>
      <c r="D52" s="79"/>
      <c r="E52" s="79"/>
      <c r="F52" s="79"/>
      <c r="G52" s="79"/>
      <c r="H52" s="79"/>
      <c r="I52" s="79"/>
      <c r="J52" s="79"/>
    </row>
    <row r="53" spans="2:10">
      <c r="B53" s="79"/>
      <c r="C53" s="79"/>
      <c r="D53" s="79"/>
      <c r="E53" s="79"/>
      <c r="F53" s="79"/>
      <c r="G53" s="79"/>
      <c r="H53" s="79"/>
      <c r="I53" s="79"/>
      <c r="J53" s="79"/>
    </row>
    <row r="54" spans="2:10">
      <c r="B54" s="79"/>
      <c r="C54" s="79"/>
      <c r="D54" s="79"/>
      <c r="E54" s="79"/>
      <c r="F54" s="79"/>
      <c r="G54" s="79"/>
      <c r="H54" s="79"/>
      <c r="I54" s="79"/>
      <c r="J54" s="79"/>
    </row>
    <row r="55" spans="2:10">
      <c r="B55" s="79"/>
      <c r="C55" s="79"/>
      <c r="D55" s="79"/>
      <c r="E55" s="79"/>
      <c r="F55" s="79"/>
      <c r="G55" s="79"/>
      <c r="H55" s="79"/>
      <c r="I55" s="79"/>
      <c r="J55" s="79"/>
    </row>
    <row r="56" spans="2:10">
      <c r="B56" s="79"/>
      <c r="C56" s="79"/>
      <c r="D56" s="79"/>
      <c r="E56" s="79"/>
      <c r="F56" s="79"/>
      <c r="G56" s="79"/>
      <c r="H56" s="79"/>
      <c r="I56" s="79"/>
      <c r="J56" s="79"/>
    </row>
    <row r="57" spans="2:10">
      <c r="B57" s="79"/>
      <c r="C57" s="79"/>
      <c r="D57" s="79"/>
      <c r="E57" s="79"/>
      <c r="F57" s="79"/>
      <c r="G57" s="79"/>
      <c r="H57" s="79"/>
      <c r="I57" s="79"/>
      <c r="J57" s="79"/>
    </row>
    <row r="58" spans="2:10">
      <c r="B58" s="79"/>
      <c r="C58" s="79"/>
      <c r="D58" s="79"/>
      <c r="E58" s="79"/>
      <c r="F58" s="79"/>
      <c r="G58" s="79"/>
      <c r="H58" s="79"/>
      <c r="I58" s="79"/>
      <c r="J58" s="79"/>
    </row>
    <row r="59" spans="2:10">
      <c r="B59" s="79"/>
      <c r="C59" s="79"/>
      <c r="D59" s="79"/>
      <c r="E59" s="79"/>
      <c r="F59" s="79"/>
      <c r="G59" s="79"/>
      <c r="H59" s="79"/>
      <c r="I59" s="79"/>
      <c r="J59" s="79"/>
    </row>
    <row r="60" spans="2:10">
      <c r="B60" s="79"/>
      <c r="C60" s="79"/>
      <c r="D60" s="79"/>
      <c r="E60" s="79"/>
      <c r="F60" s="79"/>
      <c r="G60" s="79"/>
      <c r="H60" s="79"/>
      <c r="I60" s="79"/>
      <c r="J60" s="79"/>
    </row>
    <row r="61" spans="2:10">
      <c r="B61" s="79"/>
      <c r="C61" s="79"/>
      <c r="D61" s="79"/>
      <c r="E61" s="79"/>
      <c r="F61" s="79"/>
      <c r="G61" s="79"/>
      <c r="H61" s="79"/>
      <c r="I61" s="79"/>
      <c r="J61" s="79"/>
    </row>
    <row r="62" spans="2:10">
      <c r="B62" s="79"/>
      <c r="C62" s="79"/>
      <c r="D62" s="79"/>
      <c r="E62" s="79"/>
      <c r="F62" s="79"/>
      <c r="G62" s="79"/>
      <c r="H62" s="79"/>
      <c r="I62" s="79"/>
      <c r="J62" s="79"/>
    </row>
    <row r="63" spans="2:10">
      <c r="B63" s="79"/>
      <c r="C63" s="79"/>
      <c r="D63" s="79"/>
      <c r="E63" s="79"/>
      <c r="F63" s="79"/>
      <c r="G63" s="79"/>
      <c r="H63" s="79"/>
      <c r="I63" s="79"/>
      <c r="J63" s="79"/>
    </row>
    <row r="64" spans="2:10">
      <c r="B64" s="79"/>
      <c r="C64" s="79"/>
      <c r="D64" s="79"/>
      <c r="E64" s="79"/>
      <c r="F64" s="79"/>
      <c r="G64" s="79"/>
      <c r="H64" s="79"/>
      <c r="I64" s="79"/>
      <c r="J64" s="79"/>
    </row>
    <row r="65" spans="2:10">
      <c r="B65" s="79"/>
      <c r="C65" s="79"/>
      <c r="D65" s="79"/>
      <c r="E65" s="79"/>
      <c r="F65" s="79"/>
      <c r="G65" s="79"/>
      <c r="H65" s="79"/>
      <c r="I65" s="79"/>
      <c r="J65" s="79"/>
    </row>
    <row r="66" spans="2:10">
      <c r="B66" s="79"/>
      <c r="C66" s="79"/>
      <c r="D66" s="79"/>
      <c r="E66" s="79"/>
      <c r="F66" s="79"/>
      <c r="G66" s="79"/>
      <c r="H66" s="79"/>
      <c r="I66" s="79"/>
      <c r="J66" s="79"/>
    </row>
    <row r="67" spans="2:10">
      <c r="B67" s="79"/>
      <c r="C67" s="79"/>
      <c r="D67" s="79"/>
      <c r="E67" s="79"/>
      <c r="F67" s="79"/>
      <c r="G67" s="79"/>
      <c r="H67" s="79"/>
      <c r="I67" s="79"/>
      <c r="J67" s="79"/>
    </row>
    <row r="68" spans="2:10">
      <c r="B68" s="79"/>
      <c r="C68" s="79"/>
      <c r="D68" s="79"/>
      <c r="E68" s="79"/>
      <c r="F68" s="79"/>
      <c r="G68" s="79"/>
      <c r="H68" s="79"/>
      <c r="I68" s="79"/>
      <c r="J68" s="79"/>
    </row>
    <row r="69" spans="2:10">
      <c r="B69" s="79"/>
      <c r="C69" s="79"/>
      <c r="D69" s="79"/>
      <c r="E69" s="79"/>
      <c r="F69" s="79"/>
      <c r="G69" s="79"/>
      <c r="H69" s="79"/>
      <c r="I69" s="79"/>
      <c r="J69" s="79"/>
    </row>
    <row r="70" spans="2:10">
      <c r="B70" s="79"/>
      <c r="C70" s="79"/>
      <c r="D70" s="79"/>
      <c r="E70" s="79"/>
      <c r="F70" s="79"/>
      <c r="G70" s="79"/>
      <c r="H70" s="79"/>
      <c r="I70" s="79"/>
      <c r="J70" s="79"/>
    </row>
    <row r="71" spans="2:10">
      <c r="B71" s="79"/>
      <c r="C71" s="79"/>
      <c r="D71" s="79"/>
      <c r="E71" s="79"/>
      <c r="F71" s="79"/>
      <c r="G71" s="79"/>
      <c r="H71" s="79"/>
      <c r="I71" s="79"/>
      <c r="J71" s="79"/>
    </row>
    <row r="72" spans="2:10">
      <c r="B72" s="79"/>
      <c r="C72" s="79"/>
      <c r="D72" s="79"/>
      <c r="E72" s="79"/>
      <c r="F72" s="79"/>
      <c r="G72" s="79"/>
      <c r="H72" s="79"/>
      <c r="I72" s="79"/>
      <c r="J72" s="79"/>
    </row>
    <row r="73" spans="2:10">
      <c r="B73" s="79"/>
      <c r="C73" s="79"/>
      <c r="D73" s="79"/>
      <c r="E73" s="79"/>
      <c r="F73" s="79"/>
      <c r="G73" s="79"/>
      <c r="H73" s="79"/>
      <c r="I73" s="79"/>
      <c r="J73" s="79"/>
    </row>
    <row r="74" spans="2:10">
      <c r="B74" s="79"/>
      <c r="C74" s="79"/>
      <c r="D74" s="79"/>
      <c r="E74" s="79"/>
      <c r="F74" s="79"/>
      <c r="G74" s="79"/>
      <c r="H74" s="79"/>
      <c r="I74" s="79"/>
      <c r="J74" s="79"/>
    </row>
    <row r="75" spans="2:10">
      <c r="B75" s="79"/>
      <c r="C75" s="79"/>
      <c r="D75" s="79"/>
      <c r="E75" s="79"/>
      <c r="F75" s="79"/>
      <c r="G75" s="79"/>
      <c r="H75" s="79"/>
      <c r="I75" s="79"/>
      <c r="J75" s="79"/>
    </row>
    <row r="76" spans="2:10">
      <c r="B76" s="79"/>
      <c r="C76" s="79"/>
      <c r="D76" s="79"/>
      <c r="E76" s="79"/>
      <c r="F76" s="79"/>
      <c r="G76" s="79"/>
      <c r="H76" s="79"/>
      <c r="I76" s="79"/>
      <c r="J76" s="79"/>
    </row>
    <row r="77" spans="2:10">
      <c r="B77" s="79"/>
      <c r="C77" s="79"/>
      <c r="D77" s="79"/>
      <c r="E77" s="79"/>
      <c r="F77" s="79"/>
      <c r="G77" s="79"/>
      <c r="H77" s="79"/>
      <c r="I77" s="79"/>
      <c r="J77" s="79"/>
    </row>
    <row r="78" spans="2:10">
      <c r="B78" s="79"/>
      <c r="C78" s="79"/>
      <c r="D78" s="79"/>
      <c r="E78" s="79"/>
      <c r="F78" s="79"/>
      <c r="G78" s="79"/>
      <c r="H78" s="79"/>
      <c r="I78" s="79"/>
      <c r="J78" s="79"/>
    </row>
    <row r="79" spans="2:10">
      <c r="B79" s="79"/>
      <c r="C79" s="79"/>
      <c r="D79" s="79"/>
      <c r="E79" s="79"/>
      <c r="F79" s="79"/>
      <c r="G79" s="79"/>
      <c r="H79" s="79"/>
      <c r="I79" s="79"/>
      <c r="J79" s="79"/>
    </row>
    <row r="80" spans="2:10">
      <c r="B80" s="79"/>
      <c r="C80" s="79"/>
      <c r="D80" s="79"/>
      <c r="E80" s="79"/>
      <c r="F80" s="79"/>
      <c r="G80" s="79"/>
      <c r="H80" s="79"/>
      <c r="I80" s="79"/>
      <c r="J80" s="79"/>
    </row>
    <row r="81" spans="2:10">
      <c r="B81" s="79"/>
      <c r="C81" s="79"/>
      <c r="D81" s="79"/>
      <c r="E81" s="79"/>
      <c r="F81" s="79"/>
      <c r="G81" s="79"/>
      <c r="H81" s="79"/>
      <c r="I81" s="79"/>
      <c r="J81" s="79"/>
    </row>
    <row r="82" spans="2:10">
      <c r="B82" s="79"/>
      <c r="C82" s="79"/>
      <c r="D82" s="79"/>
      <c r="E82" s="79"/>
      <c r="F82" s="79"/>
      <c r="G82" s="79"/>
      <c r="H82" s="79"/>
      <c r="I82" s="79"/>
      <c r="J82" s="79"/>
    </row>
    <row r="83" spans="2:10">
      <c r="B83" s="79"/>
      <c r="C83" s="79"/>
      <c r="D83" s="79"/>
      <c r="E83" s="79"/>
      <c r="F83" s="79"/>
      <c r="G83" s="79"/>
      <c r="H83" s="79"/>
      <c r="I83" s="79"/>
      <c r="J83" s="79"/>
    </row>
    <row r="84" spans="2:10">
      <c r="B84" s="79"/>
      <c r="C84" s="79"/>
      <c r="D84" s="79"/>
      <c r="E84" s="79"/>
      <c r="F84" s="79"/>
      <c r="G84" s="79"/>
      <c r="H84" s="79"/>
      <c r="I84" s="79"/>
      <c r="J84" s="79"/>
    </row>
    <row r="85" spans="2:10">
      <c r="B85" s="79"/>
      <c r="C85" s="79"/>
      <c r="D85" s="79"/>
      <c r="E85" s="79"/>
      <c r="F85" s="79"/>
      <c r="G85" s="79"/>
      <c r="H85" s="79"/>
      <c r="I85" s="79"/>
      <c r="J85" s="79"/>
    </row>
    <row r="86" spans="2:10">
      <c r="B86" s="79"/>
      <c r="C86" s="79"/>
      <c r="D86" s="79"/>
      <c r="E86" s="79"/>
      <c r="F86" s="79"/>
      <c r="G86" s="79"/>
      <c r="H86" s="79"/>
      <c r="I86" s="79"/>
      <c r="J86" s="79"/>
    </row>
    <row r="87" spans="2:10">
      <c r="B87" s="79"/>
      <c r="C87" s="79"/>
      <c r="D87" s="79"/>
      <c r="E87" s="79"/>
      <c r="F87" s="79"/>
      <c r="G87" s="79"/>
      <c r="H87" s="79"/>
      <c r="I87" s="79"/>
      <c r="J87" s="79"/>
    </row>
    <row r="88" spans="2:10">
      <c r="B88" s="79"/>
      <c r="C88" s="79"/>
      <c r="D88" s="79"/>
      <c r="E88" s="79"/>
      <c r="F88" s="79"/>
      <c r="G88" s="79"/>
      <c r="H88" s="79"/>
      <c r="I88" s="79"/>
      <c r="J88" s="79"/>
    </row>
    <row r="89" spans="2:10">
      <c r="B89" s="79"/>
      <c r="C89" s="79"/>
      <c r="D89" s="79"/>
      <c r="E89" s="79"/>
      <c r="F89" s="79"/>
      <c r="G89" s="79"/>
      <c r="H89" s="79"/>
      <c r="I89" s="79"/>
      <c r="J89" s="79"/>
    </row>
    <row r="90" spans="2:10">
      <c r="B90" s="79"/>
      <c r="C90" s="79"/>
      <c r="D90" s="79"/>
      <c r="E90" s="79"/>
      <c r="F90" s="79"/>
      <c r="G90" s="79"/>
      <c r="H90" s="79"/>
      <c r="I90" s="79"/>
      <c r="J90" s="79"/>
    </row>
    <row r="91" spans="2:10">
      <c r="B91" s="79"/>
      <c r="C91" s="79"/>
      <c r="D91" s="79"/>
      <c r="E91" s="79"/>
      <c r="F91" s="79"/>
      <c r="G91" s="79"/>
      <c r="H91" s="79"/>
      <c r="I91" s="79"/>
      <c r="J91" s="79"/>
    </row>
    <row r="92" spans="2:10">
      <c r="B92" s="79"/>
      <c r="C92" s="79"/>
      <c r="D92" s="79"/>
      <c r="E92" s="79"/>
      <c r="F92" s="79"/>
      <c r="G92" s="79"/>
      <c r="H92" s="79"/>
      <c r="I92" s="79"/>
      <c r="J92" s="79"/>
    </row>
    <row r="93" spans="2:10">
      <c r="B93" s="79"/>
      <c r="C93" s="79"/>
      <c r="D93" s="79"/>
      <c r="E93" s="79"/>
      <c r="F93" s="79"/>
      <c r="G93" s="79"/>
      <c r="H93" s="79"/>
      <c r="I93" s="79"/>
      <c r="J93" s="79"/>
    </row>
    <row r="94" spans="2:10">
      <c r="B94" s="79"/>
      <c r="C94" s="79"/>
      <c r="D94" s="79"/>
      <c r="E94" s="79"/>
      <c r="F94" s="79"/>
      <c r="G94" s="79"/>
      <c r="H94" s="79"/>
      <c r="I94" s="79"/>
      <c r="J94" s="79"/>
    </row>
    <row r="95" spans="2:10">
      <c r="B95" s="79"/>
      <c r="C95" s="79"/>
      <c r="D95" s="79"/>
      <c r="E95" s="79"/>
      <c r="F95" s="79"/>
      <c r="G95" s="79"/>
      <c r="H95" s="79"/>
      <c r="I95" s="79"/>
      <c r="J95" s="79"/>
    </row>
    <row r="96" spans="2:10">
      <c r="B96" s="79"/>
      <c r="C96" s="79"/>
      <c r="D96" s="79"/>
      <c r="E96" s="79"/>
      <c r="F96" s="79"/>
      <c r="G96" s="79"/>
      <c r="H96" s="79"/>
      <c r="I96" s="79"/>
      <c r="J96" s="79"/>
    </row>
    <row r="97" spans="2:10">
      <c r="B97" s="79"/>
      <c r="C97" s="79"/>
      <c r="D97" s="79"/>
      <c r="E97" s="79"/>
      <c r="F97" s="79"/>
      <c r="G97" s="79"/>
      <c r="H97" s="79"/>
      <c r="I97" s="79"/>
      <c r="J97" s="79"/>
    </row>
    <row r="98" spans="2:10">
      <c r="B98" s="79"/>
      <c r="C98" s="79"/>
      <c r="D98" s="79"/>
      <c r="E98" s="79"/>
      <c r="F98" s="79"/>
      <c r="G98" s="79"/>
      <c r="H98" s="79"/>
      <c r="I98" s="79"/>
      <c r="J98" s="79"/>
    </row>
    <row r="99" spans="2:10">
      <c r="B99" s="79"/>
      <c r="C99" s="79"/>
      <c r="D99" s="79"/>
      <c r="E99" s="79"/>
      <c r="F99" s="79"/>
      <c r="G99" s="79"/>
      <c r="H99" s="79"/>
      <c r="I99" s="79"/>
      <c r="J99" s="79"/>
    </row>
    <row r="100" spans="2:10"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2:10"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2:10"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2:10"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2:10"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2:10"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2:10"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2:10"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2:10"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2:10"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2:10">
      <c r="B110" s="79"/>
      <c r="C110" s="79"/>
      <c r="D110" s="79"/>
      <c r="E110" s="79"/>
      <c r="F110" s="79"/>
      <c r="G110" s="79"/>
      <c r="H110" s="79"/>
      <c r="I110" s="79"/>
      <c r="J110" s="79"/>
    </row>
    <row r="111" spans="2:10">
      <c r="B111" s="79"/>
      <c r="C111" s="79"/>
      <c r="D111" s="79"/>
      <c r="E111" s="79"/>
      <c r="F111" s="79"/>
      <c r="G111" s="79"/>
      <c r="H111" s="79"/>
      <c r="I111" s="79"/>
      <c r="J111" s="79"/>
    </row>
    <row r="112" spans="2:10">
      <c r="B112" s="79"/>
      <c r="C112" s="79"/>
      <c r="D112" s="79"/>
      <c r="E112" s="79"/>
      <c r="F112" s="79"/>
      <c r="G112" s="79"/>
      <c r="H112" s="79"/>
      <c r="I112" s="79"/>
      <c r="J112" s="79"/>
    </row>
    <row r="113" spans="2:10">
      <c r="B113" s="79"/>
      <c r="C113" s="79"/>
      <c r="D113" s="79"/>
      <c r="E113" s="79"/>
      <c r="F113" s="79"/>
      <c r="G113" s="79"/>
      <c r="H113" s="79"/>
      <c r="I113" s="79"/>
      <c r="J113" s="79"/>
    </row>
    <row r="114" spans="2:10">
      <c r="B114" s="79"/>
      <c r="C114" s="79"/>
      <c r="D114" s="79"/>
      <c r="E114" s="79"/>
      <c r="F114" s="79"/>
      <c r="G114" s="79"/>
      <c r="H114" s="79"/>
      <c r="I114" s="79"/>
      <c r="J114" s="79"/>
    </row>
    <row r="115" spans="2:10">
      <c r="B115" s="79"/>
      <c r="C115" s="79"/>
      <c r="D115" s="79"/>
      <c r="E115" s="79"/>
      <c r="F115" s="79"/>
      <c r="G115" s="79"/>
      <c r="H115" s="79"/>
      <c r="I115" s="79"/>
      <c r="J115" s="79"/>
    </row>
    <row r="116" spans="2:10">
      <c r="B116" s="79"/>
      <c r="C116" s="79"/>
      <c r="D116" s="79"/>
      <c r="E116" s="79"/>
      <c r="F116" s="79"/>
      <c r="G116" s="79"/>
      <c r="H116" s="79"/>
      <c r="I116" s="79"/>
      <c r="J116" s="79"/>
    </row>
    <row r="117" spans="2:10">
      <c r="B117" s="79"/>
      <c r="C117" s="79"/>
      <c r="D117" s="79"/>
      <c r="E117" s="79"/>
      <c r="F117" s="79"/>
      <c r="G117" s="79"/>
      <c r="H117" s="79"/>
      <c r="I117" s="79"/>
      <c r="J117" s="79"/>
    </row>
    <row r="118" spans="2:10">
      <c r="B118" s="79"/>
      <c r="C118" s="79"/>
      <c r="D118" s="79"/>
      <c r="E118" s="79"/>
      <c r="F118" s="79"/>
      <c r="G118" s="79"/>
      <c r="H118" s="79"/>
      <c r="I118" s="79"/>
      <c r="J118" s="79"/>
    </row>
    <row r="119" spans="2:10"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2:10">
      <c r="B120" s="79"/>
      <c r="C120" s="79"/>
      <c r="D120" s="79"/>
      <c r="E120" s="79"/>
      <c r="F120" s="79"/>
      <c r="G120" s="79"/>
      <c r="H120" s="79"/>
      <c r="I120" s="79"/>
      <c r="J120" s="79"/>
    </row>
    <row r="121" spans="2:10">
      <c r="B121" s="79"/>
      <c r="C121" s="79"/>
      <c r="D121" s="79"/>
      <c r="E121" s="79"/>
      <c r="F121" s="79"/>
      <c r="G121" s="79"/>
      <c r="H121" s="79"/>
      <c r="I121" s="79"/>
      <c r="J121" s="79"/>
    </row>
    <row r="122" spans="2:10">
      <c r="B122" s="79"/>
      <c r="C122" s="79"/>
      <c r="D122" s="79"/>
      <c r="E122" s="79"/>
      <c r="F122" s="79"/>
      <c r="G122" s="79"/>
      <c r="H122" s="79"/>
      <c r="I122" s="79"/>
      <c r="J122" s="79"/>
    </row>
    <row r="123" spans="2:10">
      <c r="B123" s="79"/>
      <c r="C123" s="79"/>
      <c r="D123" s="79"/>
      <c r="E123" s="79"/>
      <c r="F123" s="79"/>
      <c r="G123" s="79"/>
      <c r="H123" s="79"/>
      <c r="I123" s="79"/>
      <c r="J123" s="79"/>
    </row>
    <row r="124" spans="2:10"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2:10">
      <c r="B125" s="79"/>
      <c r="C125" s="79"/>
      <c r="D125" s="79"/>
      <c r="E125" s="79"/>
      <c r="F125" s="79"/>
      <c r="G125" s="79"/>
      <c r="H125" s="79"/>
      <c r="I125" s="79"/>
      <c r="J125" s="79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6:J1048576 B29:B30 AA28:XFD29 O30:XFD1048576 K22:N1048576 O28:Y29 E11 M22:XFD27 K1:XFD21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181</v>
      </c>
      <c r="C1" s="78" t="s" vm="1">
        <v>262</v>
      </c>
    </row>
    <row r="2" spans="2:60">
      <c r="B2" s="57" t="s">
        <v>180</v>
      </c>
      <c r="C2" s="78" t="s">
        <v>263</v>
      </c>
    </row>
    <row r="3" spans="2:60">
      <c r="B3" s="57" t="s">
        <v>182</v>
      </c>
      <c r="C3" s="78" t="s">
        <v>264</v>
      </c>
    </row>
    <row r="4" spans="2:60">
      <c r="B4" s="57" t="s">
        <v>183</v>
      </c>
      <c r="C4" s="78">
        <v>2207</v>
      </c>
    </row>
    <row r="6" spans="2:60" ht="26.25" customHeight="1">
      <c r="B6" s="157" t="s">
        <v>216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60" s="3" customFormat="1" ht="66">
      <c r="B7" s="60" t="s">
        <v>118</v>
      </c>
      <c r="C7" s="60" t="s">
        <v>119</v>
      </c>
      <c r="D7" s="60" t="s">
        <v>15</v>
      </c>
      <c r="E7" s="60" t="s">
        <v>16</v>
      </c>
      <c r="F7" s="60" t="s">
        <v>57</v>
      </c>
      <c r="G7" s="60" t="s">
        <v>103</v>
      </c>
      <c r="H7" s="60" t="s">
        <v>53</v>
      </c>
      <c r="I7" s="60" t="s">
        <v>112</v>
      </c>
      <c r="J7" s="60" t="s">
        <v>184</v>
      </c>
      <c r="K7" s="60" t="s">
        <v>185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243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4"/>
      <c r="C11" s="79"/>
      <c r="D11" s="79"/>
      <c r="E11" s="79"/>
      <c r="F11" s="79"/>
      <c r="G11" s="79"/>
      <c r="H11" s="79"/>
      <c r="I11" s="79"/>
      <c r="J11" s="79"/>
      <c r="K11" s="79"/>
    </row>
    <row r="12" spans="2:60">
      <c r="B12" s="114"/>
      <c r="C12" s="79"/>
      <c r="D12" s="79"/>
      <c r="E12" s="79"/>
      <c r="F12" s="79"/>
      <c r="G12" s="79"/>
      <c r="H12" s="79"/>
      <c r="I12" s="79"/>
      <c r="J12" s="79"/>
      <c r="K12" s="7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/>
      <c r="C13" s="79"/>
      <c r="D13" s="79"/>
      <c r="E13" s="79"/>
      <c r="F13" s="79"/>
      <c r="G13" s="79"/>
      <c r="H13" s="79"/>
      <c r="I13" s="79"/>
      <c r="J13" s="79"/>
      <c r="K13" s="7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I14" sqref="I14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9.28515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181</v>
      </c>
      <c r="C1" s="78" t="s" vm="1">
        <v>262</v>
      </c>
    </row>
    <row r="2" spans="2:60">
      <c r="B2" s="57" t="s">
        <v>180</v>
      </c>
      <c r="C2" s="78" t="s">
        <v>263</v>
      </c>
    </row>
    <row r="3" spans="2:60">
      <c r="B3" s="57" t="s">
        <v>182</v>
      </c>
      <c r="C3" s="78" t="s">
        <v>264</v>
      </c>
    </row>
    <row r="4" spans="2:60">
      <c r="B4" s="57" t="s">
        <v>183</v>
      </c>
      <c r="C4" s="78">
        <v>2207</v>
      </c>
    </row>
    <row r="6" spans="2:60" ht="26.25" customHeight="1">
      <c r="B6" s="157" t="s">
        <v>217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60" s="3" customFormat="1" ht="63">
      <c r="B7" s="60" t="s">
        <v>118</v>
      </c>
      <c r="C7" s="62" t="s">
        <v>44</v>
      </c>
      <c r="D7" s="62" t="s">
        <v>15</v>
      </c>
      <c r="E7" s="62" t="s">
        <v>16</v>
      </c>
      <c r="F7" s="62" t="s">
        <v>57</v>
      </c>
      <c r="G7" s="62" t="s">
        <v>103</v>
      </c>
      <c r="H7" s="62" t="s">
        <v>53</v>
      </c>
      <c r="I7" s="62" t="s">
        <v>112</v>
      </c>
      <c r="J7" s="62" t="s">
        <v>184</v>
      </c>
      <c r="K7" s="64" t="s">
        <v>185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243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0" t="s">
        <v>56</v>
      </c>
      <c r="C10" s="121"/>
      <c r="D10" s="121"/>
      <c r="E10" s="121"/>
      <c r="F10" s="121"/>
      <c r="G10" s="121"/>
      <c r="H10" s="124">
        <v>0</v>
      </c>
      <c r="I10" s="122">
        <v>9.6662153540000002</v>
      </c>
      <c r="J10" s="124">
        <f>I10/$I$10</f>
        <v>1</v>
      </c>
      <c r="K10" s="124">
        <f>I10/'סכום נכסי הקרן'!$C$42</f>
        <v>2.6592173586523712E-6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96"/>
    </row>
    <row r="11" spans="2:60" s="96" customFormat="1" ht="21" customHeight="1">
      <c r="B11" s="125" t="s">
        <v>235</v>
      </c>
      <c r="C11" s="121"/>
      <c r="D11" s="121"/>
      <c r="E11" s="121"/>
      <c r="F11" s="121"/>
      <c r="G11" s="121"/>
      <c r="H11" s="124">
        <v>0</v>
      </c>
      <c r="I11" s="122">
        <v>9.6662153540000002</v>
      </c>
      <c r="J11" s="124">
        <f t="shared" ref="J11:J12" si="0">I11/$I$10</f>
        <v>1</v>
      </c>
      <c r="K11" s="124">
        <f>I11/'סכום נכסי הקרן'!$C$42</f>
        <v>2.6592173586523712E-6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2170</v>
      </c>
      <c r="C12" s="80" t="s">
        <v>2171</v>
      </c>
      <c r="D12" s="80" t="s">
        <v>649</v>
      </c>
      <c r="E12" s="80" t="s">
        <v>294</v>
      </c>
      <c r="F12" s="94">
        <v>0</v>
      </c>
      <c r="G12" s="93" t="s">
        <v>166</v>
      </c>
      <c r="H12" s="88">
        <v>0</v>
      </c>
      <c r="I12" s="87">
        <v>9.6662153540000002</v>
      </c>
      <c r="J12" s="88">
        <f t="shared" si="0"/>
        <v>1</v>
      </c>
      <c r="K12" s="88">
        <f>I12/'סכום נכסי הקרן'!$C$42</f>
        <v>2.6592173586523712E-6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5"/>
      <c r="C13" s="80"/>
      <c r="D13" s="80"/>
      <c r="E13" s="80"/>
      <c r="F13" s="80"/>
      <c r="G13" s="80"/>
      <c r="H13" s="88"/>
      <c r="I13" s="80"/>
      <c r="J13" s="88"/>
      <c r="K13" s="8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4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4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B111" s="79"/>
      <c r="C111" s="79"/>
      <c r="D111" s="79"/>
      <c r="E111" s="79"/>
      <c r="F111" s="79"/>
      <c r="G111" s="79"/>
      <c r="H111" s="79"/>
      <c r="I111" s="79"/>
      <c r="J111" s="79"/>
      <c r="K111" s="79"/>
    </row>
    <row r="112" spans="2:11">
      <c r="B112" s="79"/>
      <c r="C112" s="79"/>
      <c r="D112" s="79"/>
      <c r="E112" s="79"/>
      <c r="F112" s="79"/>
      <c r="G112" s="79"/>
      <c r="H112" s="79"/>
      <c r="I112" s="79"/>
      <c r="J112" s="79"/>
      <c r="K112" s="79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J109"/>
  <sheetViews>
    <sheetView rightToLeft="1" topLeftCell="A19" workbookViewId="0">
      <selection activeCell="B23" sqref="B23:B47"/>
    </sheetView>
  </sheetViews>
  <sheetFormatPr defaultColWidth="9.140625" defaultRowHeight="18"/>
  <cols>
    <col min="1" max="1" width="6.28515625" style="1" customWidth="1"/>
    <col min="2" max="2" width="32.42578125" style="2" bestFit="1" customWidth="1"/>
    <col min="3" max="3" width="69.28515625" style="1" bestFit="1" customWidth="1"/>
    <col min="4" max="4" width="11.85546875" style="1" customWidth="1"/>
    <col min="5" max="5" width="24.42578125" style="3" bestFit="1" customWidth="1"/>
    <col min="6" max="6" width="6" style="3" customWidth="1"/>
    <col min="7" max="7" width="7.85546875" style="3" customWidth="1"/>
    <col min="8" max="8" width="5.85546875" style="3" customWidth="1"/>
    <col min="10" max="10" width="6.85546875" style="3" customWidth="1"/>
    <col min="11" max="11" width="6.42578125" style="1" customWidth="1"/>
    <col min="12" max="12" width="6.7109375" style="1" customWidth="1"/>
    <col min="13" max="13" width="7.28515625" style="1" customWidth="1"/>
    <col min="14" max="25" width="5.7109375" style="1" customWidth="1"/>
    <col min="26" max="16384" width="9.140625" style="1"/>
  </cols>
  <sheetData>
    <row r="1" spans="2:10">
      <c r="B1" s="57" t="s">
        <v>181</v>
      </c>
      <c r="C1" s="78" t="s" vm="1">
        <v>262</v>
      </c>
    </row>
    <row r="2" spans="2:10">
      <c r="B2" s="57" t="s">
        <v>180</v>
      </c>
      <c r="C2" s="78" t="s">
        <v>263</v>
      </c>
    </row>
    <row r="3" spans="2:10">
      <c r="B3" s="57" t="s">
        <v>182</v>
      </c>
      <c r="C3" s="78" t="s">
        <v>264</v>
      </c>
    </row>
    <row r="4" spans="2:10">
      <c r="B4" s="57" t="s">
        <v>183</v>
      </c>
      <c r="C4" s="78">
        <v>2207</v>
      </c>
    </row>
    <row r="6" spans="2:10" ht="26.25" customHeight="1">
      <c r="B6" s="157" t="s">
        <v>218</v>
      </c>
      <c r="C6" s="158"/>
      <c r="D6" s="159"/>
    </row>
    <row r="7" spans="2:10" s="3" customFormat="1" ht="31.5">
      <c r="B7" s="60" t="s">
        <v>118</v>
      </c>
      <c r="C7" s="65" t="s">
        <v>109</v>
      </c>
      <c r="D7" s="66" t="s">
        <v>108</v>
      </c>
    </row>
    <row r="8" spans="2:10" s="3" customFormat="1">
      <c r="B8" s="16"/>
      <c r="C8" s="33" t="s">
        <v>243</v>
      </c>
      <c r="D8" s="18" t="s">
        <v>22</v>
      </c>
    </row>
    <row r="9" spans="2:10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J9" s="3"/>
    </row>
    <row r="10" spans="2:10" s="4" customFormat="1" ht="18" customHeight="1">
      <c r="B10" s="106" t="s">
        <v>2178</v>
      </c>
      <c r="C10" s="137">
        <f>C11+C22</f>
        <v>37248.472350783224</v>
      </c>
      <c r="D10" s="79"/>
      <c r="E10" s="3"/>
      <c r="F10" s="3"/>
      <c r="G10" s="3"/>
      <c r="H10" s="3"/>
      <c r="J10" s="3"/>
    </row>
    <row r="11" spans="2:10">
      <c r="B11" s="106" t="s">
        <v>25</v>
      </c>
      <c r="C11" s="137">
        <f>SUM(C12:C20)</f>
        <v>16253.141397593859</v>
      </c>
      <c r="D11" s="79"/>
    </row>
    <row r="12" spans="2:10">
      <c r="B12" s="79" t="s">
        <v>2176</v>
      </c>
      <c r="C12" s="136">
        <v>499.54238259187167</v>
      </c>
      <c r="D12" s="135">
        <v>47467</v>
      </c>
      <c r="G12" s="138"/>
      <c r="H12" s="139"/>
    </row>
    <row r="13" spans="2:10">
      <c r="B13" s="139" t="s">
        <v>2196</v>
      </c>
      <c r="C13" s="136">
        <v>2653.1824232399817</v>
      </c>
      <c r="D13" s="135">
        <v>44255</v>
      </c>
      <c r="G13" s="138"/>
      <c r="H13" s="139"/>
    </row>
    <row r="14" spans="2:10">
      <c r="B14" s="79" t="s">
        <v>2177</v>
      </c>
      <c r="C14" s="136">
        <v>1053.2158523964533</v>
      </c>
      <c r="D14" s="135">
        <v>46132</v>
      </c>
      <c r="G14" s="138"/>
      <c r="H14" s="139"/>
    </row>
    <row r="15" spans="2:10">
      <c r="B15" s="139" t="s">
        <v>2197</v>
      </c>
      <c r="C15" s="136">
        <v>3558.2754885747181</v>
      </c>
      <c r="D15" s="135">
        <v>44545</v>
      </c>
      <c r="G15" s="138"/>
      <c r="H15" s="139"/>
    </row>
    <row r="16" spans="2:10">
      <c r="B16" s="139" t="s">
        <v>2198</v>
      </c>
      <c r="C16" s="136">
        <v>1332.5008849103208</v>
      </c>
      <c r="D16" s="135">
        <v>44561</v>
      </c>
      <c r="G16" s="138"/>
      <c r="H16" s="139"/>
    </row>
    <row r="17" spans="2:8">
      <c r="B17" s="139" t="s">
        <v>2199</v>
      </c>
      <c r="C17" s="136">
        <v>383.38496999999995</v>
      </c>
      <c r="D17" s="135">
        <v>44246</v>
      </c>
      <c r="G17" s="138"/>
      <c r="H17" s="139"/>
    </row>
    <row r="18" spans="2:8">
      <c r="B18" s="139" t="s">
        <v>2200</v>
      </c>
      <c r="C18" s="136">
        <v>5115.5123124071051</v>
      </c>
      <c r="D18" s="135">
        <v>46100</v>
      </c>
      <c r="G18" s="138"/>
      <c r="H18" s="139"/>
    </row>
    <row r="19" spans="2:8">
      <c r="B19" s="139" t="s">
        <v>2201</v>
      </c>
      <c r="C19" s="136">
        <v>247.47509347341</v>
      </c>
      <c r="D19" s="135">
        <v>44926</v>
      </c>
      <c r="G19" s="138"/>
      <c r="H19" s="139"/>
    </row>
    <row r="20" spans="2:8">
      <c r="B20" s="139" t="s">
        <v>2202</v>
      </c>
      <c r="C20" s="136">
        <v>1410.0519899999999</v>
      </c>
      <c r="D20" s="135">
        <v>44739</v>
      </c>
      <c r="G20" s="138"/>
      <c r="H20" s="139"/>
    </row>
    <row r="21" spans="2:8">
      <c r="B21" s="79"/>
      <c r="C21" s="79"/>
      <c r="D21" s="79"/>
    </row>
    <row r="22" spans="2:8">
      <c r="B22" s="106" t="s">
        <v>2179</v>
      </c>
      <c r="C22" s="122">
        <f>SUM(C23:C147)</f>
        <v>20995.330953189361</v>
      </c>
      <c r="D22" s="79"/>
    </row>
    <row r="23" spans="2:8">
      <c r="B23" s="79" t="s">
        <v>2180</v>
      </c>
      <c r="C23" s="136">
        <v>1667.0645995192895</v>
      </c>
      <c r="D23" s="135">
        <v>44429</v>
      </c>
      <c r="E23" s="142"/>
      <c r="G23" s="138"/>
      <c r="H23" s="139"/>
    </row>
    <row r="24" spans="2:8">
      <c r="B24" s="79" t="s">
        <v>1813</v>
      </c>
      <c r="C24" s="136">
        <v>4630.8931210724786</v>
      </c>
      <c r="D24" s="135">
        <v>46601</v>
      </c>
      <c r="E24" s="142"/>
      <c r="G24" s="138"/>
      <c r="H24" s="139"/>
    </row>
    <row r="25" spans="2:8">
      <c r="B25" s="79" t="s">
        <v>2181</v>
      </c>
      <c r="C25" s="136">
        <v>2834.2885310083611</v>
      </c>
      <c r="D25" s="135">
        <v>45382</v>
      </c>
      <c r="E25" s="142"/>
      <c r="G25" s="138"/>
      <c r="H25" s="139"/>
    </row>
    <row r="26" spans="2:8">
      <c r="B26" s="79" t="s">
        <v>2182</v>
      </c>
      <c r="C26" s="136">
        <v>1953.7515364320595</v>
      </c>
      <c r="D26" s="135">
        <v>44722</v>
      </c>
      <c r="E26" s="142"/>
      <c r="G26" s="138"/>
      <c r="H26" s="139"/>
    </row>
    <row r="27" spans="2:8">
      <c r="B27" s="79" t="s">
        <v>2183</v>
      </c>
      <c r="C27" s="136">
        <v>2282.4619448152871</v>
      </c>
      <c r="D27" s="135">
        <v>46012</v>
      </c>
      <c r="E27" s="142"/>
      <c r="G27" s="138"/>
      <c r="H27" s="139"/>
    </row>
    <row r="28" spans="2:8">
      <c r="B28" s="79" t="s">
        <v>1820</v>
      </c>
      <c r="C28" s="136">
        <v>259.63835904000001</v>
      </c>
      <c r="D28" s="135">
        <v>46998</v>
      </c>
      <c r="E28" s="142"/>
      <c r="G28" s="138"/>
      <c r="H28" s="139"/>
    </row>
    <row r="29" spans="2:8">
      <c r="B29" s="79" t="s">
        <v>2184</v>
      </c>
      <c r="C29" s="136">
        <v>956.38962568551835</v>
      </c>
      <c r="D29" s="135">
        <v>47026</v>
      </c>
      <c r="E29" s="142"/>
      <c r="G29" s="138"/>
      <c r="H29" s="139"/>
    </row>
    <row r="30" spans="2:8">
      <c r="B30" s="79" t="s">
        <v>2185</v>
      </c>
      <c r="C30" s="136">
        <v>113.04644557311872</v>
      </c>
      <c r="D30" s="135">
        <v>46663</v>
      </c>
      <c r="E30" s="142"/>
      <c r="G30" s="138"/>
      <c r="H30" s="139"/>
    </row>
    <row r="31" spans="2:8">
      <c r="B31" s="79" t="s">
        <v>2186</v>
      </c>
      <c r="C31" s="136">
        <v>80.138868479999971</v>
      </c>
      <c r="D31" s="135">
        <v>46938</v>
      </c>
      <c r="E31" s="142"/>
      <c r="G31" s="138"/>
      <c r="H31" s="139"/>
    </row>
    <row r="32" spans="2:8">
      <c r="B32" s="79" t="s">
        <v>2187</v>
      </c>
      <c r="C32" s="136">
        <v>14.059983130966232</v>
      </c>
      <c r="D32" s="135">
        <v>46938</v>
      </c>
      <c r="E32" s="142"/>
      <c r="G32" s="138"/>
      <c r="H32" s="139"/>
    </row>
    <row r="33" spans="2:8">
      <c r="B33" s="79" t="s">
        <v>1824</v>
      </c>
      <c r="C33" s="136">
        <v>53.776085760000043</v>
      </c>
      <c r="D33" s="135">
        <v>46938</v>
      </c>
      <c r="E33" s="142"/>
      <c r="G33" s="138"/>
      <c r="H33" s="139"/>
    </row>
    <row r="34" spans="2:8">
      <c r="B34" s="79" t="s">
        <v>1825</v>
      </c>
      <c r="C34" s="136">
        <v>7.4985290466116714</v>
      </c>
      <c r="D34" s="135">
        <v>46938</v>
      </c>
      <c r="E34" s="142"/>
      <c r="G34" s="138"/>
      <c r="H34" s="139"/>
    </row>
    <row r="35" spans="2:8">
      <c r="B35" s="79" t="s">
        <v>2188</v>
      </c>
      <c r="C35" s="136">
        <v>146.28794756874379</v>
      </c>
      <c r="D35" s="135">
        <v>46938</v>
      </c>
      <c r="E35" s="142"/>
      <c r="G35" s="138"/>
      <c r="H35" s="139"/>
    </row>
    <row r="36" spans="2:8">
      <c r="B36" s="79" t="s">
        <v>1807</v>
      </c>
      <c r="C36" s="136">
        <v>1955.5560319615986</v>
      </c>
      <c r="D36" s="135">
        <v>47262</v>
      </c>
      <c r="E36" s="142"/>
      <c r="G36" s="138"/>
      <c r="H36" s="139"/>
    </row>
    <row r="37" spans="2:8">
      <c r="B37" s="79" t="s">
        <v>1827</v>
      </c>
      <c r="C37" s="136">
        <v>6.2326539300000006</v>
      </c>
      <c r="D37" s="135">
        <v>47009</v>
      </c>
      <c r="E37" s="142"/>
      <c r="G37" s="138"/>
      <c r="H37" s="139"/>
    </row>
    <row r="38" spans="2:8">
      <c r="B38" s="79" t="s">
        <v>2189</v>
      </c>
      <c r="C38" s="136">
        <v>47.463722360841302</v>
      </c>
      <c r="D38" s="135">
        <v>46938</v>
      </c>
      <c r="E38" s="142"/>
      <c r="G38" s="138"/>
      <c r="H38" s="139"/>
    </row>
    <row r="39" spans="2:8">
      <c r="B39" s="79" t="s">
        <v>2190</v>
      </c>
      <c r="C39" s="136">
        <v>1.4098752000000232</v>
      </c>
      <c r="D39" s="135">
        <v>46938</v>
      </c>
      <c r="E39" s="142"/>
      <c r="G39" s="138"/>
      <c r="H39" s="139"/>
    </row>
    <row r="40" spans="2:8">
      <c r="B40" s="79" t="s">
        <v>2191</v>
      </c>
      <c r="C40" s="136">
        <v>490.54647802329129</v>
      </c>
      <c r="D40" s="135">
        <v>46722</v>
      </c>
      <c r="E40" s="142"/>
      <c r="G40" s="138"/>
      <c r="H40" s="139"/>
    </row>
    <row r="41" spans="2:8">
      <c r="B41" s="79" t="s">
        <v>1809</v>
      </c>
      <c r="C41" s="136">
        <v>190.86551424000012</v>
      </c>
      <c r="D41" s="135">
        <v>45939</v>
      </c>
      <c r="E41" s="142"/>
      <c r="G41" s="138"/>
      <c r="H41" s="139"/>
    </row>
    <row r="42" spans="2:8">
      <c r="B42" s="79" t="s">
        <v>2192</v>
      </c>
      <c r="C42" s="136">
        <v>837.34687742603876</v>
      </c>
      <c r="D42" s="135">
        <v>47031</v>
      </c>
      <c r="E42" s="142"/>
      <c r="G42" s="138"/>
      <c r="H42" s="139"/>
    </row>
    <row r="43" spans="2:8">
      <c r="B43" s="79" t="s">
        <v>2193</v>
      </c>
      <c r="C43" s="136">
        <v>168.34031547793981</v>
      </c>
      <c r="D43" s="135">
        <v>46054</v>
      </c>
      <c r="E43" s="142"/>
      <c r="G43" s="138"/>
      <c r="H43" s="139"/>
    </row>
    <row r="44" spans="2:8">
      <c r="B44" s="79" t="s">
        <v>2194</v>
      </c>
      <c r="C44" s="136">
        <v>272.89530263721758</v>
      </c>
      <c r="D44" s="135">
        <v>47102</v>
      </c>
      <c r="E44" s="142"/>
      <c r="G44" s="138"/>
      <c r="H44" s="139"/>
    </row>
    <row r="45" spans="2:8">
      <c r="B45" s="79" t="s">
        <v>2195</v>
      </c>
      <c r="C45" s="136">
        <v>1606.3408166400004</v>
      </c>
      <c r="D45" s="135">
        <v>46482</v>
      </c>
      <c r="E45" s="142"/>
      <c r="G45" s="138"/>
      <c r="H45" s="139"/>
    </row>
    <row r="46" spans="2:8">
      <c r="B46" s="79" t="s">
        <v>1841</v>
      </c>
      <c r="C46" s="136">
        <v>165.79700352</v>
      </c>
      <c r="D46" s="135">
        <v>47009</v>
      </c>
      <c r="E46" s="142"/>
      <c r="G46" s="138"/>
      <c r="H46" s="139"/>
    </row>
    <row r="47" spans="2:8">
      <c r="B47" s="79" t="s">
        <v>1842</v>
      </c>
      <c r="C47" s="136">
        <v>253.24078464000004</v>
      </c>
      <c r="D47" s="135">
        <v>46933</v>
      </c>
      <c r="E47" s="142"/>
      <c r="G47" s="138"/>
      <c r="H47" s="139"/>
    </row>
    <row r="48" spans="2:8">
      <c r="B48" s="79"/>
      <c r="C48" s="136"/>
      <c r="D48" s="135"/>
      <c r="G48" s="138"/>
      <c r="H48" s="139"/>
    </row>
    <row r="49" spans="2:8">
      <c r="B49" s="79"/>
      <c r="C49" s="136"/>
      <c r="D49" s="135"/>
      <c r="G49" s="138"/>
      <c r="H49" s="139"/>
    </row>
    <row r="50" spans="2:8">
      <c r="B50" s="79"/>
      <c r="C50" s="136"/>
      <c r="D50" s="135"/>
      <c r="G50" s="138"/>
      <c r="H50" s="139"/>
    </row>
    <row r="51" spans="2:8">
      <c r="B51" s="79"/>
      <c r="C51" s="136"/>
      <c r="D51" s="135"/>
      <c r="G51" s="138"/>
      <c r="H51" s="139"/>
    </row>
    <row r="52" spans="2:8">
      <c r="B52" s="79"/>
      <c r="C52" s="136"/>
      <c r="D52" s="135"/>
      <c r="G52" s="138"/>
      <c r="H52" s="139"/>
    </row>
    <row r="53" spans="2:8">
      <c r="B53" s="79"/>
      <c r="C53" s="136"/>
      <c r="D53" s="135"/>
      <c r="G53" s="138"/>
      <c r="H53" s="139"/>
    </row>
    <row r="54" spans="2:8">
      <c r="B54" s="79"/>
      <c r="C54" s="136"/>
      <c r="D54" s="135"/>
      <c r="G54" s="138"/>
      <c r="H54" s="139"/>
    </row>
    <row r="55" spans="2:8">
      <c r="B55" s="79"/>
      <c r="C55" s="136"/>
      <c r="D55" s="135"/>
      <c r="G55" s="138"/>
      <c r="H55" s="139"/>
    </row>
    <row r="56" spans="2:8">
      <c r="B56" s="79"/>
      <c r="C56" s="136"/>
      <c r="D56" s="135"/>
      <c r="G56" s="138"/>
      <c r="H56" s="139"/>
    </row>
    <row r="57" spans="2:8">
      <c r="B57" s="79"/>
      <c r="C57" s="136"/>
      <c r="D57" s="135"/>
      <c r="G57" s="138"/>
      <c r="H57" s="139"/>
    </row>
    <row r="58" spans="2:8">
      <c r="B58" s="79"/>
      <c r="C58" s="136"/>
      <c r="D58" s="135"/>
      <c r="G58" s="138"/>
      <c r="H58" s="139"/>
    </row>
    <row r="59" spans="2:8">
      <c r="B59" s="79"/>
      <c r="C59" s="136"/>
      <c r="D59" s="135"/>
      <c r="G59" s="138"/>
      <c r="H59" s="139"/>
    </row>
    <row r="60" spans="2:8">
      <c r="B60" s="79"/>
      <c r="C60" s="136"/>
      <c r="D60" s="135"/>
      <c r="G60" s="138"/>
      <c r="H60" s="139"/>
    </row>
    <row r="61" spans="2:8">
      <c r="B61" s="79"/>
      <c r="C61" s="136"/>
      <c r="D61" s="135"/>
      <c r="G61" s="138"/>
      <c r="H61" s="139"/>
    </row>
    <row r="62" spans="2:8">
      <c r="B62" s="79"/>
      <c r="C62" s="136"/>
      <c r="D62" s="135"/>
      <c r="G62" s="138"/>
      <c r="H62" s="139"/>
    </row>
    <row r="63" spans="2:8">
      <c r="B63" s="79"/>
      <c r="C63" s="136"/>
      <c r="D63" s="135"/>
      <c r="G63" s="138"/>
      <c r="H63" s="139"/>
    </row>
    <row r="64" spans="2:8">
      <c r="B64" s="79"/>
      <c r="C64" s="136"/>
      <c r="D64" s="135"/>
      <c r="G64" s="138"/>
      <c r="H64" s="139"/>
    </row>
    <row r="65" spans="2:8">
      <c r="B65" s="79"/>
      <c r="C65" s="136"/>
      <c r="D65" s="135"/>
      <c r="G65" s="138"/>
      <c r="H65" s="139"/>
    </row>
    <row r="66" spans="2:8">
      <c r="B66" s="79"/>
      <c r="C66" s="136"/>
      <c r="D66" s="135"/>
      <c r="G66" s="138"/>
      <c r="H66" s="139"/>
    </row>
    <row r="67" spans="2:8">
      <c r="B67" s="79"/>
      <c r="C67" s="136"/>
      <c r="D67" s="135"/>
      <c r="G67" s="138"/>
      <c r="H67" s="139"/>
    </row>
    <row r="68" spans="2:8">
      <c r="B68" s="79"/>
      <c r="C68" s="136"/>
      <c r="D68" s="135"/>
      <c r="G68" s="138"/>
      <c r="H68" s="139"/>
    </row>
    <row r="69" spans="2:8">
      <c r="B69" s="79"/>
      <c r="C69" s="136"/>
      <c r="D69" s="135"/>
      <c r="G69" s="138"/>
      <c r="H69" s="139"/>
    </row>
    <row r="70" spans="2:8">
      <c r="B70" s="79"/>
      <c r="C70" s="136"/>
      <c r="D70" s="135"/>
      <c r="G70" s="138"/>
      <c r="H70" s="139"/>
    </row>
    <row r="71" spans="2:8">
      <c r="B71" s="79"/>
      <c r="C71" s="136"/>
      <c r="D71" s="135"/>
      <c r="G71" s="138"/>
      <c r="H71" s="139"/>
    </row>
    <row r="72" spans="2:8">
      <c r="B72" s="79"/>
      <c r="C72" s="136"/>
      <c r="D72" s="135"/>
      <c r="G72" s="138"/>
      <c r="H72" s="139"/>
    </row>
    <row r="73" spans="2:8">
      <c r="B73" s="79"/>
      <c r="C73" s="136"/>
      <c r="D73" s="135"/>
      <c r="G73" s="138"/>
      <c r="H73" s="139"/>
    </row>
    <row r="74" spans="2:8">
      <c r="B74" s="79"/>
      <c r="C74" s="136"/>
      <c r="D74" s="135"/>
      <c r="G74" s="138"/>
      <c r="H74" s="139"/>
    </row>
    <row r="75" spans="2:8">
      <c r="B75" s="79"/>
      <c r="C75" s="136"/>
      <c r="D75" s="135"/>
      <c r="G75" s="138"/>
      <c r="H75" s="139"/>
    </row>
    <row r="76" spans="2:8">
      <c r="B76" s="79"/>
      <c r="C76" s="136"/>
      <c r="D76" s="135"/>
      <c r="G76" s="138"/>
      <c r="H76" s="139"/>
    </row>
    <row r="77" spans="2:8">
      <c r="B77" s="79"/>
      <c r="C77" s="136"/>
      <c r="D77" s="135"/>
      <c r="G77" s="138"/>
      <c r="H77" s="139"/>
    </row>
    <row r="78" spans="2:8">
      <c r="B78" s="79"/>
      <c r="C78" s="136"/>
      <c r="D78" s="135"/>
      <c r="G78" s="138"/>
      <c r="H78" s="139"/>
    </row>
    <row r="79" spans="2:8">
      <c r="B79" s="79"/>
      <c r="C79" s="136"/>
      <c r="D79" s="135"/>
      <c r="G79" s="138"/>
      <c r="H79" s="139"/>
    </row>
    <row r="80" spans="2:8">
      <c r="B80" s="79"/>
      <c r="C80" s="136"/>
      <c r="D80" s="135"/>
      <c r="G80" s="138"/>
      <c r="H80" s="139"/>
    </row>
    <row r="81" spans="2:8">
      <c r="B81" s="79"/>
      <c r="C81" s="136"/>
      <c r="D81" s="135"/>
      <c r="G81" s="138"/>
      <c r="H81" s="139"/>
    </row>
    <row r="82" spans="2:8">
      <c r="B82" s="79"/>
      <c r="C82" s="136"/>
      <c r="D82" s="135"/>
      <c r="G82" s="138"/>
      <c r="H82" s="139"/>
    </row>
    <row r="83" spans="2:8">
      <c r="B83" s="79"/>
      <c r="C83" s="136"/>
      <c r="D83" s="135"/>
      <c r="G83" s="138"/>
      <c r="H83" s="139"/>
    </row>
    <row r="84" spans="2:8">
      <c r="B84" s="79"/>
      <c r="C84" s="136"/>
      <c r="D84" s="135"/>
      <c r="G84" s="138"/>
      <c r="H84" s="139"/>
    </row>
    <row r="85" spans="2:8">
      <c r="B85" s="79"/>
      <c r="C85" s="136"/>
      <c r="D85" s="135"/>
      <c r="G85" s="138"/>
      <c r="H85" s="139"/>
    </row>
    <row r="86" spans="2:8">
      <c r="B86" s="79"/>
      <c r="C86" s="136"/>
      <c r="D86" s="135"/>
      <c r="G86" s="138"/>
      <c r="H86" s="139"/>
    </row>
    <row r="87" spans="2:8">
      <c r="B87" s="79"/>
      <c r="C87" s="136"/>
      <c r="D87" s="135"/>
      <c r="G87" s="138"/>
      <c r="H87" s="139"/>
    </row>
    <row r="88" spans="2:8">
      <c r="B88" s="79"/>
      <c r="C88" s="136"/>
      <c r="D88" s="135"/>
      <c r="G88" s="138"/>
      <c r="H88" s="139"/>
    </row>
    <row r="89" spans="2:8">
      <c r="B89" s="79"/>
      <c r="C89" s="136"/>
      <c r="D89" s="135"/>
      <c r="G89" s="138"/>
      <c r="H89" s="139"/>
    </row>
    <row r="90" spans="2:8">
      <c r="B90" s="79"/>
      <c r="C90" s="136"/>
      <c r="D90" s="135"/>
      <c r="G90" s="138"/>
      <c r="H90" s="139"/>
    </row>
    <row r="91" spans="2:8">
      <c r="B91" s="79"/>
      <c r="C91" s="136"/>
      <c r="D91" s="135"/>
      <c r="G91" s="138"/>
      <c r="H91" s="139"/>
    </row>
    <row r="92" spans="2:8">
      <c r="B92" s="79"/>
      <c r="C92" s="136"/>
      <c r="D92" s="135"/>
      <c r="G92" s="138"/>
      <c r="H92" s="139"/>
    </row>
    <row r="93" spans="2:8">
      <c r="B93" s="79"/>
      <c r="C93" s="136"/>
      <c r="D93" s="135"/>
      <c r="G93" s="138"/>
      <c r="H93" s="139"/>
    </row>
    <row r="94" spans="2:8">
      <c r="B94" s="79"/>
      <c r="C94" s="136"/>
      <c r="D94" s="135"/>
      <c r="G94" s="138"/>
      <c r="H94" s="139"/>
    </row>
    <row r="95" spans="2:8">
      <c r="B95" s="79"/>
      <c r="C95" s="136"/>
      <c r="D95" s="135"/>
      <c r="G95" s="138"/>
      <c r="H95" s="139"/>
    </row>
    <row r="96" spans="2:8">
      <c r="B96" s="79"/>
      <c r="C96" s="136"/>
      <c r="D96" s="135"/>
      <c r="G96" s="138"/>
      <c r="H96" s="139"/>
    </row>
    <row r="97" spans="2:8">
      <c r="B97" s="79"/>
      <c r="C97" s="136"/>
      <c r="D97" s="135"/>
      <c r="G97" s="138"/>
      <c r="H97" s="139"/>
    </row>
    <row r="98" spans="2:8">
      <c r="B98" s="79"/>
      <c r="C98" s="136"/>
      <c r="D98" s="135"/>
      <c r="G98" s="138"/>
      <c r="H98" s="139"/>
    </row>
    <row r="99" spans="2:8">
      <c r="B99" s="79"/>
      <c r="C99" s="136"/>
      <c r="D99" s="135"/>
      <c r="G99" s="138"/>
      <c r="H99" s="139"/>
    </row>
    <row r="100" spans="2:8">
      <c r="B100" s="79"/>
      <c r="C100" s="136"/>
      <c r="D100" s="135"/>
      <c r="G100" s="138"/>
      <c r="H100" s="139"/>
    </row>
    <row r="101" spans="2:8">
      <c r="B101" s="79"/>
      <c r="C101" s="136"/>
      <c r="D101" s="135"/>
      <c r="G101" s="138"/>
      <c r="H101" s="139"/>
    </row>
    <row r="102" spans="2:8">
      <c r="B102" s="79"/>
      <c r="C102" s="136"/>
      <c r="D102" s="135"/>
      <c r="G102" s="138"/>
      <c r="H102" s="139"/>
    </row>
    <row r="103" spans="2:8">
      <c r="B103" s="79"/>
      <c r="C103" s="136"/>
      <c r="D103" s="135"/>
      <c r="G103" s="138"/>
      <c r="H103" s="139"/>
    </row>
    <row r="104" spans="2:8">
      <c r="B104" s="79"/>
      <c r="C104" s="136"/>
      <c r="D104" s="135"/>
      <c r="G104" s="138"/>
      <c r="H104" s="139"/>
    </row>
    <row r="105" spans="2:8">
      <c r="B105" s="79"/>
      <c r="C105" s="79"/>
      <c r="D105" s="79"/>
    </row>
    <row r="106" spans="2:8">
      <c r="B106" s="79"/>
      <c r="C106" s="79"/>
      <c r="D106" s="79"/>
    </row>
    <row r="107" spans="2:8">
      <c r="B107" s="79"/>
      <c r="C107" s="79"/>
      <c r="D107" s="79"/>
    </row>
    <row r="108" spans="2:8">
      <c r="B108" s="79"/>
      <c r="C108" s="79"/>
      <c r="D108" s="79"/>
    </row>
    <row r="109" spans="2:8">
      <c r="B109" s="79"/>
      <c r="C109" s="79"/>
      <c r="D109" s="7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AA28:XFD29 A1:A1048576 B1:B9 C5:C9 B10:C1048576 D1:H1048576 J28:Y29 J30:XFD1048576 J1:XFD27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181</v>
      </c>
      <c r="C1" s="78" t="s" vm="1">
        <v>262</v>
      </c>
    </row>
    <row r="2" spans="2:18">
      <c r="B2" s="57" t="s">
        <v>180</v>
      </c>
      <c r="C2" s="78" t="s">
        <v>263</v>
      </c>
    </row>
    <row r="3" spans="2:18">
      <c r="B3" s="57" t="s">
        <v>182</v>
      </c>
      <c r="C3" s="78" t="s">
        <v>264</v>
      </c>
    </row>
    <row r="4" spans="2:18">
      <c r="B4" s="57" t="s">
        <v>183</v>
      </c>
      <c r="C4" s="78">
        <v>2207</v>
      </c>
    </row>
    <row r="6" spans="2:18" ht="26.25" customHeight="1">
      <c r="B6" s="157" t="s">
        <v>221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8" s="3" customFormat="1" ht="78.75">
      <c r="B7" s="23" t="s">
        <v>118</v>
      </c>
      <c r="C7" s="31" t="s">
        <v>44</v>
      </c>
      <c r="D7" s="31" t="s">
        <v>65</v>
      </c>
      <c r="E7" s="31" t="s">
        <v>15</v>
      </c>
      <c r="F7" s="31" t="s">
        <v>66</v>
      </c>
      <c r="G7" s="31" t="s">
        <v>104</v>
      </c>
      <c r="H7" s="31" t="s">
        <v>18</v>
      </c>
      <c r="I7" s="31" t="s">
        <v>103</v>
      </c>
      <c r="J7" s="31" t="s">
        <v>17</v>
      </c>
      <c r="K7" s="31" t="s">
        <v>219</v>
      </c>
      <c r="L7" s="31" t="s">
        <v>245</v>
      </c>
      <c r="M7" s="31" t="s">
        <v>220</v>
      </c>
      <c r="N7" s="31" t="s">
        <v>59</v>
      </c>
      <c r="O7" s="31" t="s">
        <v>184</v>
      </c>
      <c r="P7" s="32" t="s">
        <v>186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247</v>
      </c>
      <c r="M8" s="33" t="s">
        <v>243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255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114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246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17" sqref="J1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181</v>
      </c>
      <c r="C1" s="78" t="s" vm="1">
        <v>262</v>
      </c>
    </row>
    <row r="2" spans="2:13">
      <c r="B2" s="57" t="s">
        <v>180</v>
      </c>
      <c r="C2" s="78" t="s">
        <v>263</v>
      </c>
    </row>
    <row r="3" spans="2:13">
      <c r="B3" s="57" t="s">
        <v>182</v>
      </c>
      <c r="C3" s="78" t="s">
        <v>264</v>
      </c>
    </row>
    <row r="4" spans="2:13">
      <c r="B4" s="57" t="s">
        <v>183</v>
      </c>
      <c r="C4" s="78">
        <v>2207</v>
      </c>
    </row>
    <row r="6" spans="2:13" ht="26.25" customHeight="1">
      <c r="B6" s="146" t="s">
        <v>210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3" s="3" customFormat="1" ht="63">
      <c r="B7" s="13" t="s">
        <v>117</v>
      </c>
      <c r="C7" s="14" t="s">
        <v>44</v>
      </c>
      <c r="D7" s="14" t="s">
        <v>119</v>
      </c>
      <c r="E7" s="14" t="s">
        <v>15</v>
      </c>
      <c r="F7" s="14" t="s">
        <v>66</v>
      </c>
      <c r="G7" s="14" t="s">
        <v>103</v>
      </c>
      <c r="H7" s="14" t="s">
        <v>17</v>
      </c>
      <c r="I7" s="14" t="s">
        <v>19</v>
      </c>
      <c r="J7" s="14" t="s">
        <v>62</v>
      </c>
      <c r="K7" s="14" t="s">
        <v>184</v>
      </c>
      <c r="L7" s="14" t="s">
        <v>185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243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97" t="s">
        <v>43</v>
      </c>
      <c r="C10" s="98"/>
      <c r="D10" s="98"/>
      <c r="E10" s="98"/>
      <c r="F10" s="98"/>
      <c r="G10" s="98"/>
      <c r="H10" s="98"/>
      <c r="I10" s="98"/>
      <c r="J10" s="100">
        <f>J11+J49</f>
        <v>65345.939729671998</v>
      </c>
      <c r="K10" s="103">
        <f>J10/$J$10</f>
        <v>1</v>
      </c>
      <c r="L10" s="103">
        <f>J10/'[5]סכום נכסי הקרן'!$C$42</f>
        <v>1.7976948669438407E-2</v>
      </c>
    </row>
    <row r="11" spans="2:13">
      <c r="B11" s="81" t="s">
        <v>235</v>
      </c>
      <c r="C11" s="82"/>
      <c r="D11" s="82"/>
      <c r="E11" s="82"/>
      <c r="F11" s="82"/>
      <c r="G11" s="82"/>
      <c r="H11" s="82"/>
      <c r="I11" s="82"/>
      <c r="J11" s="90">
        <f>J12+J21</f>
        <v>65228.531318672001</v>
      </c>
      <c r="K11" s="91">
        <f t="shared" ref="K11:K19" si="0">J11/$J$10</f>
        <v>0.99820327917104412</v>
      </c>
      <c r="L11" s="91">
        <f>J11/'[5]סכום נכסי הקרן'!$C$42</f>
        <v>1.7944649111322958E-2</v>
      </c>
    </row>
    <row r="12" spans="2:13">
      <c r="B12" s="99" t="s">
        <v>41</v>
      </c>
      <c r="C12" s="82"/>
      <c r="D12" s="82"/>
      <c r="E12" s="82"/>
      <c r="F12" s="82"/>
      <c r="G12" s="82"/>
      <c r="H12" s="82"/>
      <c r="I12" s="82"/>
      <c r="J12" s="90">
        <f>SUM(J13:J19)</f>
        <v>35574.407441276999</v>
      </c>
      <c r="K12" s="91">
        <f t="shared" si="0"/>
        <v>0.54440119138914955</v>
      </c>
      <c r="L12" s="91">
        <f>J12/'[5]סכום נכסי הקרן'!$C$42</f>
        <v>9.7866722731838572E-3</v>
      </c>
    </row>
    <row r="13" spans="2:13">
      <c r="B13" s="86" t="s">
        <v>1975</v>
      </c>
      <c r="C13" s="80" t="s">
        <v>1976</v>
      </c>
      <c r="D13" s="80">
        <v>11</v>
      </c>
      <c r="E13" s="80" t="s">
        <v>293</v>
      </c>
      <c r="F13" s="80" t="s">
        <v>294</v>
      </c>
      <c r="G13" s="93" t="s">
        <v>166</v>
      </c>
      <c r="H13" s="94">
        <v>0</v>
      </c>
      <c r="I13" s="94">
        <v>0</v>
      </c>
      <c r="J13" s="87">
        <v>1382.5711105160001</v>
      </c>
      <c r="K13" s="88">
        <f t="shared" si="0"/>
        <v>2.1157720223100689E-2</v>
      </c>
      <c r="L13" s="88">
        <f>J13/'[5]סכום נכסי הקרן'!$C$42</f>
        <v>3.8035125041302004E-4</v>
      </c>
    </row>
    <row r="14" spans="2:13">
      <c r="B14" s="86" t="s">
        <v>1977</v>
      </c>
      <c r="C14" s="80" t="s">
        <v>1978</v>
      </c>
      <c r="D14" s="80">
        <v>12</v>
      </c>
      <c r="E14" s="80" t="s">
        <v>293</v>
      </c>
      <c r="F14" s="80" t="s">
        <v>294</v>
      </c>
      <c r="G14" s="93" t="s">
        <v>166</v>
      </c>
      <c r="H14" s="94">
        <v>0</v>
      </c>
      <c r="I14" s="94">
        <v>0</v>
      </c>
      <c r="J14" s="87">
        <v>5614.4348200000004</v>
      </c>
      <c r="K14" s="88">
        <f t="shared" si="0"/>
        <v>8.5918648399980424E-2</v>
      </c>
      <c r="L14" s="88">
        <f>J14/'[5]סכום נכסי הקרן'!$C$42</f>
        <v>1.5445551320339744E-3</v>
      </c>
    </row>
    <row r="15" spans="2:13">
      <c r="B15" s="86" t="s">
        <v>1977</v>
      </c>
      <c r="C15" s="80" t="s">
        <v>1979</v>
      </c>
      <c r="D15" s="80">
        <v>12</v>
      </c>
      <c r="E15" s="80" t="s">
        <v>293</v>
      </c>
      <c r="F15" s="80" t="s">
        <v>294</v>
      </c>
      <c r="G15" s="93" t="s">
        <v>166</v>
      </c>
      <c r="H15" s="94">
        <v>0</v>
      </c>
      <c r="I15" s="94">
        <v>0</v>
      </c>
      <c r="J15" s="87">
        <v>1400.468484686</v>
      </c>
      <c r="K15" s="88">
        <f t="shared" si="0"/>
        <v>2.1431606775869524E-2</v>
      </c>
      <c r="L15" s="88">
        <f>J15/'[5]סכום נכסי הקרן'!$C$42</f>
        <v>3.8527489491339481E-4</v>
      </c>
    </row>
    <row r="16" spans="2:13">
      <c r="B16" s="86" t="s">
        <v>1980</v>
      </c>
      <c r="C16" s="80" t="s">
        <v>1981</v>
      </c>
      <c r="D16" s="80">
        <v>10</v>
      </c>
      <c r="E16" s="80" t="s">
        <v>293</v>
      </c>
      <c r="F16" s="80" t="s">
        <v>294</v>
      </c>
      <c r="G16" s="93" t="s">
        <v>166</v>
      </c>
      <c r="H16" s="94">
        <v>0</v>
      </c>
      <c r="I16" s="94">
        <v>0</v>
      </c>
      <c r="J16" s="87">
        <v>8472.6927796</v>
      </c>
      <c r="K16" s="88">
        <f t="shared" si="0"/>
        <v>0.12965905478826187</v>
      </c>
      <c r="L16" s="88">
        <f>J16/'[5]סכום נכסי הקרן'!$C$42</f>
        <v>2.3308741724564859E-3</v>
      </c>
    </row>
    <row r="17" spans="2:12">
      <c r="B17" s="86" t="s">
        <v>1980</v>
      </c>
      <c r="C17" s="80" t="s">
        <v>1982</v>
      </c>
      <c r="D17" s="80">
        <v>10</v>
      </c>
      <c r="E17" s="80" t="s">
        <v>293</v>
      </c>
      <c r="F17" s="80" t="s">
        <v>294</v>
      </c>
      <c r="G17" s="93" t="s">
        <v>166</v>
      </c>
      <c r="H17" s="94">
        <v>0</v>
      </c>
      <c r="I17" s="94">
        <v>0</v>
      </c>
      <c r="J17" s="87">
        <v>18438.025109999999</v>
      </c>
      <c r="K17" s="88">
        <f t="shared" si="0"/>
        <v>0.28216022581166955</v>
      </c>
      <c r="L17" s="88">
        <f>J17/'[5]סכום נכסי הקרן'!$C$42</f>
        <v>5.0723798959735333E-3</v>
      </c>
    </row>
    <row r="18" spans="2:12">
      <c r="B18" s="86" t="s">
        <v>1983</v>
      </c>
      <c r="C18" s="80" t="s">
        <v>1984</v>
      </c>
      <c r="D18" s="80">
        <v>20</v>
      </c>
      <c r="E18" s="80" t="s">
        <v>293</v>
      </c>
      <c r="F18" s="80" t="s">
        <v>294</v>
      </c>
      <c r="G18" s="93" t="s">
        <v>166</v>
      </c>
      <c r="H18" s="94">
        <v>0</v>
      </c>
      <c r="I18" s="94">
        <v>0</v>
      </c>
      <c r="J18" s="87">
        <v>265.61054647499998</v>
      </c>
      <c r="K18" s="88">
        <f t="shared" si="0"/>
        <v>4.0646832469438451E-3</v>
      </c>
      <c r="L18" s="88">
        <f>J18/'[5]סכום נכסי הקרן'!$C$42</f>
        <v>7.3070602087835741E-5</v>
      </c>
    </row>
    <row r="19" spans="2:12">
      <c r="B19" s="86" t="s">
        <v>1985</v>
      </c>
      <c r="C19" s="80" t="s">
        <v>1986</v>
      </c>
      <c r="D19" s="80">
        <v>26</v>
      </c>
      <c r="E19" s="80" t="s">
        <v>293</v>
      </c>
      <c r="F19" s="80" t="s">
        <v>294</v>
      </c>
      <c r="G19" s="93" t="s">
        <v>166</v>
      </c>
      <c r="H19" s="94">
        <v>0</v>
      </c>
      <c r="I19" s="94">
        <v>0</v>
      </c>
      <c r="J19" s="87">
        <v>0.60459000000000007</v>
      </c>
      <c r="K19" s="88">
        <f t="shared" si="0"/>
        <v>9.2521433236879521E-6</v>
      </c>
      <c r="L19" s="88">
        <f>J19/'[5]סכום נכסי הקרן'!$C$42</f>
        <v>1.6632530561222556E-7</v>
      </c>
    </row>
    <row r="20" spans="2:12">
      <c r="B20" s="83"/>
      <c r="C20" s="80"/>
      <c r="D20" s="80"/>
      <c r="E20" s="80"/>
      <c r="F20" s="80"/>
      <c r="G20" s="80"/>
      <c r="H20" s="80"/>
      <c r="I20" s="80"/>
      <c r="J20" s="80"/>
      <c r="K20" s="88"/>
      <c r="L20" s="80"/>
    </row>
    <row r="21" spans="2:12">
      <c r="B21" s="99" t="s">
        <v>42</v>
      </c>
      <c r="C21" s="82"/>
      <c r="D21" s="82"/>
      <c r="E21" s="82"/>
      <c r="F21" s="82"/>
      <c r="G21" s="82"/>
      <c r="H21" s="82"/>
      <c r="I21" s="82"/>
      <c r="J21" s="90">
        <f>SUM(J22:J47)</f>
        <v>29654.123877395006</v>
      </c>
      <c r="K21" s="91">
        <f t="shared" ref="K21:K47" si="1">J21/$J$10</f>
        <v>0.45380208778189463</v>
      </c>
      <c r="L21" s="91">
        <f>J21/'[5]סכום נכסי הקרן'!$C$42</f>
        <v>8.1579768381391023E-3</v>
      </c>
    </row>
    <row r="22" spans="2:12">
      <c r="B22" s="86" t="s">
        <v>1977</v>
      </c>
      <c r="C22" s="80" t="s">
        <v>1987</v>
      </c>
      <c r="D22" s="80">
        <v>12</v>
      </c>
      <c r="E22" s="80" t="s">
        <v>293</v>
      </c>
      <c r="F22" s="80" t="s">
        <v>294</v>
      </c>
      <c r="G22" s="93" t="s">
        <v>165</v>
      </c>
      <c r="H22" s="94">
        <v>0</v>
      </c>
      <c r="I22" s="94">
        <v>0</v>
      </c>
      <c r="J22" s="87">
        <f>24455.883088283</f>
        <v>24455.883088283001</v>
      </c>
      <c r="K22" s="88">
        <f t="shared" si="1"/>
        <v>0.37425252723358082</v>
      </c>
      <c r="L22" s="88">
        <f>J22/'[5]סכום נכסי הקרן'!$C$42</f>
        <v>6.7279184714856824E-3</v>
      </c>
    </row>
    <row r="23" spans="2:12">
      <c r="B23" s="86" t="s">
        <v>1977</v>
      </c>
      <c r="C23" s="80" t="s">
        <v>1988</v>
      </c>
      <c r="D23" s="80">
        <v>12</v>
      </c>
      <c r="E23" s="80" t="s">
        <v>293</v>
      </c>
      <c r="F23" s="80" t="s">
        <v>294</v>
      </c>
      <c r="G23" s="93" t="s">
        <v>175</v>
      </c>
      <c r="H23" s="94">
        <v>0</v>
      </c>
      <c r="I23" s="94">
        <v>0</v>
      </c>
      <c r="J23" s="87">
        <v>1.8986093929999999</v>
      </c>
      <c r="K23" s="88">
        <f t="shared" si="1"/>
        <v>2.9054741593040211E-5</v>
      </c>
      <c r="L23" s="88">
        <f>J23/'[5]סכום נכסי הקרן'!$C$42</f>
        <v>5.2231559822188102E-7</v>
      </c>
    </row>
    <row r="24" spans="2:12">
      <c r="B24" s="86" t="s">
        <v>1977</v>
      </c>
      <c r="C24" s="80" t="s">
        <v>1989</v>
      </c>
      <c r="D24" s="80">
        <v>12</v>
      </c>
      <c r="E24" s="80" t="s">
        <v>293</v>
      </c>
      <c r="F24" s="80" t="s">
        <v>294</v>
      </c>
      <c r="G24" s="93" t="s">
        <v>168</v>
      </c>
      <c r="H24" s="94">
        <v>0</v>
      </c>
      <c r="I24" s="94">
        <v>0</v>
      </c>
      <c r="J24" s="87">
        <v>494.58443068800005</v>
      </c>
      <c r="K24" s="88">
        <f t="shared" si="1"/>
        <v>7.5687094367918517E-3</v>
      </c>
      <c r="L24" s="88">
        <f>J24/'[5]סכום נכסי הקרן'!$C$42</f>
        <v>1.360623010391012E-4</v>
      </c>
    </row>
    <row r="25" spans="2:12">
      <c r="B25" s="86" t="s">
        <v>1977</v>
      </c>
      <c r="C25" s="80" t="s">
        <v>1990</v>
      </c>
      <c r="D25" s="80">
        <v>12</v>
      </c>
      <c r="E25" s="80" t="s">
        <v>293</v>
      </c>
      <c r="F25" s="80" t="s">
        <v>294</v>
      </c>
      <c r="G25" s="93" t="s">
        <v>167</v>
      </c>
      <c r="H25" s="94">
        <v>0</v>
      </c>
      <c r="I25" s="94">
        <v>0</v>
      </c>
      <c r="J25" s="87">
        <v>0.32473720900000003</v>
      </c>
      <c r="K25" s="88">
        <f t="shared" si="1"/>
        <v>4.9695085929347308E-6</v>
      </c>
      <c r="L25" s="88">
        <f>J25/'[5]סכום נכסי הקרן'!$C$42</f>
        <v>8.9336600887520744E-8</v>
      </c>
    </row>
    <row r="26" spans="2:12">
      <c r="B26" s="86" t="s">
        <v>1980</v>
      </c>
      <c r="C26" s="80" t="s">
        <v>1991</v>
      </c>
      <c r="D26" s="80">
        <v>10</v>
      </c>
      <c r="E26" s="80" t="s">
        <v>293</v>
      </c>
      <c r="F26" s="80" t="s">
        <v>294</v>
      </c>
      <c r="G26" s="93" t="s">
        <v>1231</v>
      </c>
      <c r="H26" s="94">
        <v>0</v>
      </c>
      <c r="I26" s="94">
        <v>0</v>
      </c>
      <c r="J26" s="87">
        <v>-8.5663029999999991E-3</v>
      </c>
      <c r="K26" s="88">
        <f t="shared" si="1"/>
        <v>-1.310915878696936E-7</v>
      </c>
      <c r="L26" s="88">
        <f>J26/'[5]סכום נכסי הקרן'!$C$42</f>
        <v>-2.3566267461286563E-9</v>
      </c>
    </row>
    <row r="27" spans="2:12">
      <c r="B27" s="86" t="s">
        <v>1980</v>
      </c>
      <c r="C27" s="80" t="s">
        <v>1992</v>
      </c>
      <c r="D27" s="80">
        <v>10</v>
      </c>
      <c r="E27" s="80" t="s">
        <v>293</v>
      </c>
      <c r="F27" s="80" t="s">
        <v>294</v>
      </c>
      <c r="G27" s="93" t="s">
        <v>167</v>
      </c>
      <c r="H27" s="94">
        <v>0</v>
      </c>
      <c r="I27" s="94">
        <v>0</v>
      </c>
      <c r="J27" s="87">
        <v>15.672780000000001</v>
      </c>
      <c r="K27" s="88">
        <f t="shared" si="1"/>
        <v>2.3984321083813834E-4</v>
      </c>
      <c r="L27" s="88">
        <f>J27/'[5]סכום נכסי הקרן'!$C$42</f>
        <v>4.3116490899505065E-6</v>
      </c>
    </row>
    <row r="28" spans="2:12">
      <c r="B28" s="86" t="s">
        <v>1980</v>
      </c>
      <c r="C28" s="80" t="s">
        <v>1993</v>
      </c>
      <c r="D28" s="80">
        <v>10</v>
      </c>
      <c r="E28" s="80" t="s">
        <v>293</v>
      </c>
      <c r="F28" s="80" t="s">
        <v>294</v>
      </c>
      <c r="G28" s="93" t="s">
        <v>169</v>
      </c>
      <c r="H28" s="94">
        <v>0</v>
      </c>
      <c r="I28" s="94">
        <v>0</v>
      </c>
      <c r="J28" s="87">
        <v>6.2579685940000003</v>
      </c>
      <c r="K28" s="88">
        <f t="shared" si="1"/>
        <v>9.576675490303508E-5</v>
      </c>
      <c r="L28" s="88">
        <f>J28/'[5]סכום נכסי הקרן'!$C$42</f>
        <v>1.7215940371305505E-6</v>
      </c>
    </row>
    <row r="29" spans="2:12">
      <c r="B29" s="86" t="s">
        <v>1980</v>
      </c>
      <c r="C29" s="80" t="s">
        <v>1994</v>
      </c>
      <c r="D29" s="80">
        <v>10</v>
      </c>
      <c r="E29" s="80" t="s">
        <v>293</v>
      </c>
      <c r="F29" s="80" t="s">
        <v>294</v>
      </c>
      <c r="G29" s="93" t="s">
        <v>167</v>
      </c>
      <c r="H29" s="94">
        <v>0</v>
      </c>
      <c r="I29" s="94">
        <v>0</v>
      </c>
      <c r="J29" s="87">
        <v>0.67493793300000005</v>
      </c>
      <c r="K29" s="88">
        <f t="shared" si="1"/>
        <v>1.0328689675167794E-5</v>
      </c>
      <c r="L29" s="88">
        <f>J29/'[5]סכום נכסי הקרן'!$C$42</f>
        <v>1.8567832411304988E-7</v>
      </c>
    </row>
    <row r="30" spans="2:12">
      <c r="B30" s="86" t="s">
        <v>1980</v>
      </c>
      <c r="C30" s="80" t="s">
        <v>1995</v>
      </c>
      <c r="D30" s="80">
        <v>10</v>
      </c>
      <c r="E30" s="80" t="s">
        <v>293</v>
      </c>
      <c r="F30" s="80" t="s">
        <v>294</v>
      </c>
      <c r="G30" s="93" t="s">
        <v>172</v>
      </c>
      <c r="H30" s="94">
        <v>0</v>
      </c>
      <c r="I30" s="94">
        <v>0</v>
      </c>
      <c r="J30" s="87">
        <v>1.1670736220000002</v>
      </c>
      <c r="K30" s="88">
        <f t="shared" si="1"/>
        <v>1.7859925602539933E-5</v>
      </c>
      <c r="L30" s="88">
        <f>J30/'[5]סכום נכסי הקרן'!$C$42</f>
        <v>3.2106696579684916E-7</v>
      </c>
    </row>
    <row r="31" spans="2:12">
      <c r="B31" s="86" t="s">
        <v>1980</v>
      </c>
      <c r="C31" s="80" t="s">
        <v>1996</v>
      </c>
      <c r="D31" s="80">
        <v>10</v>
      </c>
      <c r="E31" s="80" t="s">
        <v>293</v>
      </c>
      <c r="F31" s="80" t="s">
        <v>294</v>
      </c>
      <c r="G31" s="93" t="s">
        <v>168</v>
      </c>
      <c r="H31" s="94">
        <v>0</v>
      </c>
      <c r="I31" s="94">
        <v>0</v>
      </c>
      <c r="J31" s="87">
        <v>0.51523520200000006</v>
      </c>
      <c r="K31" s="88">
        <f t="shared" si="1"/>
        <v>7.8847316930702018E-6</v>
      </c>
      <c r="L31" s="88">
        <f>J31/'[5]סכום נכסי הקרן'!$C$42</f>
        <v>1.4174341691861721E-7</v>
      </c>
    </row>
    <row r="32" spans="2:12">
      <c r="B32" s="86" t="s">
        <v>1980</v>
      </c>
      <c r="C32" s="80" t="s">
        <v>1997</v>
      </c>
      <c r="D32" s="80">
        <v>10</v>
      </c>
      <c r="E32" s="80" t="s">
        <v>293</v>
      </c>
      <c r="F32" s="80" t="s">
        <v>294</v>
      </c>
      <c r="G32" s="93" t="s">
        <v>175</v>
      </c>
      <c r="H32" s="94">
        <v>0</v>
      </c>
      <c r="I32" s="94">
        <v>0</v>
      </c>
      <c r="J32" s="87">
        <v>-9.7542854000000012E-2</v>
      </c>
      <c r="K32" s="88">
        <f t="shared" si="1"/>
        <v>-1.492714840486228E-6</v>
      </c>
      <c r="L32" s="88">
        <f>J32/'[5]סכום נכסי הקרן'!$C$42</f>
        <v>-2.6834458065529865E-8</v>
      </c>
    </row>
    <row r="33" spans="2:12">
      <c r="B33" s="86" t="s">
        <v>1980</v>
      </c>
      <c r="C33" s="80" t="s">
        <v>1998</v>
      </c>
      <c r="D33" s="80">
        <v>10</v>
      </c>
      <c r="E33" s="80" t="s">
        <v>293</v>
      </c>
      <c r="F33" s="80" t="s">
        <v>294</v>
      </c>
      <c r="G33" s="93" t="s">
        <v>165</v>
      </c>
      <c r="H33" s="94">
        <v>0</v>
      </c>
      <c r="I33" s="94">
        <v>0</v>
      </c>
      <c r="J33" s="87">
        <v>1689.463493453</v>
      </c>
      <c r="K33" s="88">
        <f t="shared" si="1"/>
        <v>2.5854146415861486E-2</v>
      </c>
      <c r="L33" s="88">
        <f>J33/'[5]סכום נכסי הקרן'!$C$42</f>
        <v>4.6477866301008688E-4</v>
      </c>
    </row>
    <row r="34" spans="2:12">
      <c r="B34" s="86" t="s">
        <v>1980</v>
      </c>
      <c r="C34" s="80" t="s">
        <v>1999</v>
      </c>
      <c r="D34" s="80">
        <v>10</v>
      </c>
      <c r="E34" s="80" t="s">
        <v>293</v>
      </c>
      <c r="F34" s="80" t="s">
        <v>294</v>
      </c>
      <c r="G34" s="93" t="s">
        <v>169</v>
      </c>
      <c r="H34" s="94">
        <v>0</v>
      </c>
      <c r="I34" s="94">
        <v>0</v>
      </c>
      <c r="J34" s="87">
        <v>8.0342500000000001</v>
      </c>
      <c r="K34" s="88">
        <f t="shared" si="1"/>
        <v>1.2294949056110741E-4</v>
      </c>
      <c r="L34" s="88">
        <f>J34/'[5]סכום נכסי הקרן'!$C$42</f>
        <v>2.2102566807506298E-6</v>
      </c>
    </row>
    <row r="35" spans="2:12">
      <c r="B35" s="86" t="s">
        <v>1980</v>
      </c>
      <c r="C35" s="80" t="s">
        <v>2000</v>
      </c>
      <c r="D35" s="80">
        <v>10</v>
      </c>
      <c r="E35" s="80" t="s">
        <v>293</v>
      </c>
      <c r="F35" s="80" t="s">
        <v>294</v>
      </c>
      <c r="G35" s="93" t="s">
        <v>174</v>
      </c>
      <c r="H35" s="94">
        <v>0</v>
      </c>
      <c r="I35" s="94">
        <v>0</v>
      </c>
      <c r="J35" s="87">
        <v>57.660980000000002</v>
      </c>
      <c r="K35" s="88">
        <f t="shared" si="1"/>
        <v>8.8239575769414724E-4</v>
      </c>
      <c r="L35" s="88">
        <f>J35/'[5]סכום נכסי הקרן'!$C$42</f>
        <v>1.5862783242197897E-5</v>
      </c>
    </row>
    <row r="36" spans="2:12">
      <c r="B36" s="86" t="s">
        <v>1980</v>
      </c>
      <c r="C36" s="80" t="s">
        <v>2001</v>
      </c>
      <c r="D36" s="80">
        <v>10</v>
      </c>
      <c r="E36" s="80" t="s">
        <v>293</v>
      </c>
      <c r="F36" s="80" t="s">
        <v>294</v>
      </c>
      <c r="G36" s="93" t="s">
        <v>168</v>
      </c>
      <c r="H36" s="94">
        <v>0</v>
      </c>
      <c r="I36" s="94">
        <v>0</v>
      </c>
      <c r="J36" s="87">
        <v>42.73921</v>
      </c>
      <c r="K36" s="88">
        <f t="shared" si="1"/>
        <v>6.5404538027621581E-4</v>
      </c>
      <c r="L36" s="88">
        <f>J36/'[5]סכום נכסי הקרן'!$C$42</f>
        <v>1.1757740228708856E-5</v>
      </c>
    </row>
    <row r="37" spans="2:12">
      <c r="B37" s="86" t="s">
        <v>1980</v>
      </c>
      <c r="C37" s="80" t="s">
        <v>2002</v>
      </c>
      <c r="D37" s="80">
        <v>10</v>
      </c>
      <c r="E37" s="80" t="s">
        <v>293</v>
      </c>
      <c r="F37" s="80" t="s">
        <v>294</v>
      </c>
      <c r="G37" s="93" t="s">
        <v>165</v>
      </c>
      <c r="H37" s="94">
        <v>0</v>
      </c>
      <c r="I37" s="94">
        <v>0</v>
      </c>
      <c r="J37" s="87">
        <v>2585.7887799999999</v>
      </c>
      <c r="K37" s="88">
        <f t="shared" si="1"/>
        <v>3.9570764315228851E-2</v>
      </c>
      <c r="L37" s="88">
        <f>J37/'[5]סכום נכסי הקרן'!$C$42</f>
        <v>7.113615989053141E-4</v>
      </c>
    </row>
    <row r="38" spans="2:12">
      <c r="B38" s="86" t="s">
        <v>1980</v>
      </c>
      <c r="C38" s="80" t="s">
        <v>2003</v>
      </c>
      <c r="D38" s="80">
        <v>10</v>
      </c>
      <c r="E38" s="80" t="s">
        <v>293</v>
      </c>
      <c r="F38" s="80" t="s">
        <v>294</v>
      </c>
      <c r="G38" s="93" t="s">
        <v>170</v>
      </c>
      <c r="H38" s="94">
        <v>0</v>
      </c>
      <c r="I38" s="94">
        <v>0</v>
      </c>
      <c r="J38" s="87">
        <v>8.2313523060000016</v>
      </c>
      <c r="K38" s="88">
        <f t="shared" si="1"/>
        <v>1.2596578058333968E-4</v>
      </c>
      <c r="L38" s="88">
        <f>J38/'[5]סכום נכסי הקרן'!$C$42</f>
        <v>2.2644803716524387E-6</v>
      </c>
    </row>
    <row r="39" spans="2:12">
      <c r="B39" s="86" t="s">
        <v>1983</v>
      </c>
      <c r="C39" s="80" t="s">
        <v>2004</v>
      </c>
      <c r="D39" s="80">
        <v>20</v>
      </c>
      <c r="E39" s="80" t="s">
        <v>293</v>
      </c>
      <c r="F39" s="80" t="s">
        <v>294</v>
      </c>
      <c r="G39" s="93" t="s">
        <v>167</v>
      </c>
      <c r="H39" s="94">
        <v>0</v>
      </c>
      <c r="I39" s="94">
        <v>0</v>
      </c>
      <c r="J39" s="87">
        <v>1.9896391999999999E-2</v>
      </c>
      <c r="K39" s="88">
        <f t="shared" si="1"/>
        <v>3.0447786170508664E-7</v>
      </c>
      <c r="L39" s="88">
        <f>J39/'[5]סכום נכסי הקרן'!$C$42</f>
        <v>5.4735828908527094E-9</v>
      </c>
    </row>
    <row r="40" spans="2:12">
      <c r="B40" s="86" t="s">
        <v>1983</v>
      </c>
      <c r="C40" s="80" t="s">
        <v>2005</v>
      </c>
      <c r="D40" s="80">
        <v>20</v>
      </c>
      <c r="E40" s="80" t="s">
        <v>293</v>
      </c>
      <c r="F40" s="80" t="s">
        <v>294</v>
      </c>
      <c r="G40" s="93" t="s">
        <v>175</v>
      </c>
      <c r="H40" s="94">
        <v>0</v>
      </c>
      <c r="I40" s="94">
        <v>0</v>
      </c>
      <c r="J40" s="87">
        <v>3.5119959999999999E-3</v>
      </c>
      <c r="K40" s="88">
        <f t="shared" si="1"/>
        <v>5.3744670510955834E-8</v>
      </c>
      <c r="L40" s="88">
        <f>J40/'[5]סכום נכסי הקרן'!$C$42</f>
        <v>9.6616518303133303E-10</v>
      </c>
    </row>
    <row r="41" spans="2:12">
      <c r="B41" s="86" t="s">
        <v>1983</v>
      </c>
      <c r="C41" s="80" t="s">
        <v>2006</v>
      </c>
      <c r="D41" s="80">
        <v>20</v>
      </c>
      <c r="E41" s="80" t="s">
        <v>293</v>
      </c>
      <c r="F41" s="80" t="s">
        <v>294</v>
      </c>
      <c r="G41" s="93" t="s">
        <v>169</v>
      </c>
      <c r="H41" s="94">
        <v>0</v>
      </c>
      <c r="I41" s="94">
        <v>0</v>
      </c>
      <c r="J41" s="87">
        <v>6.1162100000000002E-4</v>
      </c>
      <c r="K41" s="88">
        <f t="shared" si="1"/>
        <v>9.3597399093225957E-9</v>
      </c>
      <c r="L41" s="88">
        <f>J41/'[5]סכום נכסי הקרן'!$C$42</f>
        <v>1.682595639091864E-10</v>
      </c>
    </row>
    <row r="42" spans="2:12">
      <c r="B42" s="86" t="s">
        <v>1983</v>
      </c>
      <c r="C42" s="80" t="s">
        <v>2007</v>
      </c>
      <c r="D42" s="80">
        <v>20</v>
      </c>
      <c r="E42" s="80" t="s">
        <v>293</v>
      </c>
      <c r="F42" s="80" t="s">
        <v>294</v>
      </c>
      <c r="G42" s="93" t="s">
        <v>165</v>
      </c>
      <c r="H42" s="94">
        <v>0</v>
      </c>
      <c r="I42" s="94">
        <v>0</v>
      </c>
      <c r="J42" s="87">
        <v>189.40660528699999</v>
      </c>
      <c r="K42" s="88">
        <f t="shared" si="1"/>
        <v>2.8985214088365933E-3</v>
      </c>
      <c r="L42" s="88">
        <f>J42/'[5]סכום נכסי הקרן'!$C$42</f>
        <v>5.2106570583923736E-5</v>
      </c>
    </row>
    <row r="43" spans="2:12">
      <c r="B43" s="86" t="s">
        <v>1983</v>
      </c>
      <c r="C43" s="80">
        <v>33820000</v>
      </c>
      <c r="D43" s="80">
        <v>20</v>
      </c>
      <c r="E43" s="80" t="s">
        <v>293</v>
      </c>
      <c r="F43" s="80" t="s">
        <v>294</v>
      </c>
      <c r="G43" s="93" t="s">
        <v>168</v>
      </c>
      <c r="H43" s="94">
        <v>0</v>
      </c>
      <c r="I43" s="94">
        <v>0</v>
      </c>
      <c r="J43" s="87">
        <v>3.7505170699999999</v>
      </c>
      <c r="K43" s="88">
        <f t="shared" si="1"/>
        <v>5.7394798904345415E-5</v>
      </c>
      <c r="L43" s="88">
        <f>J43/'[5]סכום נכסי הקרן'!$C$42</f>
        <v>1.0317833537961573E-6</v>
      </c>
    </row>
    <row r="44" spans="2:12">
      <c r="B44" s="86" t="s">
        <v>1975</v>
      </c>
      <c r="C44" s="80" t="s">
        <v>2008</v>
      </c>
      <c r="D44" s="80">
        <v>11</v>
      </c>
      <c r="E44" s="80" t="s">
        <v>293</v>
      </c>
      <c r="F44" s="80" t="s">
        <v>294</v>
      </c>
      <c r="G44" s="93" t="s">
        <v>167</v>
      </c>
      <c r="H44" s="94">
        <v>0</v>
      </c>
      <c r="I44" s="94">
        <v>0</v>
      </c>
      <c r="J44" s="87">
        <v>11.447313141</v>
      </c>
      <c r="K44" s="88">
        <f t="shared" si="1"/>
        <v>1.7518017474928217E-4</v>
      </c>
      <c r="L44" s="88">
        <f>J44/'[5]סכום נכסי הקרן'!$C$42</f>
        <v>3.1492050093710954E-6</v>
      </c>
    </row>
    <row r="45" spans="2:12">
      <c r="B45" s="86" t="s">
        <v>1975</v>
      </c>
      <c r="C45" s="80" t="s">
        <v>2009</v>
      </c>
      <c r="D45" s="80">
        <v>11</v>
      </c>
      <c r="E45" s="80" t="s">
        <v>293</v>
      </c>
      <c r="F45" s="80" t="s">
        <v>294</v>
      </c>
      <c r="G45" s="93" t="s">
        <v>165</v>
      </c>
      <c r="H45" s="94">
        <v>0</v>
      </c>
      <c r="I45" s="94">
        <v>0</v>
      </c>
      <c r="J45" s="87">
        <v>77.958944090000003</v>
      </c>
      <c r="K45" s="88">
        <f t="shared" si="1"/>
        <v>1.1930189452092422E-3</v>
      </c>
      <c r="L45" s="88">
        <f>J45/'[5]סכום נכסי הקרן'!$C$42</f>
        <v>2.1446840339694099E-5</v>
      </c>
    </row>
    <row r="46" spans="2:12">
      <c r="B46" s="86" t="s">
        <v>1975</v>
      </c>
      <c r="C46" s="80" t="s">
        <v>2010</v>
      </c>
      <c r="D46" s="80">
        <v>11</v>
      </c>
      <c r="E46" s="80" t="s">
        <v>293</v>
      </c>
      <c r="F46" s="80" t="s">
        <v>294</v>
      </c>
      <c r="G46" s="93" t="s">
        <v>168</v>
      </c>
      <c r="H46" s="94">
        <v>0</v>
      </c>
      <c r="I46" s="94">
        <v>0</v>
      </c>
      <c r="J46" s="87">
        <v>3.4460272E-2</v>
      </c>
      <c r="K46" s="88">
        <f t="shared" si="1"/>
        <v>5.2735138774586224E-7</v>
      </c>
      <c r="L46" s="88">
        <f>J46/'[5]סכום נכסי הקרן'!$C$42</f>
        <v>9.4801688282644757E-9</v>
      </c>
    </row>
    <row r="47" spans="2:12">
      <c r="B47" s="86" t="s">
        <v>1985</v>
      </c>
      <c r="C47" s="80" t="s">
        <v>2011</v>
      </c>
      <c r="D47" s="80">
        <v>26</v>
      </c>
      <c r="E47" s="80" t="s">
        <v>293</v>
      </c>
      <c r="F47" s="80" t="s">
        <v>294</v>
      </c>
      <c r="G47" s="93" t="s">
        <v>165</v>
      </c>
      <c r="H47" s="94">
        <v>0</v>
      </c>
      <c r="I47" s="94">
        <v>0</v>
      </c>
      <c r="J47" s="87">
        <v>2.7111999999999998</v>
      </c>
      <c r="K47" s="88">
        <f t="shared" si="1"/>
        <v>4.1489953487789695E-5</v>
      </c>
      <c r="L47" s="88">
        <f>J47/'[5]סכום נכסי הקרן'!$C$42</f>
        <v>7.4586276414738231E-7</v>
      </c>
    </row>
    <row r="48" spans="2:12">
      <c r="B48" s="83"/>
      <c r="C48" s="80"/>
      <c r="D48" s="80"/>
      <c r="E48" s="80"/>
      <c r="F48" s="80"/>
      <c r="G48" s="80"/>
      <c r="H48" s="80"/>
      <c r="I48" s="80"/>
      <c r="J48" s="80"/>
      <c r="K48" s="88"/>
      <c r="L48" s="80"/>
    </row>
    <row r="49" spans="2:12">
      <c r="B49" s="81" t="s">
        <v>234</v>
      </c>
      <c r="C49" s="82"/>
      <c r="D49" s="82"/>
      <c r="E49" s="82"/>
      <c r="F49" s="82"/>
      <c r="G49" s="82"/>
      <c r="H49" s="82"/>
      <c r="I49" s="82"/>
      <c r="J49" s="90">
        <f>J50</f>
        <v>117.408411</v>
      </c>
      <c r="K49" s="91">
        <f t="shared" ref="K49:K56" si="2">J49/$J$10</f>
        <v>1.7967208289559223E-3</v>
      </c>
      <c r="L49" s="91">
        <f>J49/'[5]סכום נכסי הקרן'!$C$42</f>
        <v>3.2299558115451434E-5</v>
      </c>
    </row>
    <row r="50" spans="2:12">
      <c r="B50" s="99" t="s">
        <v>42</v>
      </c>
      <c r="C50" s="82"/>
      <c r="D50" s="82"/>
      <c r="E50" s="82"/>
      <c r="F50" s="82"/>
      <c r="G50" s="82"/>
      <c r="H50" s="82"/>
      <c r="I50" s="82"/>
      <c r="J50" s="90">
        <f>SUM(J51:J56)</f>
        <v>117.408411</v>
      </c>
      <c r="K50" s="91">
        <f t="shared" si="2"/>
        <v>1.7967208289559223E-3</v>
      </c>
      <c r="L50" s="91">
        <f>J50/'[5]סכום נכסי הקרן'!$C$42</f>
        <v>3.2299558115451434E-5</v>
      </c>
    </row>
    <row r="51" spans="2:12">
      <c r="B51" s="86" t="s">
        <v>2012</v>
      </c>
      <c r="C51" s="80" t="s">
        <v>2013</v>
      </c>
      <c r="D51" s="80">
        <v>91</v>
      </c>
      <c r="E51" s="80" t="s">
        <v>2172</v>
      </c>
      <c r="F51" s="80" t="s">
        <v>2173</v>
      </c>
      <c r="G51" s="93" t="s">
        <v>165</v>
      </c>
      <c r="H51" s="94">
        <v>0</v>
      </c>
      <c r="I51" s="94">
        <v>0</v>
      </c>
      <c r="J51" s="87">
        <v>107.005821</v>
      </c>
      <c r="K51" s="88">
        <f t="shared" si="2"/>
        <v>1.6375282296447143E-3</v>
      </c>
      <c r="L51" s="88">
        <f>J51/'[5]סכום נכסי הקרן'!$C$42</f>
        <v>2.9437760929079379E-5</v>
      </c>
    </row>
    <row r="52" spans="2:12">
      <c r="B52" s="86" t="s">
        <v>2012</v>
      </c>
      <c r="C52" s="80" t="s">
        <v>2014</v>
      </c>
      <c r="D52" s="80">
        <v>91</v>
      </c>
      <c r="E52" s="80" t="s">
        <v>2172</v>
      </c>
      <c r="F52" s="80" t="s">
        <v>2173</v>
      </c>
      <c r="G52" s="93" t="s">
        <v>167</v>
      </c>
      <c r="H52" s="94">
        <v>0</v>
      </c>
      <c r="I52" s="94">
        <v>0</v>
      </c>
      <c r="J52" s="87">
        <v>6.2223800000000002</v>
      </c>
      <c r="K52" s="88">
        <f t="shared" si="2"/>
        <v>9.5222136612331383E-5</v>
      </c>
      <c r="L52" s="88">
        <f>J52/'[5]סכום נכסי הקרן'!$C$42</f>
        <v>1.7118034620741331E-6</v>
      </c>
    </row>
    <row r="53" spans="2:12">
      <c r="B53" s="86" t="s">
        <v>2012</v>
      </c>
      <c r="C53" s="80" t="s">
        <v>2015</v>
      </c>
      <c r="D53" s="80">
        <v>91</v>
      </c>
      <c r="E53" s="80" t="s">
        <v>2172</v>
      </c>
      <c r="F53" s="80" t="s">
        <v>2173</v>
      </c>
      <c r="G53" s="93" t="s">
        <v>175</v>
      </c>
      <c r="H53" s="94">
        <v>0</v>
      </c>
      <c r="I53" s="94">
        <v>0</v>
      </c>
      <c r="J53" s="87">
        <v>0.46481</v>
      </c>
      <c r="K53" s="88">
        <f t="shared" si="2"/>
        <v>7.1130662734802038E-6</v>
      </c>
      <c r="L53" s="88">
        <f>J53/'[5]סכום נכסי הקרן'!$C$42</f>
        <v>1.2787122728066717E-7</v>
      </c>
    </row>
    <row r="54" spans="2:12">
      <c r="B54" s="86" t="s">
        <v>2012</v>
      </c>
      <c r="C54" s="80" t="s">
        <v>2016</v>
      </c>
      <c r="D54" s="80">
        <v>91</v>
      </c>
      <c r="E54" s="80" t="s">
        <v>2172</v>
      </c>
      <c r="F54" s="80" t="s">
        <v>2173</v>
      </c>
      <c r="G54" s="93" t="s">
        <v>168</v>
      </c>
      <c r="H54" s="94">
        <v>0</v>
      </c>
      <c r="I54" s="94">
        <v>0</v>
      </c>
      <c r="J54" s="87">
        <v>3.7155200000000002</v>
      </c>
      <c r="K54" s="88">
        <f t="shared" si="2"/>
        <v>5.6859232805751096E-5</v>
      </c>
      <c r="L54" s="88">
        <f>J54/'[5]סכום נכסי הקרן'!$C$42</f>
        <v>1.0221555095326359E-6</v>
      </c>
    </row>
    <row r="55" spans="2:12">
      <c r="B55" s="86" t="s">
        <v>2017</v>
      </c>
      <c r="C55" s="80" t="s">
        <v>2018</v>
      </c>
      <c r="D55" s="80">
        <v>93</v>
      </c>
      <c r="E55" s="80" t="s">
        <v>1510</v>
      </c>
      <c r="F55" s="80"/>
      <c r="G55" s="93" t="s">
        <v>175</v>
      </c>
      <c r="H55" s="94">
        <v>0</v>
      </c>
      <c r="I55" s="94">
        <v>0</v>
      </c>
      <c r="J55" s="87">
        <v>-2.2000000000000001E-4</v>
      </c>
      <c r="K55" s="88">
        <f t="shared" si="2"/>
        <v>-3.3666973175397366E-9</v>
      </c>
      <c r="L55" s="88">
        <f>J55/'[5]סכום נכסי הקרן'!$C$42</f>
        <v>-6.052294486294782E-11</v>
      </c>
    </row>
    <row r="56" spans="2:12">
      <c r="B56" s="86" t="s">
        <v>2017</v>
      </c>
      <c r="C56" s="80" t="s">
        <v>2020</v>
      </c>
      <c r="D56" s="80">
        <v>93</v>
      </c>
      <c r="E56" s="80" t="s">
        <v>1510</v>
      </c>
      <c r="F56" s="80"/>
      <c r="G56" s="93" t="s">
        <v>165</v>
      </c>
      <c r="H56" s="94">
        <v>0</v>
      </c>
      <c r="I56" s="94">
        <v>0</v>
      </c>
      <c r="J56" s="87">
        <v>1E-4</v>
      </c>
      <c r="K56" s="88">
        <f t="shared" si="2"/>
        <v>1.5303169625180621E-9</v>
      </c>
      <c r="L56" s="88">
        <f>J56/'[5]סכום נכסי הקרן'!$C$42</f>
        <v>2.7510429483158102E-11</v>
      </c>
    </row>
    <row r="57" spans="2:12">
      <c r="B57" s="83"/>
      <c r="C57" s="80"/>
      <c r="D57" s="80"/>
      <c r="E57" s="80"/>
      <c r="F57" s="80"/>
      <c r="G57" s="80"/>
      <c r="H57" s="80"/>
      <c r="I57" s="80"/>
      <c r="J57" s="80"/>
      <c r="K57" s="88"/>
      <c r="L57" s="80"/>
    </row>
    <row r="58" spans="2:12">
      <c r="B58" s="83"/>
      <c r="C58" s="80"/>
      <c r="D58" s="80"/>
      <c r="E58" s="80"/>
      <c r="F58" s="80"/>
      <c r="G58" s="80"/>
      <c r="H58" s="80"/>
      <c r="I58" s="80"/>
      <c r="J58" s="87"/>
      <c r="K58" s="88"/>
      <c r="L58" s="88"/>
    </row>
    <row r="59" spans="2:12">
      <c r="B59" s="86"/>
      <c r="C59" s="80"/>
      <c r="D59" s="80"/>
      <c r="E59" s="80"/>
      <c r="F59" s="80"/>
      <c r="G59" s="93"/>
      <c r="H59" s="80"/>
      <c r="I59" s="80"/>
      <c r="J59" s="87"/>
      <c r="K59" s="88"/>
      <c r="L59" s="88"/>
    </row>
    <row r="60" spans="2:12">
      <c r="D60" s="1"/>
    </row>
    <row r="61" spans="2:12">
      <c r="D61" s="1"/>
    </row>
    <row r="62" spans="2:12">
      <c r="D62" s="1"/>
    </row>
    <row r="63" spans="2:12">
      <c r="B63" s="141" t="s">
        <v>255</v>
      </c>
      <c r="D63" s="1"/>
    </row>
    <row r="64" spans="2:12">
      <c r="B64" s="114"/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conditionalFormatting sqref="B152:B153 B156:B158">
    <cfRule type="cellIs" dxfId="158" priority="144" operator="equal">
      <formula>2958465</formula>
    </cfRule>
    <cfRule type="cellIs" dxfId="157" priority="145" operator="equal">
      <formula>"NR3"</formula>
    </cfRule>
    <cfRule type="cellIs" dxfId="156" priority="146" operator="equal">
      <formula>"דירוג פנימי"</formula>
    </cfRule>
  </conditionalFormatting>
  <conditionalFormatting sqref="B152:B153 B156:B158">
    <cfRule type="cellIs" dxfId="155" priority="143" operator="equal">
      <formula>2958465</formula>
    </cfRule>
  </conditionalFormatting>
  <conditionalFormatting sqref="B11:B12 B21:B22">
    <cfRule type="cellIs" dxfId="154" priority="142" operator="equal">
      <formula>"NR3"</formula>
    </cfRule>
  </conditionalFormatting>
  <conditionalFormatting sqref="B13:B20">
    <cfRule type="cellIs" dxfId="153" priority="141" operator="equal">
      <formula>"NR3"</formula>
    </cfRule>
  </conditionalFormatting>
  <conditionalFormatting sqref="B23:B27">
    <cfRule type="cellIs" dxfId="152" priority="140" operator="equal">
      <formula>"NR3"</formula>
    </cfRule>
  </conditionalFormatting>
  <conditionalFormatting sqref="B28:B29">
    <cfRule type="cellIs" dxfId="151" priority="139" operator="equal">
      <formula>"NR3"</formula>
    </cfRule>
  </conditionalFormatting>
  <conditionalFormatting sqref="B30">
    <cfRule type="cellIs" dxfId="150" priority="138" operator="equal">
      <formula>"NR3"</formula>
    </cfRule>
  </conditionalFormatting>
  <conditionalFormatting sqref="B33:B35">
    <cfRule type="cellIs" dxfId="149" priority="137" operator="equal">
      <formula>"NR3"</formula>
    </cfRule>
  </conditionalFormatting>
  <conditionalFormatting sqref="B38">
    <cfRule type="cellIs" dxfId="148" priority="134" operator="equal">
      <formula>2958465</formula>
    </cfRule>
    <cfRule type="cellIs" dxfId="147" priority="135" operator="equal">
      <formula>"NR3"</formula>
    </cfRule>
    <cfRule type="cellIs" dxfId="146" priority="136" operator="equal">
      <formula>"דירוג פנימי"</formula>
    </cfRule>
  </conditionalFormatting>
  <conditionalFormatting sqref="B38">
    <cfRule type="cellIs" dxfId="145" priority="133" operator="equal">
      <formula>2958465</formula>
    </cfRule>
  </conditionalFormatting>
  <conditionalFormatting sqref="B39:B48">
    <cfRule type="cellIs" dxfId="144" priority="130" operator="equal">
      <formula>2958465</formula>
    </cfRule>
    <cfRule type="cellIs" dxfId="143" priority="131" operator="equal">
      <formula>"NR3"</formula>
    </cfRule>
    <cfRule type="cellIs" dxfId="142" priority="132" operator="equal">
      <formula>"דירוג פנימי"</formula>
    </cfRule>
  </conditionalFormatting>
  <conditionalFormatting sqref="B39:B48">
    <cfRule type="cellIs" dxfId="141" priority="129" operator="equal">
      <formula>2958465</formula>
    </cfRule>
  </conditionalFormatting>
  <conditionalFormatting sqref="B53">
    <cfRule type="cellIs" dxfId="140" priority="126" operator="equal">
      <formula>2958465</formula>
    </cfRule>
    <cfRule type="cellIs" dxfId="139" priority="127" operator="equal">
      <formula>"NR3"</formula>
    </cfRule>
    <cfRule type="cellIs" dxfId="138" priority="128" operator="equal">
      <formula>"דירוג פנימי"</formula>
    </cfRule>
  </conditionalFormatting>
  <conditionalFormatting sqref="B53">
    <cfRule type="cellIs" dxfId="137" priority="125" operator="equal">
      <formula>2958465</formula>
    </cfRule>
  </conditionalFormatting>
  <conditionalFormatting sqref="B54:B58">
    <cfRule type="cellIs" dxfId="136" priority="122" operator="equal">
      <formula>2958465</formula>
    </cfRule>
    <cfRule type="cellIs" dxfId="135" priority="123" operator="equal">
      <formula>"NR3"</formula>
    </cfRule>
    <cfRule type="cellIs" dxfId="134" priority="124" operator="equal">
      <formula>"דירוג פנימי"</formula>
    </cfRule>
  </conditionalFormatting>
  <conditionalFormatting sqref="B54:B58">
    <cfRule type="cellIs" dxfId="133" priority="121" operator="equal">
      <formula>2958465</formula>
    </cfRule>
  </conditionalFormatting>
  <conditionalFormatting sqref="B59">
    <cfRule type="cellIs" dxfId="132" priority="118" operator="equal">
      <formula>2958465</formula>
    </cfRule>
    <cfRule type="cellIs" dxfId="131" priority="119" operator="equal">
      <formula>"NR3"</formula>
    </cfRule>
    <cfRule type="cellIs" dxfId="130" priority="120" operator="equal">
      <formula>"דירוג פנימי"</formula>
    </cfRule>
  </conditionalFormatting>
  <conditionalFormatting sqref="B59">
    <cfRule type="cellIs" dxfId="129" priority="117" operator="equal">
      <formula>2958465</formula>
    </cfRule>
  </conditionalFormatting>
  <conditionalFormatting sqref="B60:B69">
    <cfRule type="cellIs" dxfId="128" priority="114" operator="equal">
      <formula>2958465</formula>
    </cfRule>
    <cfRule type="cellIs" dxfId="127" priority="115" operator="equal">
      <formula>"NR3"</formula>
    </cfRule>
    <cfRule type="cellIs" dxfId="126" priority="116" operator="equal">
      <formula>"דירוג פנימי"</formula>
    </cfRule>
  </conditionalFormatting>
  <conditionalFormatting sqref="B60:B69">
    <cfRule type="cellIs" dxfId="125" priority="113" operator="equal">
      <formula>2958465</formula>
    </cfRule>
  </conditionalFormatting>
  <conditionalFormatting sqref="B70:B71">
    <cfRule type="cellIs" dxfId="124" priority="110" operator="equal">
      <formula>2958465</formula>
    </cfRule>
    <cfRule type="cellIs" dxfId="123" priority="111" operator="equal">
      <formula>"NR3"</formula>
    </cfRule>
    <cfRule type="cellIs" dxfId="122" priority="112" operator="equal">
      <formula>"דירוג פנימי"</formula>
    </cfRule>
  </conditionalFormatting>
  <conditionalFormatting sqref="B70:B71">
    <cfRule type="cellIs" dxfId="121" priority="109" operator="equal">
      <formula>2958465</formula>
    </cfRule>
  </conditionalFormatting>
  <conditionalFormatting sqref="B72:B77">
    <cfRule type="cellIs" dxfId="120" priority="106" operator="equal">
      <formula>2958465</formula>
    </cfRule>
    <cfRule type="cellIs" dxfId="119" priority="107" operator="equal">
      <formula>"NR3"</formula>
    </cfRule>
    <cfRule type="cellIs" dxfId="118" priority="108" operator="equal">
      <formula>"דירוג פנימי"</formula>
    </cfRule>
  </conditionalFormatting>
  <conditionalFormatting sqref="B72:B77">
    <cfRule type="cellIs" dxfId="117" priority="105" operator="equal">
      <formula>2958465</formula>
    </cfRule>
  </conditionalFormatting>
  <conditionalFormatting sqref="B78">
    <cfRule type="cellIs" dxfId="116" priority="102" operator="equal">
      <formula>2958465</formula>
    </cfRule>
    <cfRule type="cellIs" dxfId="115" priority="103" operator="equal">
      <formula>"NR3"</formula>
    </cfRule>
    <cfRule type="cellIs" dxfId="114" priority="104" operator="equal">
      <formula>"דירוג פנימי"</formula>
    </cfRule>
  </conditionalFormatting>
  <conditionalFormatting sqref="B78">
    <cfRule type="cellIs" dxfId="113" priority="101" operator="equal">
      <formula>2958465</formula>
    </cfRule>
  </conditionalFormatting>
  <conditionalFormatting sqref="B79">
    <cfRule type="cellIs" dxfId="112" priority="98" operator="equal">
      <formula>2958465</formula>
    </cfRule>
    <cfRule type="cellIs" dxfId="111" priority="99" operator="equal">
      <formula>"NR3"</formula>
    </cfRule>
    <cfRule type="cellIs" dxfId="110" priority="100" operator="equal">
      <formula>"דירוג פנימי"</formula>
    </cfRule>
  </conditionalFormatting>
  <conditionalFormatting sqref="B79">
    <cfRule type="cellIs" dxfId="109" priority="97" operator="equal">
      <formula>2958465</formula>
    </cfRule>
  </conditionalFormatting>
  <conditionalFormatting sqref="B80">
    <cfRule type="cellIs" dxfId="108" priority="94" operator="equal">
      <formula>2958465</formula>
    </cfRule>
    <cfRule type="cellIs" dxfId="107" priority="95" operator="equal">
      <formula>"NR3"</formula>
    </cfRule>
    <cfRule type="cellIs" dxfId="106" priority="96" operator="equal">
      <formula>"דירוג פנימי"</formula>
    </cfRule>
  </conditionalFormatting>
  <conditionalFormatting sqref="B80">
    <cfRule type="cellIs" dxfId="105" priority="93" operator="equal">
      <formula>2958465</formula>
    </cfRule>
  </conditionalFormatting>
  <conditionalFormatting sqref="B81">
    <cfRule type="cellIs" dxfId="104" priority="90" operator="equal">
      <formula>2958465</formula>
    </cfRule>
    <cfRule type="cellIs" dxfId="103" priority="91" operator="equal">
      <formula>"NR3"</formula>
    </cfRule>
    <cfRule type="cellIs" dxfId="102" priority="92" operator="equal">
      <formula>"דירוג פנימי"</formula>
    </cfRule>
  </conditionalFormatting>
  <conditionalFormatting sqref="B81">
    <cfRule type="cellIs" dxfId="101" priority="89" operator="equal">
      <formula>2958465</formula>
    </cfRule>
  </conditionalFormatting>
  <conditionalFormatting sqref="B82">
    <cfRule type="cellIs" dxfId="100" priority="86" operator="equal">
      <formula>2958465</formula>
    </cfRule>
    <cfRule type="cellIs" dxfId="99" priority="87" operator="equal">
      <formula>"NR3"</formula>
    </cfRule>
    <cfRule type="cellIs" dxfId="98" priority="88" operator="equal">
      <formula>"דירוג פנימי"</formula>
    </cfRule>
  </conditionalFormatting>
  <conditionalFormatting sqref="B82">
    <cfRule type="cellIs" dxfId="97" priority="85" operator="equal">
      <formula>2958465</formula>
    </cfRule>
  </conditionalFormatting>
  <conditionalFormatting sqref="B83">
    <cfRule type="cellIs" dxfId="96" priority="82" operator="equal">
      <formula>2958465</formula>
    </cfRule>
    <cfRule type="cellIs" dxfId="95" priority="83" operator="equal">
      <formula>"NR3"</formula>
    </cfRule>
    <cfRule type="cellIs" dxfId="94" priority="84" operator="equal">
      <formula>"דירוג פנימי"</formula>
    </cfRule>
  </conditionalFormatting>
  <conditionalFormatting sqref="B83">
    <cfRule type="cellIs" dxfId="93" priority="81" operator="equal">
      <formula>2958465</formula>
    </cfRule>
  </conditionalFormatting>
  <conditionalFormatting sqref="B84:B100">
    <cfRule type="cellIs" dxfId="92" priority="78" operator="equal">
      <formula>2958465</formula>
    </cfRule>
    <cfRule type="cellIs" dxfId="91" priority="79" operator="equal">
      <formula>"NR3"</formula>
    </cfRule>
    <cfRule type="cellIs" dxfId="90" priority="80" operator="equal">
      <formula>"דירוג פנימי"</formula>
    </cfRule>
  </conditionalFormatting>
  <conditionalFormatting sqref="B84:B100">
    <cfRule type="cellIs" dxfId="89" priority="77" operator="equal">
      <formula>2958465</formula>
    </cfRule>
  </conditionalFormatting>
  <conditionalFormatting sqref="B101:B106">
    <cfRule type="cellIs" dxfId="88" priority="74" operator="equal">
      <formula>2958465</formula>
    </cfRule>
    <cfRule type="cellIs" dxfId="87" priority="75" operator="equal">
      <formula>"NR3"</formula>
    </cfRule>
    <cfRule type="cellIs" dxfId="86" priority="76" operator="equal">
      <formula>"דירוג פנימי"</formula>
    </cfRule>
  </conditionalFormatting>
  <conditionalFormatting sqref="B101:B106">
    <cfRule type="cellIs" dxfId="85" priority="73" operator="equal">
      <formula>2958465</formula>
    </cfRule>
  </conditionalFormatting>
  <conditionalFormatting sqref="B107:B110">
    <cfRule type="cellIs" dxfId="84" priority="70" operator="equal">
      <formula>2958465</formula>
    </cfRule>
    <cfRule type="cellIs" dxfId="83" priority="71" operator="equal">
      <formula>"NR3"</formula>
    </cfRule>
    <cfRule type="cellIs" dxfId="82" priority="72" operator="equal">
      <formula>"דירוג פנימי"</formula>
    </cfRule>
  </conditionalFormatting>
  <conditionalFormatting sqref="B107:B110">
    <cfRule type="cellIs" dxfId="81" priority="69" operator="equal">
      <formula>2958465</formula>
    </cfRule>
  </conditionalFormatting>
  <conditionalFormatting sqref="B49:B52">
    <cfRule type="cellIs" dxfId="80" priority="66" operator="equal">
      <formula>2958465</formula>
    </cfRule>
    <cfRule type="cellIs" dxfId="79" priority="67" operator="equal">
      <formula>"NR3"</formula>
    </cfRule>
    <cfRule type="cellIs" dxfId="78" priority="68" operator="equal">
      <formula>"דירוג פנימי"</formula>
    </cfRule>
  </conditionalFormatting>
  <conditionalFormatting sqref="B49:B52">
    <cfRule type="cellIs" dxfId="77" priority="65" operator="equal">
      <formula>2958465</formula>
    </cfRule>
  </conditionalFormatting>
  <conditionalFormatting sqref="B111:B112">
    <cfRule type="cellIs" dxfId="76" priority="62" operator="equal">
      <formula>2958465</formula>
    </cfRule>
    <cfRule type="cellIs" dxfId="75" priority="63" operator="equal">
      <formula>"NR3"</formula>
    </cfRule>
    <cfRule type="cellIs" dxfId="74" priority="64" operator="equal">
      <formula>"דירוג פנימי"</formula>
    </cfRule>
  </conditionalFormatting>
  <conditionalFormatting sqref="B111:B112">
    <cfRule type="cellIs" dxfId="73" priority="61" operator="equal">
      <formula>2958465</formula>
    </cfRule>
  </conditionalFormatting>
  <conditionalFormatting sqref="B113:B117">
    <cfRule type="cellIs" dxfId="72" priority="58" operator="equal">
      <formula>2958465</formula>
    </cfRule>
    <cfRule type="cellIs" dxfId="71" priority="59" operator="equal">
      <formula>"NR3"</formula>
    </cfRule>
    <cfRule type="cellIs" dxfId="70" priority="60" operator="equal">
      <formula>"דירוג פנימי"</formula>
    </cfRule>
  </conditionalFormatting>
  <conditionalFormatting sqref="B113:B117">
    <cfRule type="cellIs" dxfId="69" priority="57" operator="equal">
      <formula>2958465</formula>
    </cfRule>
  </conditionalFormatting>
  <conditionalFormatting sqref="B118:B119">
    <cfRule type="cellIs" dxfId="68" priority="54" operator="equal">
      <formula>2958465</formula>
    </cfRule>
    <cfRule type="cellIs" dxfId="67" priority="55" operator="equal">
      <formula>"NR3"</formula>
    </cfRule>
    <cfRule type="cellIs" dxfId="66" priority="56" operator="equal">
      <formula>"דירוג פנימי"</formula>
    </cfRule>
  </conditionalFormatting>
  <conditionalFormatting sqref="B118:B119">
    <cfRule type="cellIs" dxfId="65" priority="53" operator="equal">
      <formula>2958465</formula>
    </cfRule>
  </conditionalFormatting>
  <conditionalFormatting sqref="B120">
    <cfRule type="cellIs" dxfId="64" priority="50" operator="equal">
      <formula>2958465</formula>
    </cfRule>
    <cfRule type="cellIs" dxfId="63" priority="51" operator="equal">
      <formula>"NR3"</formula>
    </cfRule>
    <cfRule type="cellIs" dxfId="62" priority="52" operator="equal">
      <formula>"דירוג פנימי"</formula>
    </cfRule>
  </conditionalFormatting>
  <conditionalFormatting sqref="B120">
    <cfRule type="cellIs" dxfId="61" priority="49" operator="equal">
      <formula>2958465</formula>
    </cfRule>
  </conditionalFormatting>
  <conditionalFormatting sqref="B121">
    <cfRule type="cellIs" dxfId="60" priority="46" operator="equal">
      <formula>2958465</formula>
    </cfRule>
    <cfRule type="cellIs" dxfId="59" priority="47" operator="equal">
      <formula>"NR3"</formula>
    </cfRule>
    <cfRule type="cellIs" dxfId="58" priority="48" operator="equal">
      <formula>"דירוג פנימי"</formula>
    </cfRule>
  </conditionalFormatting>
  <conditionalFormatting sqref="B121">
    <cfRule type="cellIs" dxfId="57" priority="45" operator="equal">
      <formula>2958465</formula>
    </cfRule>
  </conditionalFormatting>
  <conditionalFormatting sqref="B122">
    <cfRule type="cellIs" dxfId="56" priority="42" operator="equal">
      <formula>2958465</formula>
    </cfRule>
    <cfRule type="cellIs" dxfId="55" priority="43" operator="equal">
      <formula>"NR3"</formula>
    </cfRule>
    <cfRule type="cellIs" dxfId="54" priority="44" operator="equal">
      <formula>"דירוג פנימי"</formula>
    </cfRule>
  </conditionalFormatting>
  <conditionalFormatting sqref="B122">
    <cfRule type="cellIs" dxfId="53" priority="41" operator="equal">
      <formula>2958465</formula>
    </cfRule>
  </conditionalFormatting>
  <conditionalFormatting sqref="B123:B136">
    <cfRule type="cellIs" dxfId="52" priority="38" operator="equal">
      <formula>2958465</formula>
    </cfRule>
    <cfRule type="cellIs" dxfId="51" priority="39" operator="equal">
      <formula>"NR3"</formula>
    </cfRule>
    <cfRule type="cellIs" dxfId="50" priority="40" operator="equal">
      <formula>"דירוג פנימי"</formula>
    </cfRule>
  </conditionalFormatting>
  <conditionalFormatting sqref="B123:B136">
    <cfRule type="cellIs" dxfId="49" priority="37" operator="equal">
      <formula>2958465</formula>
    </cfRule>
  </conditionalFormatting>
  <conditionalFormatting sqref="B137:B139">
    <cfRule type="cellIs" dxfId="48" priority="34" operator="equal">
      <formula>2958465</formula>
    </cfRule>
    <cfRule type="cellIs" dxfId="47" priority="35" operator="equal">
      <formula>"NR3"</formula>
    </cfRule>
    <cfRule type="cellIs" dxfId="46" priority="36" operator="equal">
      <formula>"דירוג פנימי"</formula>
    </cfRule>
  </conditionalFormatting>
  <conditionalFormatting sqref="B137:B139">
    <cfRule type="cellIs" dxfId="45" priority="33" operator="equal">
      <formula>2958465</formula>
    </cfRule>
  </conditionalFormatting>
  <conditionalFormatting sqref="B140:B148">
    <cfRule type="cellIs" dxfId="44" priority="30" operator="equal">
      <formula>2958465</formula>
    </cfRule>
    <cfRule type="cellIs" dxfId="43" priority="31" operator="equal">
      <formula>"NR3"</formula>
    </cfRule>
    <cfRule type="cellIs" dxfId="42" priority="32" operator="equal">
      <formula>"דירוג פנימי"</formula>
    </cfRule>
  </conditionalFormatting>
  <conditionalFormatting sqref="B140:B148">
    <cfRule type="cellIs" dxfId="41" priority="29" operator="equal">
      <formula>2958465</formula>
    </cfRule>
  </conditionalFormatting>
  <conditionalFormatting sqref="B149:B151">
    <cfRule type="cellIs" dxfId="40" priority="26" operator="equal">
      <formula>2958465</formula>
    </cfRule>
    <cfRule type="cellIs" dxfId="39" priority="27" operator="equal">
      <formula>"NR3"</formula>
    </cfRule>
    <cfRule type="cellIs" dxfId="38" priority="28" operator="equal">
      <formula>"דירוג פנימי"</formula>
    </cfRule>
  </conditionalFormatting>
  <conditionalFormatting sqref="B149:B151">
    <cfRule type="cellIs" dxfId="37" priority="25" operator="equal">
      <formula>2958465</formula>
    </cfRule>
  </conditionalFormatting>
  <conditionalFormatting sqref="B154:B155">
    <cfRule type="cellIs" dxfId="36" priority="22" operator="equal">
      <formula>2958465</formula>
    </cfRule>
    <cfRule type="cellIs" dxfId="35" priority="23" operator="equal">
      <formula>"NR3"</formula>
    </cfRule>
    <cfRule type="cellIs" dxfId="34" priority="24" operator="equal">
      <formula>"דירוג פנימי"</formula>
    </cfRule>
  </conditionalFormatting>
  <conditionalFormatting sqref="B154:B155">
    <cfRule type="cellIs" dxfId="33" priority="21" operator="equal">
      <formula>2958465</formula>
    </cfRule>
  </conditionalFormatting>
  <conditionalFormatting sqref="B159">
    <cfRule type="cellIs" dxfId="32" priority="18" operator="equal">
      <formula>2958465</formula>
    </cfRule>
    <cfRule type="cellIs" dxfId="31" priority="19" operator="equal">
      <formula>"NR3"</formula>
    </cfRule>
    <cfRule type="cellIs" dxfId="30" priority="20" operator="equal">
      <formula>"דירוג פנימי"</formula>
    </cfRule>
  </conditionalFormatting>
  <conditionalFormatting sqref="B159">
    <cfRule type="cellIs" dxfId="29" priority="17" operator="equal">
      <formula>2958465</formula>
    </cfRule>
  </conditionalFormatting>
  <conditionalFormatting sqref="B160">
    <cfRule type="cellIs" dxfId="28" priority="14" operator="equal">
      <formula>2958465</formula>
    </cfRule>
    <cfRule type="cellIs" dxfId="27" priority="15" operator="equal">
      <formula>"NR3"</formula>
    </cfRule>
    <cfRule type="cellIs" dxfId="26" priority="16" operator="equal">
      <formula>"דירוג פנימי"</formula>
    </cfRule>
  </conditionalFormatting>
  <conditionalFormatting sqref="B160">
    <cfRule type="cellIs" dxfId="25" priority="13" operator="equal">
      <formula>2958465</formula>
    </cfRule>
  </conditionalFormatting>
  <conditionalFormatting sqref="B161">
    <cfRule type="cellIs" dxfId="24" priority="10" operator="equal">
      <formula>2958465</formula>
    </cfRule>
    <cfRule type="cellIs" dxfId="23" priority="11" operator="equal">
      <formula>"NR3"</formula>
    </cfRule>
    <cfRule type="cellIs" dxfId="22" priority="12" operator="equal">
      <formula>"דירוג פנימי"</formula>
    </cfRule>
  </conditionalFormatting>
  <conditionalFormatting sqref="B161">
    <cfRule type="cellIs" dxfId="21" priority="9" operator="equal">
      <formula>2958465</formula>
    </cfRule>
  </conditionalFormatting>
  <conditionalFormatting sqref="B162">
    <cfRule type="cellIs" dxfId="20" priority="6" operator="equal">
      <formula>2958465</formula>
    </cfRule>
    <cfRule type="cellIs" dxfId="19" priority="7" operator="equal">
      <formula>"NR3"</formula>
    </cfRule>
    <cfRule type="cellIs" dxfId="18" priority="8" operator="equal">
      <formula>"דירוג פנימי"</formula>
    </cfRule>
  </conditionalFormatting>
  <conditionalFormatting sqref="B162">
    <cfRule type="cellIs" dxfId="17" priority="5" operator="equal">
      <formula>2958465</formula>
    </cfRule>
  </conditionalFormatting>
  <conditionalFormatting sqref="B163:B164">
    <cfRule type="cellIs" dxfId="16" priority="2" operator="equal">
      <formula>2958465</formula>
    </cfRule>
    <cfRule type="cellIs" dxfId="15" priority="3" operator="equal">
      <formula>"NR3"</formula>
    </cfRule>
    <cfRule type="cellIs" dxfId="14" priority="4" operator="equal">
      <formula>"דירוג פנימי"</formula>
    </cfRule>
  </conditionalFormatting>
  <conditionalFormatting sqref="B163:B164">
    <cfRule type="cellIs" dxfId="13" priority="1" operator="equal">
      <formula>2958465</formula>
    </cfRule>
  </conditionalFormatting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181</v>
      </c>
      <c r="C1" s="78" t="s" vm="1">
        <v>262</v>
      </c>
    </row>
    <row r="2" spans="2:18">
      <c r="B2" s="57" t="s">
        <v>180</v>
      </c>
      <c r="C2" s="78" t="s">
        <v>263</v>
      </c>
    </row>
    <row r="3" spans="2:18">
      <c r="B3" s="57" t="s">
        <v>182</v>
      </c>
      <c r="C3" s="78" t="s">
        <v>264</v>
      </c>
    </row>
    <row r="4" spans="2:18">
      <c r="B4" s="57" t="s">
        <v>183</v>
      </c>
      <c r="C4" s="78">
        <v>2207</v>
      </c>
    </row>
    <row r="6" spans="2:18" ht="26.25" customHeight="1">
      <c r="B6" s="157" t="s">
        <v>222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8" s="3" customFormat="1" ht="78.75">
      <c r="B7" s="23" t="s">
        <v>118</v>
      </c>
      <c r="C7" s="31" t="s">
        <v>44</v>
      </c>
      <c r="D7" s="31" t="s">
        <v>65</v>
      </c>
      <c r="E7" s="31" t="s">
        <v>15</v>
      </c>
      <c r="F7" s="31" t="s">
        <v>66</v>
      </c>
      <c r="G7" s="31" t="s">
        <v>104</v>
      </c>
      <c r="H7" s="31" t="s">
        <v>18</v>
      </c>
      <c r="I7" s="31" t="s">
        <v>103</v>
      </c>
      <c r="J7" s="31" t="s">
        <v>17</v>
      </c>
      <c r="K7" s="31" t="s">
        <v>219</v>
      </c>
      <c r="L7" s="31" t="s">
        <v>240</v>
      </c>
      <c r="M7" s="31" t="s">
        <v>220</v>
      </c>
      <c r="N7" s="31" t="s">
        <v>59</v>
      </c>
      <c r="O7" s="31" t="s">
        <v>184</v>
      </c>
      <c r="P7" s="32" t="s">
        <v>186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247</v>
      </c>
      <c r="M8" s="33" t="s">
        <v>243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255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114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246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181</v>
      </c>
      <c r="C1" s="78" t="s" vm="1">
        <v>262</v>
      </c>
    </row>
    <row r="2" spans="2:18">
      <c r="B2" s="57" t="s">
        <v>180</v>
      </c>
      <c r="C2" s="78" t="s">
        <v>263</v>
      </c>
    </row>
    <row r="3" spans="2:18">
      <c r="B3" s="57" t="s">
        <v>182</v>
      </c>
      <c r="C3" s="78" t="s">
        <v>264</v>
      </c>
    </row>
    <row r="4" spans="2:18">
      <c r="B4" s="57" t="s">
        <v>183</v>
      </c>
      <c r="C4" s="78">
        <v>2207</v>
      </c>
    </row>
    <row r="6" spans="2:18" ht="26.25" customHeight="1">
      <c r="B6" s="157" t="s">
        <v>224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8" s="3" customFormat="1" ht="78.75">
      <c r="B7" s="23" t="s">
        <v>118</v>
      </c>
      <c r="C7" s="31" t="s">
        <v>44</v>
      </c>
      <c r="D7" s="31" t="s">
        <v>65</v>
      </c>
      <c r="E7" s="31" t="s">
        <v>15</v>
      </c>
      <c r="F7" s="31" t="s">
        <v>66</v>
      </c>
      <c r="G7" s="31" t="s">
        <v>104</v>
      </c>
      <c r="H7" s="31" t="s">
        <v>18</v>
      </c>
      <c r="I7" s="31" t="s">
        <v>103</v>
      </c>
      <c r="J7" s="31" t="s">
        <v>17</v>
      </c>
      <c r="K7" s="31" t="s">
        <v>219</v>
      </c>
      <c r="L7" s="31" t="s">
        <v>240</v>
      </c>
      <c r="M7" s="31" t="s">
        <v>220</v>
      </c>
      <c r="N7" s="31" t="s">
        <v>59</v>
      </c>
      <c r="O7" s="31" t="s">
        <v>184</v>
      </c>
      <c r="P7" s="32" t="s">
        <v>186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247</v>
      </c>
      <c r="M8" s="33" t="s">
        <v>243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255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114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246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2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2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2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2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2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2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2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2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2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2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2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2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2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2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2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2"/>
      <c r="R31" s="2"/>
      <c r="S31" s="2"/>
      <c r="T31" s="2"/>
      <c r="U31" s="2"/>
      <c r="V31" s="2"/>
      <c r="W31" s="2"/>
    </row>
    <row r="32" spans="2:2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2"/>
      <c r="R32" s="2"/>
      <c r="S32" s="2"/>
      <c r="T32" s="2"/>
      <c r="U32" s="2"/>
      <c r="V32" s="2"/>
      <c r="W32" s="2"/>
    </row>
    <row r="33" spans="2:2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2"/>
      <c r="R33" s="2"/>
      <c r="S33" s="2"/>
      <c r="T33" s="2"/>
      <c r="U33" s="2"/>
      <c r="V33" s="2"/>
      <c r="W33" s="2"/>
    </row>
    <row r="34" spans="2:2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2"/>
      <c r="R34" s="2"/>
      <c r="S34" s="2"/>
      <c r="T34" s="2"/>
      <c r="U34" s="2"/>
      <c r="V34" s="2"/>
      <c r="W34" s="2"/>
    </row>
    <row r="35" spans="2:2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2"/>
      <c r="R35" s="2"/>
      <c r="S35" s="2"/>
      <c r="T35" s="2"/>
      <c r="U35" s="2"/>
      <c r="V35" s="2"/>
      <c r="W35" s="2"/>
    </row>
    <row r="36" spans="2:2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2"/>
      <c r="R36" s="2"/>
      <c r="S36" s="2"/>
      <c r="T36" s="2"/>
      <c r="U36" s="2"/>
      <c r="V36" s="2"/>
      <c r="W36" s="2"/>
    </row>
    <row r="37" spans="2:2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2"/>
      <c r="R37" s="2"/>
      <c r="S37" s="2"/>
      <c r="T37" s="2"/>
      <c r="U37" s="2"/>
      <c r="V37" s="2"/>
      <c r="W37" s="2"/>
    </row>
    <row r="38" spans="2:2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2"/>
      <c r="R38" s="2"/>
      <c r="S38" s="2"/>
      <c r="T38" s="2"/>
      <c r="U38" s="2"/>
      <c r="V38" s="2"/>
      <c r="W38" s="2"/>
    </row>
    <row r="39" spans="2:2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2"/>
      <c r="R39" s="2"/>
      <c r="S39" s="2"/>
      <c r="T39" s="2"/>
      <c r="U39" s="2"/>
      <c r="V39" s="2"/>
      <c r="W39" s="2"/>
    </row>
    <row r="40" spans="2:2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2"/>
      <c r="R40" s="2"/>
      <c r="S40" s="2"/>
      <c r="T40" s="2"/>
      <c r="U40" s="2"/>
      <c r="V40" s="2"/>
      <c r="W40" s="2"/>
    </row>
    <row r="41" spans="2:2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2"/>
      <c r="R41" s="2"/>
      <c r="S41" s="2"/>
      <c r="T41" s="2"/>
      <c r="U41" s="2"/>
      <c r="V41" s="2"/>
      <c r="W41" s="2"/>
    </row>
    <row r="42" spans="2:2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2"/>
      <c r="R42" s="2"/>
      <c r="S42" s="2"/>
      <c r="T42" s="2"/>
      <c r="U42" s="2"/>
      <c r="V42" s="2"/>
      <c r="W42" s="2"/>
    </row>
    <row r="43" spans="2:2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2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2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2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2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Q15" sqref="Q15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69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181</v>
      </c>
      <c r="C1" s="78" t="s" vm="1">
        <v>262</v>
      </c>
    </row>
    <row r="2" spans="2:53">
      <c r="B2" s="57" t="s">
        <v>180</v>
      </c>
      <c r="C2" s="78" t="s">
        <v>263</v>
      </c>
    </row>
    <row r="3" spans="2:53">
      <c r="B3" s="57" t="s">
        <v>182</v>
      </c>
      <c r="C3" s="78" t="s">
        <v>264</v>
      </c>
    </row>
    <row r="4" spans="2:53">
      <c r="B4" s="57" t="s">
        <v>183</v>
      </c>
      <c r="C4" s="78">
        <v>2207</v>
      </c>
    </row>
    <row r="6" spans="2:53" ht="21.75" customHeight="1">
      <c r="B6" s="148" t="s">
        <v>211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2:53" ht="27.75" customHeight="1">
      <c r="B7" s="151" t="s">
        <v>89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  <c r="AU7" s="3"/>
      <c r="AV7" s="3"/>
    </row>
    <row r="8" spans="2:53" s="3" customFormat="1" ht="66" customHeight="1">
      <c r="B8" s="23" t="s">
        <v>117</v>
      </c>
      <c r="C8" s="31" t="s">
        <v>44</v>
      </c>
      <c r="D8" s="31" t="s">
        <v>121</v>
      </c>
      <c r="E8" s="31" t="s">
        <v>15</v>
      </c>
      <c r="F8" s="31" t="s">
        <v>66</v>
      </c>
      <c r="G8" s="31" t="s">
        <v>104</v>
      </c>
      <c r="H8" s="31" t="s">
        <v>18</v>
      </c>
      <c r="I8" s="31" t="s">
        <v>103</v>
      </c>
      <c r="J8" s="31" t="s">
        <v>17</v>
      </c>
      <c r="K8" s="31" t="s">
        <v>19</v>
      </c>
      <c r="L8" s="31" t="s">
        <v>240</v>
      </c>
      <c r="M8" s="31" t="s">
        <v>239</v>
      </c>
      <c r="N8" s="31" t="s">
        <v>254</v>
      </c>
      <c r="O8" s="31" t="s">
        <v>62</v>
      </c>
      <c r="P8" s="31" t="s">
        <v>242</v>
      </c>
      <c r="Q8" s="31" t="s">
        <v>184</v>
      </c>
      <c r="R8" s="72" t="s">
        <v>186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247</v>
      </c>
      <c r="M9" s="33"/>
      <c r="N9" s="17" t="s">
        <v>243</v>
      </c>
      <c r="O9" s="33" t="s">
        <v>248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115</v>
      </c>
      <c r="R10" s="21" t="s">
        <v>116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106" t="s">
        <v>26</v>
      </c>
      <c r="C11" s="82"/>
      <c r="D11" s="82"/>
      <c r="E11" s="82"/>
      <c r="F11" s="82"/>
      <c r="G11" s="82"/>
      <c r="H11" s="90">
        <v>15.21554223158015</v>
      </c>
      <c r="I11" s="82"/>
      <c r="J11" s="82"/>
      <c r="K11" s="91">
        <v>5.1074213956092674E-4</v>
      </c>
      <c r="L11" s="90"/>
      <c r="M11" s="92"/>
      <c r="N11" s="82"/>
      <c r="O11" s="90">
        <v>979688.30943486409</v>
      </c>
      <c r="P11" s="82"/>
      <c r="Q11" s="91">
        <f>O11/$O$11</f>
        <v>1</v>
      </c>
      <c r="R11" s="91">
        <f>O11/'סכום נכסי הקרן'!$C$42</f>
        <v>0.26951646152182201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96"/>
      <c r="AV11" s="96"/>
      <c r="AW11" s="3"/>
      <c r="BA11" s="96"/>
    </row>
    <row r="12" spans="2:53" ht="22.5" customHeight="1">
      <c r="B12" s="81" t="s">
        <v>235</v>
      </c>
      <c r="C12" s="82"/>
      <c r="D12" s="82"/>
      <c r="E12" s="82"/>
      <c r="F12" s="82"/>
      <c r="G12" s="82"/>
      <c r="H12" s="90">
        <v>15.21554223158015</v>
      </c>
      <c r="I12" s="82"/>
      <c r="J12" s="82"/>
      <c r="K12" s="91">
        <v>5.1074213956092706E-4</v>
      </c>
      <c r="L12" s="90"/>
      <c r="M12" s="92"/>
      <c r="N12" s="82"/>
      <c r="O12" s="90">
        <v>979688.30943486397</v>
      </c>
      <c r="P12" s="82"/>
      <c r="Q12" s="91">
        <f t="shared" ref="Q12:Q25" si="0">O12/$O$11</f>
        <v>0.99999999999999989</v>
      </c>
      <c r="R12" s="91">
        <f>O12/'סכום נכסי הקרן'!$C$42</f>
        <v>0.26951646152182196</v>
      </c>
      <c r="AW12" s="4"/>
    </row>
    <row r="13" spans="2:53" s="96" customFormat="1">
      <c r="B13" s="99" t="s">
        <v>24</v>
      </c>
      <c r="C13" s="82"/>
      <c r="D13" s="82"/>
      <c r="E13" s="82"/>
      <c r="F13" s="82"/>
      <c r="G13" s="82"/>
      <c r="H13" s="90">
        <v>15.21554223158015</v>
      </c>
      <c r="I13" s="82"/>
      <c r="J13" s="82"/>
      <c r="K13" s="91">
        <v>5.1074213956092706E-4</v>
      </c>
      <c r="L13" s="90"/>
      <c r="M13" s="92"/>
      <c r="N13" s="82"/>
      <c r="O13" s="90">
        <v>979688.30943486397</v>
      </c>
      <c r="P13" s="82"/>
      <c r="Q13" s="91">
        <f t="shared" si="0"/>
        <v>0.99999999999999989</v>
      </c>
      <c r="R13" s="91">
        <f>O13/'סכום נכסי הקרן'!$C$42</f>
        <v>0.26951646152182196</v>
      </c>
    </row>
    <row r="14" spans="2:53">
      <c r="B14" s="84" t="s">
        <v>23</v>
      </c>
      <c r="C14" s="82"/>
      <c r="D14" s="82"/>
      <c r="E14" s="82"/>
      <c r="F14" s="82"/>
      <c r="G14" s="82"/>
      <c r="H14" s="90">
        <v>15.21554223158015</v>
      </c>
      <c r="I14" s="82"/>
      <c r="J14" s="82"/>
      <c r="K14" s="91">
        <v>5.1074213956092706E-4</v>
      </c>
      <c r="L14" s="90"/>
      <c r="M14" s="92"/>
      <c r="N14" s="82"/>
      <c r="O14" s="90">
        <v>979688.30943486397</v>
      </c>
      <c r="P14" s="82"/>
      <c r="Q14" s="91">
        <f t="shared" si="0"/>
        <v>0.99999999999999989</v>
      </c>
      <c r="R14" s="91">
        <f>O14/'סכום נכסי הקרן'!$C$42</f>
        <v>0.26951646152182196</v>
      </c>
    </row>
    <row r="15" spans="2:53">
      <c r="B15" s="85" t="s">
        <v>265</v>
      </c>
      <c r="C15" s="80" t="s">
        <v>266</v>
      </c>
      <c r="D15" s="93" t="s">
        <v>122</v>
      </c>
      <c r="E15" s="80" t="s">
        <v>267</v>
      </c>
      <c r="F15" s="80"/>
      <c r="G15" s="80"/>
      <c r="H15" s="87">
        <v>1.5399999999999578</v>
      </c>
      <c r="I15" s="93" t="s">
        <v>166</v>
      </c>
      <c r="J15" s="94">
        <v>0.04</v>
      </c>
      <c r="K15" s="88">
        <v>-9.5999999999997997E-3</v>
      </c>
      <c r="L15" s="87">
        <v>16725992.147050001</v>
      </c>
      <c r="M15" s="89">
        <v>143.96</v>
      </c>
      <c r="N15" s="80"/>
      <c r="O15" s="87">
        <v>24078.738035312999</v>
      </c>
      <c r="P15" s="88">
        <v>1.0757782204943759E-3</v>
      </c>
      <c r="Q15" s="88">
        <f t="shared" si="0"/>
        <v>2.4577957911126741E-2</v>
      </c>
      <c r="R15" s="88">
        <f>O15/'סכום נכסי הקרן'!$C$42</f>
        <v>6.6241642476391506E-3</v>
      </c>
    </row>
    <row r="16" spans="2:53" ht="20.25">
      <c r="B16" s="85" t="s">
        <v>268</v>
      </c>
      <c r="C16" s="80" t="s">
        <v>269</v>
      </c>
      <c r="D16" s="93" t="s">
        <v>122</v>
      </c>
      <c r="E16" s="80" t="s">
        <v>267</v>
      </c>
      <c r="F16" s="80"/>
      <c r="G16" s="80"/>
      <c r="H16" s="87">
        <v>4.259999999999927</v>
      </c>
      <c r="I16" s="93" t="s">
        <v>166</v>
      </c>
      <c r="J16" s="94">
        <v>0.04</v>
      </c>
      <c r="K16" s="88">
        <v>-8.6999999999999959E-3</v>
      </c>
      <c r="L16" s="87">
        <v>17517705.061423998</v>
      </c>
      <c r="M16" s="89">
        <v>154.88</v>
      </c>
      <c r="N16" s="80"/>
      <c r="O16" s="87">
        <v>27131.421832823002</v>
      </c>
      <c r="P16" s="88">
        <v>1.5078210441086825E-3</v>
      </c>
      <c r="Q16" s="88">
        <f t="shared" si="0"/>
        <v>2.769393241864225E-2</v>
      </c>
      <c r="R16" s="88">
        <f>O16/'סכום נכסי הקרן'!$C$42</f>
        <v>7.4639706710969327E-3</v>
      </c>
      <c r="AU16" s="4"/>
    </row>
    <row r="17" spans="2:48" ht="20.25">
      <c r="B17" s="85" t="s">
        <v>270</v>
      </c>
      <c r="C17" s="80" t="s">
        <v>271</v>
      </c>
      <c r="D17" s="93" t="s">
        <v>122</v>
      </c>
      <c r="E17" s="80" t="s">
        <v>267</v>
      </c>
      <c r="F17" s="80"/>
      <c r="G17" s="80"/>
      <c r="H17" s="87">
        <v>7.2200000000000104</v>
      </c>
      <c r="I17" s="93" t="s">
        <v>166</v>
      </c>
      <c r="J17" s="94">
        <v>7.4999999999999997E-3</v>
      </c>
      <c r="K17" s="88">
        <v>-6.6999999999998372E-3</v>
      </c>
      <c r="L17" s="87">
        <v>19623914.376613002</v>
      </c>
      <c r="M17" s="89">
        <v>113.2</v>
      </c>
      <c r="N17" s="80"/>
      <c r="O17" s="87">
        <v>22214.270954608</v>
      </c>
      <c r="P17" s="88">
        <v>1.3843008232259319E-3</v>
      </c>
      <c r="Q17" s="88">
        <f t="shared" si="0"/>
        <v>2.2674835190615233E-2</v>
      </c>
      <c r="R17" s="88">
        <f>O17/'סכום נכסי הקרן'!$C$42</f>
        <v>6.1112413461651052E-3</v>
      </c>
      <c r="AV17" s="4"/>
    </row>
    <row r="18" spans="2:48">
      <c r="B18" s="85" t="s">
        <v>272</v>
      </c>
      <c r="C18" s="80" t="s">
        <v>273</v>
      </c>
      <c r="D18" s="93" t="s">
        <v>122</v>
      </c>
      <c r="E18" s="80" t="s">
        <v>267</v>
      </c>
      <c r="F18" s="80"/>
      <c r="G18" s="80"/>
      <c r="H18" s="87">
        <v>13.199999999999957</v>
      </c>
      <c r="I18" s="93" t="s">
        <v>166</v>
      </c>
      <c r="J18" s="94">
        <v>0.04</v>
      </c>
      <c r="K18" s="88">
        <v>-5.9999999999999561E-4</v>
      </c>
      <c r="L18" s="87">
        <v>134593647.23070401</v>
      </c>
      <c r="M18" s="89">
        <v>202.83</v>
      </c>
      <c r="N18" s="80"/>
      <c r="O18" s="87">
        <v>272996.29191950202</v>
      </c>
      <c r="P18" s="88">
        <v>8.2971853787017231E-3</v>
      </c>
      <c r="Q18" s="88">
        <f t="shared" si="0"/>
        <v>0.27865627188812808</v>
      </c>
      <c r="R18" s="88">
        <f>O18/'סכום נכסי הקרן'!$C$42</f>
        <v>7.5102452380151036E-2</v>
      </c>
      <c r="AU18" s="3"/>
    </row>
    <row r="19" spans="2:48">
      <c r="B19" s="85" t="s">
        <v>274</v>
      </c>
      <c r="C19" s="80" t="s">
        <v>275</v>
      </c>
      <c r="D19" s="93" t="s">
        <v>122</v>
      </c>
      <c r="E19" s="80" t="s">
        <v>267</v>
      </c>
      <c r="F19" s="80"/>
      <c r="G19" s="80"/>
      <c r="H19" s="87">
        <v>17.590000000000014</v>
      </c>
      <c r="I19" s="93" t="s">
        <v>166</v>
      </c>
      <c r="J19" s="94">
        <v>2.75E-2</v>
      </c>
      <c r="K19" s="88">
        <v>2.9000000000000037E-3</v>
      </c>
      <c r="L19" s="87">
        <v>146660381.429023</v>
      </c>
      <c r="M19" s="89">
        <v>164.26</v>
      </c>
      <c r="N19" s="80"/>
      <c r="O19" s="87">
        <v>240904.33748127901</v>
      </c>
      <c r="P19" s="88">
        <v>8.2975856006103407E-3</v>
      </c>
      <c r="Q19" s="88">
        <f t="shared" si="0"/>
        <v>0.24589896108921147</v>
      </c>
      <c r="R19" s="88">
        <f>O19/'סכום נכסי הקרן'!$C$42</f>
        <v>6.6273817884656472E-2</v>
      </c>
      <c r="AV19" s="3"/>
    </row>
    <row r="20" spans="2:48">
      <c r="B20" s="85" t="s">
        <v>276</v>
      </c>
      <c r="C20" s="80" t="s">
        <v>277</v>
      </c>
      <c r="D20" s="93" t="s">
        <v>122</v>
      </c>
      <c r="E20" s="80" t="s">
        <v>267</v>
      </c>
      <c r="F20" s="80"/>
      <c r="G20" s="80"/>
      <c r="H20" s="87">
        <v>3.6499999999999675</v>
      </c>
      <c r="I20" s="93" t="s">
        <v>166</v>
      </c>
      <c r="J20" s="94">
        <v>1.7500000000000002E-2</v>
      </c>
      <c r="K20" s="88">
        <v>-8.9999999999999074E-3</v>
      </c>
      <c r="L20" s="87">
        <v>28379994.187360998</v>
      </c>
      <c r="M20" s="89">
        <v>113.25</v>
      </c>
      <c r="N20" s="80"/>
      <c r="O20" s="87">
        <v>32140.345579777</v>
      </c>
      <c r="P20" s="88">
        <v>1.6920519739901509E-3</v>
      </c>
      <c r="Q20" s="88">
        <f t="shared" si="0"/>
        <v>3.2806705224764032E-2</v>
      </c>
      <c r="R20" s="88">
        <f>O20/'סכום נכסי הקרן'!$C$42</f>
        <v>8.8419471063678722E-3</v>
      </c>
    </row>
    <row r="21" spans="2:48">
      <c r="B21" s="85" t="s">
        <v>278</v>
      </c>
      <c r="C21" s="80" t="s">
        <v>279</v>
      </c>
      <c r="D21" s="93" t="s">
        <v>122</v>
      </c>
      <c r="E21" s="80" t="s">
        <v>267</v>
      </c>
      <c r="F21" s="80"/>
      <c r="G21" s="80"/>
      <c r="H21" s="87">
        <v>0.82999999999990182</v>
      </c>
      <c r="I21" s="93" t="s">
        <v>166</v>
      </c>
      <c r="J21" s="94">
        <v>1E-3</v>
      </c>
      <c r="K21" s="88">
        <v>-8.199999999998658E-3</v>
      </c>
      <c r="L21" s="87">
        <v>5677753.3960560001</v>
      </c>
      <c r="M21" s="89">
        <v>102.3</v>
      </c>
      <c r="N21" s="80"/>
      <c r="O21" s="87">
        <v>5808.3415349789993</v>
      </c>
      <c r="P21" s="88">
        <v>3.7463470349199387E-4</v>
      </c>
      <c r="Q21" s="88">
        <f t="shared" si="0"/>
        <v>5.9287647704294412E-3</v>
      </c>
      <c r="R21" s="88">
        <f>O21/'סכום נכסי הקרן'!$C$42</f>
        <v>1.5978997021213804E-3</v>
      </c>
    </row>
    <row r="22" spans="2:48">
      <c r="B22" s="85" t="s">
        <v>280</v>
      </c>
      <c r="C22" s="80" t="s">
        <v>281</v>
      </c>
      <c r="D22" s="93" t="s">
        <v>122</v>
      </c>
      <c r="E22" s="80" t="s">
        <v>267</v>
      </c>
      <c r="F22" s="80"/>
      <c r="G22" s="80"/>
      <c r="H22" s="87">
        <v>5.7300000000000031</v>
      </c>
      <c r="I22" s="93" t="s">
        <v>166</v>
      </c>
      <c r="J22" s="94">
        <v>7.4999999999999997E-3</v>
      </c>
      <c r="K22" s="88">
        <v>-7.9999999999999134E-3</v>
      </c>
      <c r="L22" s="87">
        <v>20789847.800202999</v>
      </c>
      <c r="M22" s="89">
        <v>110.65</v>
      </c>
      <c r="N22" s="80"/>
      <c r="O22" s="87">
        <v>23003.966928903999</v>
      </c>
      <c r="P22" s="88">
        <v>1.521375013685194E-3</v>
      </c>
      <c r="Q22" s="88">
        <f t="shared" si="0"/>
        <v>2.3480903780687044E-2</v>
      </c>
      <c r="R22" s="88">
        <f>O22/'סכום נכסי הקרן'!$C$42</f>
        <v>6.3284901003051444E-3</v>
      </c>
    </row>
    <row r="23" spans="2:48">
      <c r="B23" s="85" t="s">
        <v>282</v>
      </c>
      <c r="C23" s="80" t="s">
        <v>283</v>
      </c>
      <c r="D23" s="93" t="s">
        <v>122</v>
      </c>
      <c r="E23" s="80" t="s">
        <v>267</v>
      </c>
      <c r="F23" s="80"/>
      <c r="G23" s="80"/>
      <c r="H23" s="87">
        <v>9.2100000000000666</v>
      </c>
      <c r="I23" s="93" t="s">
        <v>166</v>
      </c>
      <c r="J23" s="94">
        <v>5.0000000000000001E-3</v>
      </c>
      <c r="K23" s="88">
        <v>-5.2999999999999055E-3</v>
      </c>
      <c r="L23" s="87">
        <v>23932184.640831005</v>
      </c>
      <c r="M23" s="89">
        <v>111</v>
      </c>
      <c r="N23" s="80"/>
      <c r="O23" s="87">
        <v>26564.725133525</v>
      </c>
      <c r="P23" s="88">
        <v>2.7935687063923818E-3</v>
      </c>
      <c r="Q23" s="88">
        <f t="shared" si="0"/>
        <v>2.7115486504936386E-2</v>
      </c>
      <c r="R23" s="88">
        <f>O23/'סכום נכסי הקרן'!$C$42</f>
        <v>7.3080699752531711E-3</v>
      </c>
    </row>
    <row r="24" spans="2:48">
      <c r="B24" s="85" t="s">
        <v>284</v>
      </c>
      <c r="C24" s="80" t="s">
        <v>285</v>
      </c>
      <c r="D24" s="93" t="s">
        <v>122</v>
      </c>
      <c r="E24" s="80" t="s">
        <v>267</v>
      </c>
      <c r="F24" s="80"/>
      <c r="G24" s="80"/>
      <c r="H24" s="87">
        <v>22.629999999999981</v>
      </c>
      <c r="I24" s="93" t="s">
        <v>166</v>
      </c>
      <c r="J24" s="94">
        <v>0.01</v>
      </c>
      <c r="K24" s="88">
        <v>5.6999999999999759E-3</v>
      </c>
      <c r="L24" s="87">
        <v>242470570.499706</v>
      </c>
      <c r="M24" s="89">
        <v>112.4</v>
      </c>
      <c r="N24" s="80"/>
      <c r="O24" s="87">
        <v>272536.91581513797</v>
      </c>
      <c r="P24" s="88">
        <v>1.6403624585645295E-2</v>
      </c>
      <c r="Q24" s="88">
        <f t="shared" si="0"/>
        <v>0.27818737162674895</v>
      </c>
      <c r="R24" s="88">
        <f>O24/'סכום נכסי הקרן'!$C$42</f>
        <v>7.4976076040897482E-2</v>
      </c>
    </row>
    <row r="25" spans="2:48">
      <c r="B25" s="85" t="s">
        <v>286</v>
      </c>
      <c r="C25" s="80" t="s">
        <v>287</v>
      </c>
      <c r="D25" s="93" t="s">
        <v>122</v>
      </c>
      <c r="E25" s="80" t="s">
        <v>267</v>
      </c>
      <c r="F25" s="80"/>
      <c r="G25" s="80"/>
      <c r="H25" s="87">
        <v>2.6699999999999777</v>
      </c>
      <c r="I25" s="93" t="s">
        <v>166</v>
      </c>
      <c r="J25" s="94">
        <v>2.75E-2</v>
      </c>
      <c r="K25" s="88">
        <v>-9.5999999999998899E-3</v>
      </c>
      <c r="L25" s="87">
        <v>27888609.469028998</v>
      </c>
      <c r="M25" s="89">
        <v>115.85</v>
      </c>
      <c r="N25" s="80"/>
      <c r="O25" s="87">
        <v>32308.954219015999</v>
      </c>
      <c r="P25" s="88">
        <v>1.6819375070277615E-3</v>
      </c>
      <c r="Q25" s="88">
        <f t="shared" si="0"/>
        <v>3.2978809594710293E-2</v>
      </c>
      <c r="R25" s="88">
        <f>O25/'סכום נכסי הקרן'!$C$42</f>
        <v>8.8883320671682298E-3</v>
      </c>
    </row>
    <row r="26" spans="2:48">
      <c r="B26" s="86"/>
      <c r="C26" s="80"/>
      <c r="D26" s="80"/>
      <c r="E26" s="80"/>
      <c r="F26" s="80"/>
      <c r="G26" s="80"/>
      <c r="H26" s="80"/>
      <c r="I26" s="80"/>
      <c r="J26" s="80"/>
      <c r="K26" s="88"/>
      <c r="L26" s="87"/>
      <c r="M26" s="89"/>
      <c r="N26" s="80"/>
      <c r="O26" s="80"/>
      <c r="P26" s="80"/>
      <c r="Q26" s="88"/>
      <c r="R26" s="80"/>
    </row>
    <row r="27" spans="2:48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2:48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2:48">
      <c r="B29" s="95" t="s">
        <v>114</v>
      </c>
      <c r="C29" s="96"/>
      <c r="D29" s="9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2:48">
      <c r="B30" s="95" t="s">
        <v>238</v>
      </c>
      <c r="C30" s="96"/>
      <c r="D30" s="96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2:48">
      <c r="B31" s="154" t="s">
        <v>246</v>
      </c>
      <c r="C31" s="154"/>
      <c r="D31" s="154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2:48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2:18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2:18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2:18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2:18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2:18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2:18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2:18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2:18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2:18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2:18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2:18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2:18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18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2:18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2:18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2:18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2:18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2:18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2:18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2:18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2:18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2:18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2:18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2:18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2:18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2:18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2:18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2:18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2:18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2:18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2:18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2:18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2:18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2:18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2:18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2:18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</row>
    <row r="69" spans="2:18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2:18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2:18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2:18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2:18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2:18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2:18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2:18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2:18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2:18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2:18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2:18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2:18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2:18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2: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2: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2:18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2:18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2:18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2:18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</row>
    <row r="89" spans="2:18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</row>
    <row r="90" spans="2:18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2:18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</row>
    <row r="92" spans="2:18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</row>
    <row r="93" spans="2:18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</row>
    <row r="94" spans="2:18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</row>
    <row r="95" spans="2:18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</row>
    <row r="96" spans="2:18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</row>
    <row r="97" spans="2:18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2:18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</row>
    <row r="99" spans="2:18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</row>
    <row r="100" spans="2:18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2:18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  <row r="102" spans="2:18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</row>
    <row r="103" spans="2:18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</row>
    <row r="104" spans="2:18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</row>
    <row r="105" spans="2:18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</row>
    <row r="106" spans="2:18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</row>
    <row r="107" spans="2:18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</row>
    <row r="108" spans="2:18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</row>
    <row r="109" spans="2:18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</row>
    <row r="110" spans="2:18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</row>
    <row r="111" spans="2:18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</row>
    <row r="112" spans="2:18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</row>
    <row r="113" spans="2:18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</row>
    <row r="114" spans="2:18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</row>
    <row r="115" spans="2:18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</row>
    <row r="116" spans="2:18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2:18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</row>
    <row r="118" spans="2:18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</row>
    <row r="119" spans="2:18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2:18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2:18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2:18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</row>
    <row r="123" spans="2:18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</row>
    <row r="124" spans="2:18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</row>
    <row r="125" spans="2:18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B32:B1048576 O1:Q9 O11:Q1048576 C32:I1048576 J1:M1048576 E1:I30 D1:D28 B29:B31 R1:AF1048576 AJ1:XFD1048576 AG1:AI27 AG31:AI1048576 C29:D30 A1:A1048576 B1:B28 C5:C28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181</v>
      </c>
      <c r="C1" s="78" t="s" vm="1">
        <v>262</v>
      </c>
    </row>
    <row r="2" spans="2:67">
      <c r="B2" s="57" t="s">
        <v>180</v>
      </c>
      <c r="C2" s="78" t="s">
        <v>263</v>
      </c>
    </row>
    <row r="3" spans="2:67">
      <c r="B3" s="57" t="s">
        <v>182</v>
      </c>
      <c r="C3" s="78" t="s">
        <v>264</v>
      </c>
    </row>
    <row r="4" spans="2:67">
      <c r="B4" s="57" t="s">
        <v>183</v>
      </c>
      <c r="C4" s="78">
        <v>2207</v>
      </c>
    </row>
    <row r="6" spans="2:67" ht="26.25" customHeight="1">
      <c r="B6" s="151" t="s">
        <v>211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BO6" s="3"/>
    </row>
    <row r="7" spans="2:67" ht="26.25" customHeight="1">
      <c r="B7" s="151" t="s">
        <v>90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AZ7" s="44"/>
      <c r="BJ7" s="3"/>
      <c r="BO7" s="3"/>
    </row>
    <row r="8" spans="2:67" s="3" customFormat="1" ht="78.75">
      <c r="B8" s="38" t="s">
        <v>117</v>
      </c>
      <c r="C8" s="14" t="s">
        <v>44</v>
      </c>
      <c r="D8" s="14" t="s">
        <v>121</v>
      </c>
      <c r="E8" s="14" t="s">
        <v>227</v>
      </c>
      <c r="F8" s="14" t="s">
        <v>119</v>
      </c>
      <c r="G8" s="14" t="s">
        <v>65</v>
      </c>
      <c r="H8" s="14" t="s">
        <v>15</v>
      </c>
      <c r="I8" s="14" t="s">
        <v>66</v>
      </c>
      <c r="J8" s="14" t="s">
        <v>104</v>
      </c>
      <c r="K8" s="14" t="s">
        <v>18</v>
      </c>
      <c r="L8" s="14" t="s">
        <v>103</v>
      </c>
      <c r="M8" s="14" t="s">
        <v>17</v>
      </c>
      <c r="N8" s="14" t="s">
        <v>19</v>
      </c>
      <c r="O8" s="14" t="s">
        <v>240</v>
      </c>
      <c r="P8" s="14" t="s">
        <v>239</v>
      </c>
      <c r="Q8" s="14" t="s">
        <v>62</v>
      </c>
      <c r="R8" s="14" t="s">
        <v>59</v>
      </c>
      <c r="S8" s="14" t="s">
        <v>184</v>
      </c>
      <c r="T8" s="39" t="s">
        <v>186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247</v>
      </c>
      <c r="P9" s="17"/>
      <c r="Q9" s="17" t="s">
        <v>243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115</v>
      </c>
      <c r="R10" s="20" t="s">
        <v>116</v>
      </c>
      <c r="S10" s="46" t="s">
        <v>187</v>
      </c>
      <c r="T10" s="73" t="s">
        <v>228</v>
      </c>
      <c r="U10" s="5"/>
      <c r="BJ10" s="1"/>
      <c r="BK10" s="3"/>
      <c r="BL10" s="1"/>
      <c r="BO10" s="1"/>
    </row>
    <row r="11" spans="2:67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5"/>
      <c r="BJ11" s="1"/>
      <c r="BK11" s="3"/>
      <c r="BL11" s="1"/>
      <c r="BO11" s="1"/>
    </row>
    <row r="12" spans="2:67" ht="20.25">
      <c r="B12" s="95" t="s">
        <v>255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BK12" s="4"/>
    </row>
    <row r="13" spans="2:67">
      <c r="B13" s="95" t="s">
        <v>114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2:67">
      <c r="B14" s="95" t="s">
        <v>238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2:67">
      <c r="B15" s="95" t="s">
        <v>246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2:67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BJ16" s="4"/>
    </row>
    <row r="17" spans="2:20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2:20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2:20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2:20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2:20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2:20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2:20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2:20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2:20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2:20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2:20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2:20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2:20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2:20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2:20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2:20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2:20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2:20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2:20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2:20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2:20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2:20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2:20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2:20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2:20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2:20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2:20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2:20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2:20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2:20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2:20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2:20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2:20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2:20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2:20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2:20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2:20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2:20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2:20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2:20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2:20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2:20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2:20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2:20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2:20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2:20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2:20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2:20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2:20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2:20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2:20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2:20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2:20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2:20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2:20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2:20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2:20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2:20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2:20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2:20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2:20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2:20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2:20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2:20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2:20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2:20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2:20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2:20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2:20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2:20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2:20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2:20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2:20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2:20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2:20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2:20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2:20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9"/>
  <sheetViews>
    <sheetView rightToLeft="1" zoomScale="90" zoomScaleNormal="90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69.2851562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7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181</v>
      </c>
      <c r="C1" s="78" t="s" vm="1">
        <v>262</v>
      </c>
    </row>
    <row r="2" spans="2:66">
      <c r="B2" s="57" t="s">
        <v>180</v>
      </c>
      <c r="C2" s="78" t="s">
        <v>263</v>
      </c>
    </row>
    <row r="3" spans="2:66">
      <c r="B3" s="57" t="s">
        <v>182</v>
      </c>
      <c r="C3" s="78" t="s">
        <v>264</v>
      </c>
    </row>
    <row r="4" spans="2:66">
      <c r="B4" s="57" t="s">
        <v>183</v>
      </c>
      <c r="C4" s="78">
        <v>2207</v>
      </c>
    </row>
    <row r="6" spans="2:66" ht="26.25" customHeight="1">
      <c r="B6" s="157" t="s">
        <v>211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2:66" ht="26.25" customHeight="1">
      <c r="B7" s="157" t="s">
        <v>91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  <c r="BN7" s="3"/>
    </row>
    <row r="8" spans="2:66" s="3" customFormat="1" ht="78.75">
      <c r="B8" s="23" t="s">
        <v>117</v>
      </c>
      <c r="C8" s="31" t="s">
        <v>44</v>
      </c>
      <c r="D8" s="31" t="s">
        <v>121</v>
      </c>
      <c r="E8" s="31" t="s">
        <v>227</v>
      </c>
      <c r="F8" s="31" t="s">
        <v>119</v>
      </c>
      <c r="G8" s="31" t="s">
        <v>65</v>
      </c>
      <c r="H8" s="31" t="s">
        <v>15</v>
      </c>
      <c r="I8" s="31" t="s">
        <v>66</v>
      </c>
      <c r="J8" s="31" t="s">
        <v>104</v>
      </c>
      <c r="K8" s="31" t="s">
        <v>18</v>
      </c>
      <c r="L8" s="31" t="s">
        <v>103</v>
      </c>
      <c r="M8" s="31" t="s">
        <v>17</v>
      </c>
      <c r="N8" s="31" t="s">
        <v>19</v>
      </c>
      <c r="O8" s="14" t="s">
        <v>240</v>
      </c>
      <c r="P8" s="31" t="s">
        <v>239</v>
      </c>
      <c r="Q8" s="31" t="s">
        <v>254</v>
      </c>
      <c r="R8" s="31" t="s">
        <v>62</v>
      </c>
      <c r="S8" s="14" t="s">
        <v>59</v>
      </c>
      <c r="T8" s="31" t="s">
        <v>184</v>
      </c>
      <c r="U8" s="15" t="s">
        <v>186</v>
      </c>
      <c r="V8" s="1"/>
      <c r="W8" s="1"/>
      <c r="BJ8" s="1"/>
      <c r="BK8" s="1"/>
    </row>
    <row r="9" spans="2:6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247</v>
      </c>
      <c r="P9" s="33"/>
      <c r="Q9" s="17" t="s">
        <v>243</v>
      </c>
      <c r="R9" s="33" t="s">
        <v>243</v>
      </c>
      <c r="S9" s="17" t="s">
        <v>20</v>
      </c>
      <c r="T9" s="33" t="s">
        <v>243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115</v>
      </c>
      <c r="R10" s="20" t="s">
        <v>116</v>
      </c>
      <c r="S10" s="20" t="s">
        <v>187</v>
      </c>
      <c r="T10" s="21" t="s">
        <v>228</v>
      </c>
      <c r="U10" s="21" t="s">
        <v>249</v>
      </c>
      <c r="V10" s="5"/>
      <c r="BI10" s="1"/>
      <c r="BJ10" s="3"/>
      <c r="BK10" s="1"/>
    </row>
    <row r="11" spans="2:66" s="4" customFormat="1" ht="18" customHeight="1">
      <c r="B11" s="97" t="s">
        <v>32</v>
      </c>
      <c r="C11" s="98"/>
      <c r="D11" s="98"/>
      <c r="E11" s="98"/>
      <c r="F11" s="98"/>
      <c r="G11" s="98"/>
      <c r="H11" s="98"/>
      <c r="I11" s="98"/>
      <c r="J11" s="98"/>
      <c r="K11" s="100">
        <v>4.4171775612364623</v>
      </c>
      <c r="L11" s="98"/>
      <c r="M11" s="98"/>
      <c r="N11" s="101">
        <v>1.1607265835291269E-2</v>
      </c>
      <c r="O11" s="100"/>
      <c r="P11" s="102"/>
      <c r="Q11" s="100">
        <v>388.09992352099999</v>
      </c>
      <c r="R11" s="100">
        <f>R12</f>
        <v>91929.967464322996</v>
      </c>
      <c r="S11" s="98"/>
      <c r="T11" s="103">
        <f>R11/$R$11</f>
        <v>1</v>
      </c>
      <c r="U11" s="103">
        <f>R11/'סכום נכסי הקרן'!$C$42</f>
        <v>2.5290328873162762E-2</v>
      </c>
      <c r="V11" s="5"/>
      <c r="BI11" s="1"/>
      <c r="BJ11" s="3"/>
      <c r="BK11" s="1"/>
      <c r="BN11" s="1"/>
    </row>
    <row r="12" spans="2:66">
      <c r="B12" s="81" t="s">
        <v>235</v>
      </c>
      <c r="C12" s="82"/>
      <c r="D12" s="82"/>
      <c r="E12" s="82"/>
      <c r="F12" s="82"/>
      <c r="G12" s="82"/>
      <c r="H12" s="82"/>
      <c r="I12" s="82"/>
      <c r="J12" s="82"/>
      <c r="K12" s="90">
        <v>4.4171775612364597</v>
      </c>
      <c r="L12" s="82"/>
      <c r="M12" s="82"/>
      <c r="N12" s="104">
        <v>1.1607265835291253E-2</v>
      </c>
      <c r="O12" s="90"/>
      <c r="P12" s="92"/>
      <c r="Q12" s="90">
        <v>388.09992352099999</v>
      </c>
      <c r="R12" s="90">
        <f>R13+R160+R243</f>
        <v>91929.967464322996</v>
      </c>
      <c r="S12" s="82"/>
      <c r="T12" s="91">
        <f t="shared" ref="T12:T75" si="0">R12/$R$11</f>
        <v>1</v>
      </c>
      <c r="U12" s="91">
        <f>R12/'סכום נכסי הקרן'!$C$42</f>
        <v>2.5290328873162762E-2</v>
      </c>
      <c r="BJ12" s="3"/>
    </row>
    <row r="13" spans="2:66" ht="20.25">
      <c r="B13" s="99" t="s">
        <v>31</v>
      </c>
      <c r="C13" s="82"/>
      <c r="D13" s="82"/>
      <c r="E13" s="82"/>
      <c r="F13" s="82"/>
      <c r="G13" s="82"/>
      <c r="H13" s="82"/>
      <c r="I13" s="82"/>
      <c r="J13" s="82"/>
      <c r="K13" s="90">
        <v>4.3613613084370337</v>
      </c>
      <c r="L13" s="82"/>
      <c r="M13" s="82"/>
      <c r="N13" s="104">
        <v>7.6783087775225498E-3</v>
      </c>
      <c r="O13" s="90"/>
      <c r="P13" s="92"/>
      <c r="Q13" s="90">
        <v>351.99352206600003</v>
      </c>
      <c r="R13" s="90">
        <f>SUM(R14:R158)</f>
        <v>70062.150916494982</v>
      </c>
      <c r="S13" s="82"/>
      <c r="T13" s="91">
        <f t="shared" si="0"/>
        <v>0.76212526610199582</v>
      </c>
      <c r="U13" s="91">
        <f>R13/'סכום נכסי הקרן'!$C$42</f>
        <v>1.9274398622266157E-2</v>
      </c>
      <c r="BJ13" s="4"/>
    </row>
    <row r="14" spans="2:66">
      <c r="B14" s="86" t="s">
        <v>288</v>
      </c>
      <c r="C14" s="80" t="s">
        <v>289</v>
      </c>
      <c r="D14" s="93" t="s">
        <v>122</v>
      </c>
      <c r="E14" s="93" t="s">
        <v>290</v>
      </c>
      <c r="F14" s="80" t="s">
        <v>291</v>
      </c>
      <c r="G14" s="93" t="s">
        <v>292</v>
      </c>
      <c r="H14" s="80" t="s">
        <v>293</v>
      </c>
      <c r="I14" s="80" t="s">
        <v>294</v>
      </c>
      <c r="J14" s="80"/>
      <c r="K14" s="87">
        <v>2.820000000000924</v>
      </c>
      <c r="L14" s="93" t="s">
        <v>166</v>
      </c>
      <c r="M14" s="94">
        <v>6.1999999999999998E-3</v>
      </c>
      <c r="N14" s="94">
        <v>-2.5000000000018931E-3</v>
      </c>
      <c r="O14" s="87">
        <v>1268270.870745</v>
      </c>
      <c r="P14" s="89">
        <v>104.12</v>
      </c>
      <c r="Q14" s="80"/>
      <c r="R14" s="87">
        <v>1320.5236176789999</v>
      </c>
      <c r="S14" s="88">
        <v>2.5609180964831845E-4</v>
      </c>
      <c r="T14" s="88">
        <f t="shared" si="0"/>
        <v>1.4364452137889427E-2</v>
      </c>
      <c r="U14" s="88">
        <f>R14/'סכום נכסי הקרן'!$C$42</f>
        <v>3.6328171865002953E-4</v>
      </c>
    </row>
    <row r="15" spans="2:66">
      <c r="B15" s="86" t="s">
        <v>295</v>
      </c>
      <c r="C15" s="80" t="s">
        <v>296</v>
      </c>
      <c r="D15" s="93" t="s">
        <v>122</v>
      </c>
      <c r="E15" s="93" t="s">
        <v>290</v>
      </c>
      <c r="F15" s="80" t="s">
        <v>297</v>
      </c>
      <c r="G15" s="93" t="s">
        <v>298</v>
      </c>
      <c r="H15" s="80" t="s">
        <v>293</v>
      </c>
      <c r="I15" s="80" t="s">
        <v>294</v>
      </c>
      <c r="J15" s="80"/>
      <c r="K15" s="87">
        <v>2.0500000000018925</v>
      </c>
      <c r="L15" s="93" t="s">
        <v>166</v>
      </c>
      <c r="M15" s="94">
        <v>3.5499999999999997E-2</v>
      </c>
      <c r="N15" s="94">
        <v>-2.7000000000416361E-3</v>
      </c>
      <c r="O15" s="87">
        <v>111156.100657</v>
      </c>
      <c r="P15" s="89">
        <v>118.84</v>
      </c>
      <c r="Q15" s="80"/>
      <c r="R15" s="87">
        <v>132.09790903499999</v>
      </c>
      <c r="S15" s="88">
        <v>3.8989349338725715E-4</v>
      </c>
      <c r="T15" s="88">
        <f t="shared" si="0"/>
        <v>1.4369406699318776E-3</v>
      </c>
      <c r="U15" s="88">
        <f>R15/'סכום נכסי הקרן'!$C$42</f>
        <v>3.6340702113800003E-5</v>
      </c>
    </row>
    <row r="16" spans="2:66">
      <c r="B16" s="86" t="s">
        <v>299</v>
      </c>
      <c r="C16" s="80" t="s">
        <v>300</v>
      </c>
      <c r="D16" s="93" t="s">
        <v>122</v>
      </c>
      <c r="E16" s="93" t="s">
        <v>290</v>
      </c>
      <c r="F16" s="80" t="s">
        <v>297</v>
      </c>
      <c r="G16" s="93" t="s">
        <v>298</v>
      </c>
      <c r="H16" s="80" t="s">
        <v>293</v>
      </c>
      <c r="I16" s="80" t="s">
        <v>294</v>
      </c>
      <c r="J16" s="80"/>
      <c r="K16" s="87">
        <v>0.9399999999886065</v>
      </c>
      <c r="L16" s="93" t="s">
        <v>166</v>
      </c>
      <c r="M16" s="94">
        <v>4.6500000000000007E-2</v>
      </c>
      <c r="N16" s="94">
        <v>-4.3000000000131466E-3</v>
      </c>
      <c r="O16" s="87">
        <v>35877.545128999998</v>
      </c>
      <c r="P16" s="89">
        <v>127.21</v>
      </c>
      <c r="Q16" s="80"/>
      <c r="R16" s="87">
        <v>45.639824957999998</v>
      </c>
      <c r="S16" s="88">
        <v>1.8063226115162465E-4</v>
      </c>
      <c r="T16" s="88">
        <f t="shared" si="0"/>
        <v>4.9646297303120783E-4</v>
      </c>
      <c r="U16" s="88">
        <f>R16/'סכום נכסי הקרן'!$C$42</f>
        <v>1.2555711861307381E-5</v>
      </c>
    </row>
    <row r="17" spans="2:61" ht="20.25">
      <c r="B17" s="86" t="s">
        <v>301</v>
      </c>
      <c r="C17" s="80" t="s">
        <v>302</v>
      </c>
      <c r="D17" s="93" t="s">
        <v>122</v>
      </c>
      <c r="E17" s="93" t="s">
        <v>290</v>
      </c>
      <c r="F17" s="80" t="s">
        <v>297</v>
      </c>
      <c r="G17" s="93" t="s">
        <v>298</v>
      </c>
      <c r="H17" s="80" t="s">
        <v>293</v>
      </c>
      <c r="I17" s="80" t="s">
        <v>294</v>
      </c>
      <c r="J17" s="80"/>
      <c r="K17" s="87">
        <v>4.9800000000012972</v>
      </c>
      <c r="L17" s="93" t="s">
        <v>166</v>
      </c>
      <c r="M17" s="94">
        <v>1.4999999999999999E-2</v>
      </c>
      <c r="N17" s="94">
        <v>-2.1999999999924289E-3</v>
      </c>
      <c r="O17" s="87">
        <v>333546.57254600001</v>
      </c>
      <c r="P17" s="89">
        <v>110.88</v>
      </c>
      <c r="Q17" s="80"/>
      <c r="R17" s="87">
        <v>369.83642697400006</v>
      </c>
      <c r="S17" s="88">
        <v>6.5250809109739601E-4</v>
      </c>
      <c r="T17" s="88">
        <f t="shared" si="0"/>
        <v>4.0230235817012502E-3</v>
      </c>
      <c r="U17" s="88">
        <f>R17/'סכום נכסי הקרן'!$C$42</f>
        <v>1.0174358944571379E-4</v>
      </c>
      <c r="BI17" s="4"/>
    </row>
    <row r="18" spans="2:61">
      <c r="B18" s="86" t="s">
        <v>303</v>
      </c>
      <c r="C18" s="80" t="s">
        <v>304</v>
      </c>
      <c r="D18" s="93" t="s">
        <v>122</v>
      </c>
      <c r="E18" s="93" t="s">
        <v>290</v>
      </c>
      <c r="F18" s="80" t="s">
        <v>305</v>
      </c>
      <c r="G18" s="93" t="s">
        <v>298</v>
      </c>
      <c r="H18" s="80" t="s">
        <v>306</v>
      </c>
      <c r="I18" s="80" t="s">
        <v>162</v>
      </c>
      <c r="J18" s="80"/>
      <c r="K18" s="87">
        <v>5.6800000000058422</v>
      </c>
      <c r="L18" s="93" t="s">
        <v>166</v>
      </c>
      <c r="M18" s="94">
        <v>1E-3</v>
      </c>
      <c r="N18" s="94">
        <v>-1.5000000000073032E-3</v>
      </c>
      <c r="O18" s="87">
        <v>337419.31806399999</v>
      </c>
      <c r="P18" s="89">
        <v>101.45</v>
      </c>
      <c r="Q18" s="80"/>
      <c r="R18" s="87">
        <v>342.31190942500001</v>
      </c>
      <c r="S18" s="88">
        <v>4.8202759723428568E-4</v>
      </c>
      <c r="T18" s="88">
        <f t="shared" si="0"/>
        <v>3.7236161272204025E-3</v>
      </c>
      <c r="U18" s="88">
        <f>R18/'סכום נכסי הקרן'!$C$42</f>
        <v>9.4171476454816657E-5</v>
      </c>
    </row>
    <row r="19" spans="2:61">
      <c r="B19" s="86" t="s">
        <v>307</v>
      </c>
      <c r="C19" s="80" t="s">
        <v>308</v>
      </c>
      <c r="D19" s="93" t="s">
        <v>122</v>
      </c>
      <c r="E19" s="93" t="s">
        <v>290</v>
      </c>
      <c r="F19" s="80" t="s">
        <v>305</v>
      </c>
      <c r="G19" s="93" t="s">
        <v>298</v>
      </c>
      <c r="H19" s="80" t="s">
        <v>306</v>
      </c>
      <c r="I19" s="80" t="s">
        <v>162</v>
      </c>
      <c r="J19" s="80"/>
      <c r="K19" s="87">
        <v>0.74000000000270005</v>
      </c>
      <c r="L19" s="93" t="s">
        <v>166</v>
      </c>
      <c r="M19" s="94">
        <v>8.0000000000000002E-3</v>
      </c>
      <c r="N19" s="94">
        <v>5.2000000000189724E-3</v>
      </c>
      <c r="O19" s="87">
        <v>265973.69114900002</v>
      </c>
      <c r="P19" s="89">
        <v>103.05</v>
      </c>
      <c r="Q19" s="80"/>
      <c r="R19" s="87">
        <v>274.08588894899998</v>
      </c>
      <c r="S19" s="88">
        <v>6.1898460516097867E-4</v>
      </c>
      <c r="T19" s="88">
        <f t="shared" si="0"/>
        <v>2.9814640047095596E-3</v>
      </c>
      <c r="U19" s="88">
        <f>R19/'סכום נכסי הקרן'!$C$42</f>
        <v>7.5402205202601663E-5</v>
      </c>
      <c r="BI19" s="3"/>
    </row>
    <row r="20" spans="2:61">
      <c r="B20" s="86" t="s">
        <v>309</v>
      </c>
      <c r="C20" s="80" t="s">
        <v>310</v>
      </c>
      <c r="D20" s="93" t="s">
        <v>122</v>
      </c>
      <c r="E20" s="93" t="s">
        <v>290</v>
      </c>
      <c r="F20" s="80" t="s">
        <v>311</v>
      </c>
      <c r="G20" s="93" t="s">
        <v>298</v>
      </c>
      <c r="H20" s="80" t="s">
        <v>306</v>
      </c>
      <c r="I20" s="80" t="s">
        <v>162</v>
      </c>
      <c r="J20" s="80"/>
      <c r="K20" s="87">
        <v>0.49999999999963257</v>
      </c>
      <c r="L20" s="93" t="s">
        <v>166</v>
      </c>
      <c r="M20" s="94">
        <v>5.8999999999999999E-3</v>
      </c>
      <c r="N20" s="94">
        <v>-4.3000000000033064E-3</v>
      </c>
      <c r="O20" s="87">
        <v>1343360.2668920001</v>
      </c>
      <c r="P20" s="89">
        <v>101.3</v>
      </c>
      <c r="Q20" s="80"/>
      <c r="R20" s="87">
        <v>1360.8239451850002</v>
      </c>
      <c r="S20" s="88">
        <v>2.5165272898649741E-4</v>
      </c>
      <c r="T20" s="88">
        <f t="shared" si="0"/>
        <v>1.4802832881596754E-2</v>
      </c>
      <c r="U20" s="88">
        <f>R20/'סכום נכסי הקרן'!$C$42</f>
        <v>3.7436851183004951E-4</v>
      </c>
    </row>
    <row r="21" spans="2:61">
      <c r="B21" s="86" t="s">
        <v>312</v>
      </c>
      <c r="C21" s="80" t="s">
        <v>313</v>
      </c>
      <c r="D21" s="93" t="s">
        <v>122</v>
      </c>
      <c r="E21" s="93" t="s">
        <v>290</v>
      </c>
      <c r="F21" s="80" t="s">
        <v>311</v>
      </c>
      <c r="G21" s="93" t="s">
        <v>298</v>
      </c>
      <c r="H21" s="80" t="s">
        <v>306</v>
      </c>
      <c r="I21" s="80" t="s">
        <v>162</v>
      </c>
      <c r="J21" s="80"/>
      <c r="K21" s="87">
        <v>5.3899999999980297</v>
      </c>
      <c r="L21" s="93" t="s">
        <v>166</v>
      </c>
      <c r="M21" s="94">
        <v>8.3000000000000001E-3</v>
      </c>
      <c r="N21" s="94">
        <v>-3.1000000000068507E-3</v>
      </c>
      <c r="O21" s="87">
        <v>434840.16213999991</v>
      </c>
      <c r="P21" s="89">
        <v>107.42</v>
      </c>
      <c r="Q21" s="80"/>
      <c r="R21" s="87">
        <v>467.10531722800005</v>
      </c>
      <c r="S21" s="88">
        <v>3.3814176235837535E-4</v>
      </c>
      <c r="T21" s="88">
        <f t="shared" si="0"/>
        <v>5.0810995599370624E-3</v>
      </c>
      <c r="U21" s="88">
        <f>R21/'סכום נכסי הקרן'!$C$42</f>
        <v>1.2850267890809089E-4</v>
      </c>
    </row>
    <row r="22" spans="2:61">
      <c r="B22" s="86" t="s">
        <v>314</v>
      </c>
      <c r="C22" s="80" t="s">
        <v>315</v>
      </c>
      <c r="D22" s="93" t="s">
        <v>122</v>
      </c>
      <c r="E22" s="93" t="s">
        <v>290</v>
      </c>
      <c r="F22" s="80" t="s">
        <v>316</v>
      </c>
      <c r="G22" s="93" t="s">
        <v>298</v>
      </c>
      <c r="H22" s="80" t="s">
        <v>306</v>
      </c>
      <c r="I22" s="80" t="s">
        <v>162</v>
      </c>
      <c r="J22" s="80"/>
      <c r="K22" s="87">
        <v>1.2000000000021516</v>
      </c>
      <c r="L22" s="93" t="s">
        <v>166</v>
      </c>
      <c r="M22" s="94">
        <v>4.0999999999999995E-3</v>
      </c>
      <c r="N22" s="94">
        <v>-2.6999999999537433E-3</v>
      </c>
      <c r="O22" s="87">
        <v>91819.865244999994</v>
      </c>
      <c r="P22" s="89">
        <v>101.24</v>
      </c>
      <c r="Q22" s="80"/>
      <c r="R22" s="87">
        <v>92.958435409000003</v>
      </c>
      <c r="S22" s="88">
        <v>1.1171124804663495E-4</v>
      </c>
      <c r="T22" s="88">
        <f t="shared" si="0"/>
        <v>1.0111875155952399E-3</v>
      </c>
      <c r="U22" s="88">
        <f>R22/'סכום נכסי הקרן'!$C$42</f>
        <v>2.5573264821840015E-5</v>
      </c>
    </row>
    <row r="23" spans="2:61">
      <c r="B23" s="86" t="s">
        <v>317</v>
      </c>
      <c r="C23" s="80" t="s">
        <v>318</v>
      </c>
      <c r="D23" s="93" t="s">
        <v>122</v>
      </c>
      <c r="E23" s="93" t="s">
        <v>290</v>
      </c>
      <c r="F23" s="80" t="s">
        <v>316</v>
      </c>
      <c r="G23" s="93" t="s">
        <v>298</v>
      </c>
      <c r="H23" s="80" t="s">
        <v>306</v>
      </c>
      <c r="I23" s="80" t="s">
        <v>162</v>
      </c>
      <c r="J23" s="80"/>
      <c r="K23" s="87">
        <v>8.999999999998963E-2</v>
      </c>
      <c r="L23" s="93" t="s">
        <v>166</v>
      </c>
      <c r="M23" s="94">
        <v>6.4000000000000003E-3</v>
      </c>
      <c r="N23" s="94">
        <v>8.300000000001348E-3</v>
      </c>
      <c r="O23" s="87">
        <v>952805.18502900004</v>
      </c>
      <c r="P23" s="89">
        <v>101.16</v>
      </c>
      <c r="Q23" s="80"/>
      <c r="R23" s="87">
        <v>963.85767848899991</v>
      </c>
      <c r="S23" s="88">
        <v>3.0246871444480249E-4</v>
      </c>
      <c r="T23" s="88">
        <f t="shared" si="0"/>
        <v>1.0484695089912465E-2</v>
      </c>
      <c r="U23" s="88">
        <f>R23/'סכום נכסי הקרן'!$C$42</f>
        <v>2.6516138695872101E-4</v>
      </c>
    </row>
    <row r="24" spans="2:61">
      <c r="B24" s="86" t="s">
        <v>319</v>
      </c>
      <c r="C24" s="80" t="s">
        <v>320</v>
      </c>
      <c r="D24" s="93" t="s">
        <v>122</v>
      </c>
      <c r="E24" s="93" t="s">
        <v>290</v>
      </c>
      <c r="F24" s="80" t="s">
        <v>316</v>
      </c>
      <c r="G24" s="93" t="s">
        <v>298</v>
      </c>
      <c r="H24" s="80" t="s">
        <v>306</v>
      </c>
      <c r="I24" s="80" t="s">
        <v>162</v>
      </c>
      <c r="J24" s="80"/>
      <c r="K24" s="87">
        <v>1.5499999999999277</v>
      </c>
      <c r="L24" s="93" t="s">
        <v>166</v>
      </c>
      <c r="M24" s="94">
        <v>0.04</v>
      </c>
      <c r="N24" s="94">
        <v>-5.2999999999995672E-3</v>
      </c>
      <c r="O24" s="87">
        <v>623091.54892099998</v>
      </c>
      <c r="P24" s="89">
        <v>111.19</v>
      </c>
      <c r="Q24" s="80"/>
      <c r="R24" s="87">
        <v>692.81550645100003</v>
      </c>
      <c r="S24" s="88">
        <v>3.0076398705263706E-4</v>
      </c>
      <c r="T24" s="88">
        <f t="shared" si="0"/>
        <v>7.5363401680727674E-3</v>
      </c>
      <c r="U24" s="88">
        <f>R24/'סכום נכסי הקרן'!$C$42</f>
        <v>1.9059652135058701E-4</v>
      </c>
    </row>
    <row r="25" spans="2:61">
      <c r="B25" s="86" t="s">
        <v>321</v>
      </c>
      <c r="C25" s="80" t="s">
        <v>322</v>
      </c>
      <c r="D25" s="93" t="s">
        <v>122</v>
      </c>
      <c r="E25" s="93" t="s">
        <v>290</v>
      </c>
      <c r="F25" s="80" t="s">
        <v>316</v>
      </c>
      <c r="G25" s="93" t="s">
        <v>298</v>
      </c>
      <c r="H25" s="80" t="s">
        <v>306</v>
      </c>
      <c r="I25" s="80" t="s">
        <v>162</v>
      </c>
      <c r="J25" s="80"/>
      <c r="K25" s="87">
        <v>2.7099999999993836</v>
      </c>
      <c r="L25" s="93" t="s">
        <v>166</v>
      </c>
      <c r="M25" s="94">
        <v>9.8999999999999991E-3</v>
      </c>
      <c r="N25" s="94">
        <v>-3.9999999999978733E-3</v>
      </c>
      <c r="O25" s="87">
        <v>890344.41056700004</v>
      </c>
      <c r="P25" s="89">
        <v>105.64</v>
      </c>
      <c r="Q25" s="80"/>
      <c r="R25" s="87">
        <v>940.55983659800006</v>
      </c>
      <c r="S25" s="88">
        <v>2.9541527302302621E-4</v>
      </c>
      <c r="T25" s="88">
        <f t="shared" si="0"/>
        <v>1.0231264761004303E-2</v>
      </c>
      <c r="U25" s="88">
        <f>R25/'סכום נכסי הקרן'!$C$42</f>
        <v>2.5875205059419984E-4</v>
      </c>
    </row>
    <row r="26" spans="2:61">
      <c r="B26" s="86" t="s">
        <v>323</v>
      </c>
      <c r="C26" s="80" t="s">
        <v>324</v>
      </c>
      <c r="D26" s="93" t="s">
        <v>122</v>
      </c>
      <c r="E26" s="93" t="s">
        <v>290</v>
      </c>
      <c r="F26" s="80" t="s">
        <v>316</v>
      </c>
      <c r="G26" s="93" t="s">
        <v>298</v>
      </c>
      <c r="H26" s="80" t="s">
        <v>306</v>
      </c>
      <c r="I26" s="80" t="s">
        <v>162</v>
      </c>
      <c r="J26" s="80"/>
      <c r="K26" s="87">
        <v>4.6699999999986197</v>
      </c>
      <c r="L26" s="93" t="s">
        <v>166</v>
      </c>
      <c r="M26" s="94">
        <v>8.6E-3</v>
      </c>
      <c r="N26" s="94">
        <v>-2.4999999999971005E-3</v>
      </c>
      <c r="O26" s="87">
        <v>804222.40769799997</v>
      </c>
      <c r="P26" s="89">
        <v>107.21</v>
      </c>
      <c r="Q26" s="80"/>
      <c r="R26" s="87">
        <v>862.20680125699994</v>
      </c>
      <c r="S26" s="88">
        <v>3.2151521625633508E-4</v>
      </c>
      <c r="T26" s="88">
        <f t="shared" si="0"/>
        <v>9.3789525335317113E-3</v>
      </c>
      <c r="U26" s="88">
        <f>R26/'סכום נכסי הקרן'!$C$42</f>
        <v>2.3719679405880006E-4</v>
      </c>
    </row>
    <row r="27" spans="2:61">
      <c r="B27" s="86" t="s">
        <v>325</v>
      </c>
      <c r="C27" s="80" t="s">
        <v>326</v>
      </c>
      <c r="D27" s="93" t="s">
        <v>122</v>
      </c>
      <c r="E27" s="93" t="s">
        <v>290</v>
      </c>
      <c r="F27" s="80" t="s">
        <v>316</v>
      </c>
      <c r="G27" s="93" t="s">
        <v>298</v>
      </c>
      <c r="H27" s="80" t="s">
        <v>306</v>
      </c>
      <c r="I27" s="80" t="s">
        <v>162</v>
      </c>
      <c r="J27" s="80"/>
      <c r="K27" s="87">
        <v>7.4300000000284481</v>
      </c>
      <c r="L27" s="93" t="s">
        <v>166</v>
      </c>
      <c r="M27" s="94">
        <v>1.2199999999999999E-2</v>
      </c>
      <c r="N27" s="94">
        <v>-1.0000000009482708E-4</v>
      </c>
      <c r="O27" s="87">
        <v>28348.15</v>
      </c>
      <c r="P27" s="89">
        <v>111.6</v>
      </c>
      <c r="Q27" s="80"/>
      <c r="R27" s="87">
        <v>31.636535569999999</v>
      </c>
      <c r="S27" s="88">
        <v>3.5364105647648232E-5</v>
      </c>
      <c r="T27" s="88">
        <f t="shared" si="0"/>
        <v>3.4413735197151888E-4</v>
      </c>
      <c r="U27" s="88">
        <f>R27/'סכום נכסי הקרן'!$C$42</f>
        <v>8.7033468088990794E-6</v>
      </c>
    </row>
    <row r="28" spans="2:61">
      <c r="B28" s="86" t="s">
        <v>327</v>
      </c>
      <c r="C28" s="80" t="s">
        <v>328</v>
      </c>
      <c r="D28" s="93" t="s">
        <v>122</v>
      </c>
      <c r="E28" s="93" t="s">
        <v>290</v>
      </c>
      <c r="F28" s="80" t="s">
        <v>316</v>
      </c>
      <c r="G28" s="93" t="s">
        <v>298</v>
      </c>
      <c r="H28" s="80" t="s">
        <v>306</v>
      </c>
      <c r="I28" s="80" t="s">
        <v>162</v>
      </c>
      <c r="J28" s="80"/>
      <c r="K28" s="87">
        <v>6.3999999999989639</v>
      </c>
      <c r="L28" s="93" t="s">
        <v>166</v>
      </c>
      <c r="M28" s="94">
        <v>3.8E-3</v>
      </c>
      <c r="N28" s="94">
        <v>-1.2999999999983598E-3</v>
      </c>
      <c r="O28" s="87">
        <v>1128510.5565220001</v>
      </c>
      <c r="P28" s="89">
        <v>102.63</v>
      </c>
      <c r="Q28" s="80"/>
      <c r="R28" s="87">
        <v>1158.1904050630001</v>
      </c>
      <c r="S28" s="88">
        <v>3.761701855073334E-4</v>
      </c>
      <c r="T28" s="88">
        <f t="shared" si="0"/>
        <v>1.2598616501332724E-2</v>
      </c>
      <c r="U28" s="88">
        <f>R28/'סכום נכסי הקרן'!$C$42</f>
        <v>3.1862315466555979E-4</v>
      </c>
    </row>
    <row r="29" spans="2:61">
      <c r="B29" s="86" t="s">
        <v>329</v>
      </c>
      <c r="C29" s="80" t="s">
        <v>330</v>
      </c>
      <c r="D29" s="93" t="s">
        <v>122</v>
      </c>
      <c r="E29" s="93" t="s">
        <v>290</v>
      </c>
      <c r="F29" s="80" t="s">
        <v>316</v>
      </c>
      <c r="G29" s="93" t="s">
        <v>298</v>
      </c>
      <c r="H29" s="80" t="s">
        <v>306</v>
      </c>
      <c r="I29" s="80" t="s">
        <v>162</v>
      </c>
      <c r="J29" s="80"/>
      <c r="K29" s="87">
        <v>3.8199999999954657</v>
      </c>
      <c r="L29" s="93" t="s">
        <v>166</v>
      </c>
      <c r="M29" s="94">
        <v>1E-3</v>
      </c>
      <c r="N29" s="94">
        <v>-3.1999999999837241E-3</v>
      </c>
      <c r="O29" s="87">
        <v>338585.42488300003</v>
      </c>
      <c r="P29" s="89">
        <v>101.62</v>
      </c>
      <c r="Q29" s="80"/>
      <c r="R29" s="87">
        <v>344.07051630800004</v>
      </c>
      <c r="S29" s="88">
        <v>1.3309008097500346E-4</v>
      </c>
      <c r="T29" s="88">
        <f t="shared" si="0"/>
        <v>3.7427459815160928E-3</v>
      </c>
      <c r="U29" s="88">
        <f>R29/'סכום נכסי הקרן'!$C$42</f>
        <v>9.4655276761250345E-5</v>
      </c>
    </row>
    <row r="30" spans="2:61">
      <c r="B30" s="86" t="s">
        <v>331</v>
      </c>
      <c r="C30" s="80" t="s">
        <v>332</v>
      </c>
      <c r="D30" s="93" t="s">
        <v>122</v>
      </c>
      <c r="E30" s="93" t="s">
        <v>290</v>
      </c>
      <c r="F30" s="80" t="s">
        <v>316</v>
      </c>
      <c r="G30" s="93" t="s">
        <v>298</v>
      </c>
      <c r="H30" s="80" t="s">
        <v>306</v>
      </c>
      <c r="I30" s="80" t="s">
        <v>162</v>
      </c>
      <c r="J30" s="80"/>
      <c r="K30" s="87">
        <v>10.259999999987148</v>
      </c>
      <c r="L30" s="93" t="s">
        <v>166</v>
      </c>
      <c r="M30" s="94">
        <v>3.0000000000000001E-3</v>
      </c>
      <c r="N30" s="94">
        <v>3.5000000000153008E-3</v>
      </c>
      <c r="O30" s="87">
        <v>226147.44600000003</v>
      </c>
      <c r="P30" s="89">
        <v>101.15</v>
      </c>
      <c r="Q30" s="80"/>
      <c r="R30" s="87">
        <v>228.748145819</v>
      </c>
      <c r="S30" s="88">
        <v>3.2218086211244191E-4</v>
      </c>
      <c r="T30" s="88">
        <f t="shared" si="0"/>
        <v>2.4882870311878943E-3</v>
      </c>
      <c r="U30" s="88">
        <f>R30/'סכום נכסי הקרן'!$C$42</f>
        <v>6.2929597349567658E-5</v>
      </c>
    </row>
    <row r="31" spans="2:61">
      <c r="B31" s="86" t="s">
        <v>333</v>
      </c>
      <c r="C31" s="80" t="s">
        <v>334</v>
      </c>
      <c r="D31" s="93" t="s">
        <v>122</v>
      </c>
      <c r="E31" s="93" t="s">
        <v>290</v>
      </c>
      <c r="F31" s="80" t="s">
        <v>335</v>
      </c>
      <c r="G31" s="93" t="s">
        <v>158</v>
      </c>
      <c r="H31" s="80" t="s">
        <v>293</v>
      </c>
      <c r="I31" s="80" t="s">
        <v>294</v>
      </c>
      <c r="J31" s="80"/>
      <c r="K31" s="87">
        <v>15.560000000013838</v>
      </c>
      <c r="L31" s="93" t="s">
        <v>166</v>
      </c>
      <c r="M31" s="94">
        <v>2.07E-2</v>
      </c>
      <c r="N31" s="94">
        <v>9.7000000000165894E-3</v>
      </c>
      <c r="O31" s="87">
        <v>299187.31212999998</v>
      </c>
      <c r="P31" s="89">
        <v>116.87</v>
      </c>
      <c r="Q31" s="80"/>
      <c r="R31" s="87">
        <v>349.66021168599997</v>
      </c>
      <c r="S31" s="88">
        <v>4.4654822705970145E-4</v>
      </c>
      <c r="T31" s="88">
        <f t="shared" si="0"/>
        <v>3.8035498252699724E-3</v>
      </c>
      <c r="U31" s="88">
        <f>R31/'סכום נכסי הקרן'!$C$42</f>
        <v>9.619302596653836E-5</v>
      </c>
    </row>
    <row r="32" spans="2:61">
      <c r="B32" s="86" t="s">
        <v>336</v>
      </c>
      <c r="C32" s="80" t="s">
        <v>337</v>
      </c>
      <c r="D32" s="93" t="s">
        <v>122</v>
      </c>
      <c r="E32" s="93" t="s">
        <v>290</v>
      </c>
      <c r="F32" s="80" t="s">
        <v>338</v>
      </c>
      <c r="G32" s="93" t="s">
        <v>298</v>
      </c>
      <c r="H32" s="80" t="s">
        <v>306</v>
      </c>
      <c r="I32" s="80" t="s">
        <v>162</v>
      </c>
      <c r="J32" s="80"/>
      <c r="K32" s="87">
        <v>2.4600000000001261</v>
      </c>
      <c r="L32" s="93" t="s">
        <v>166</v>
      </c>
      <c r="M32" s="94">
        <v>0.05</v>
      </c>
      <c r="N32" s="94">
        <v>-4.0999999999967052E-3</v>
      </c>
      <c r="O32" s="87">
        <v>1182157.812625</v>
      </c>
      <c r="P32" s="89">
        <v>120.68</v>
      </c>
      <c r="Q32" s="80"/>
      <c r="R32" s="87">
        <v>1426.628050367</v>
      </c>
      <c r="S32" s="88">
        <v>3.7509683555881176E-4</v>
      </c>
      <c r="T32" s="88">
        <f t="shared" si="0"/>
        <v>1.5518639783274791E-2</v>
      </c>
      <c r="U32" s="88">
        <f>R32/'סכום נכסי הקרן'!$C$42</f>
        <v>3.9247150378316674E-4</v>
      </c>
    </row>
    <row r="33" spans="2:21">
      <c r="B33" s="86" t="s">
        <v>339</v>
      </c>
      <c r="C33" s="80" t="s">
        <v>340</v>
      </c>
      <c r="D33" s="93" t="s">
        <v>122</v>
      </c>
      <c r="E33" s="93" t="s">
        <v>290</v>
      </c>
      <c r="F33" s="80" t="s">
        <v>338</v>
      </c>
      <c r="G33" s="93" t="s">
        <v>298</v>
      </c>
      <c r="H33" s="80" t="s">
        <v>306</v>
      </c>
      <c r="I33" s="80" t="s">
        <v>162</v>
      </c>
      <c r="J33" s="80"/>
      <c r="K33" s="87">
        <v>0.70999999999334518</v>
      </c>
      <c r="L33" s="93" t="s">
        <v>166</v>
      </c>
      <c r="M33" s="94">
        <v>1.6E-2</v>
      </c>
      <c r="N33" s="94">
        <v>-1.4000000001572932E-3</v>
      </c>
      <c r="O33" s="87">
        <v>32411.079656000002</v>
      </c>
      <c r="P33" s="89">
        <v>102</v>
      </c>
      <c r="Q33" s="80"/>
      <c r="R33" s="87">
        <v>33.059301182000006</v>
      </c>
      <c r="S33" s="88">
        <v>3.087926637148564E-5</v>
      </c>
      <c r="T33" s="88">
        <f t="shared" si="0"/>
        <v>3.5961397674626563E-4</v>
      </c>
      <c r="U33" s="88">
        <f>R33/'סכום נכסי הקרן'!$C$42</f>
        <v>9.0947557392989639E-6</v>
      </c>
    </row>
    <row r="34" spans="2:21">
      <c r="B34" s="86" t="s">
        <v>341</v>
      </c>
      <c r="C34" s="80" t="s">
        <v>342</v>
      </c>
      <c r="D34" s="93" t="s">
        <v>122</v>
      </c>
      <c r="E34" s="93" t="s">
        <v>290</v>
      </c>
      <c r="F34" s="80" t="s">
        <v>338</v>
      </c>
      <c r="G34" s="93" t="s">
        <v>298</v>
      </c>
      <c r="H34" s="80" t="s">
        <v>306</v>
      </c>
      <c r="I34" s="80" t="s">
        <v>162</v>
      </c>
      <c r="J34" s="80"/>
      <c r="K34" s="87">
        <v>1.7299999999997047</v>
      </c>
      <c r="L34" s="93" t="s">
        <v>166</v>
      </c>
      <c r="M34" s="94">
        <v>6.9999999999999993E-3</v>
      </c>
      <c r="N34" s="94">
        <v>-2.9000000000009847E-3</v>
      </c>
      <c r="O34" s="87">
        <v>485921.93286499998</v>
      </c>
      <c r="P34" s="89">
        <v>104.53</v>
      </c>
      <c r="Q34" s="80"/>
      <c r="R34" s="87">
        <v>507.934202255</v>
      </c>
      <c r="S34" s="88">
        <v>1.708956357242368E-4</v>
      </c>
      <c r="T34" s="88">
        <f t="shared" si="0"/>
        <v>5.5252298707940224E-3</v>
      </c>
      <c r="U34" s="88">
        <f>R34/'סכום נכסי הקרן'!$C$42</f>
        <v>1.3973488053220341E-4</v>
      </c>
    </row>
    <row r="35" spans="2:21">
      <c r="B35" s="86" t="s">
        <v>343</v>
      </c>
      <c r="C35" s="80" t="s">
        <v>344</v>
      </c>
      <c r="D35" s="93" t="s">
        <v>122</v>
      </c>
      <c r="E35" s="93" t="s">
        <v>290</v>
      </c>
      <c r="F35" s="80" t="s">
        <v>338</v>
      </c>
      <c r="G35" s="93" t="s">
        <v>298</v>
      </c>
      <c r="H35" s="80" t="s">
        <v>306</v>
      </c>
      <c r="I35" s="80" t="s">
        <v>162</v>
      </c>
      <c r="J35" s="80"/>
      <c r="K35" s="87">
        <v>4.309999999999917</v>
      </c>
      <c r="L35" s="93" t="s">
        <v>166</v>
      </c>
      <c r="M35" s="94">
        <v>6.0000000000000001E-3</v>
      </c>
      <c r="N35" s="94">
        <v>-2.9999999999916972E-3</v>
      </c>
      <c r="O35" s="87">
        <v>568524.67974000005</v>
      </c>
      <c r="P35" s="89">
        <v>105.92</v>
      </c>
      <c r="Q35" s="80"/>
      <c r="R35" s="87">
        <v>602.18131295499995</v>
      </c>
      <c r="S35" s="88">
        <v>2.8401659451159886E-4</v>
      </c>
      <c r="T35" s="88">
        <f t="shared" si="0"/>
        <v>6.5504353973441778E-3</v>
      </c>
      <c r="U35" s="88">
        <f>R35/'סכום נכסי הקרן'!$C$42</f>
        <v>1.6566266546124084E-4</v>
      </c>
    </row>
    <row r="36" spans="2:21">
      <c r="B36" s="86" t="s">
        <v>345</v>
      </c>
      <c r="C36" s="80" t="s">
        <v>346</v>
      </c>
      <c r="D36" s="93" t="s">
        <v>122</v>
      </c>
      <c r="E36" s="93" t="s">
        <v>290</v>
      </c>
      <c r="F36" s="80" t="s">
        <v>338</v>
      </c>
      <c r="G36" s="93" t="s">
        <v>298</v>
      </c>
      <c r="H36" s="80" t="s">
        <v>306</v>
      </c>
      <c r="I36" s="80" t="s">
        <v>162</v>
      </c>
      <c r="J36" s="80"/>
      <c r="K36" s="87">
        <v>5.7900000000006191</v>
      </c>
      <c r="L36" s="93" t="s">
        <v>166</v>
      </c>
      <c r="M36" s="94">
        <v>1.7500000000000002E-2</v>
      </c>
      <c r="N36" s="94">
        <v>-2.6000000000032247E-3</v>
      </c>
      <c r="O36" s="87">
        <v>1327051.9567710001</v>
      </c>
      <c r="P36" s="89">
        <v>112.19</v>
      </c>
      <c r="Q36" s="80"/>
      <c r="R36" s="87">
        <v>1488.8196092519997</v>
      </c>
      <c r="S36" s="88">
        <v>3.346590640602634E-4</v>
      </c>
      <c r="T36" s="88">
        <f t="shared" si="0"/>
        <v>1.6195149963800368E-2</v>
      </c>
      <c r="U36" s="88">
        <f>R36/'סכום נכסי הקרן'!$C$42</f>
        <v>4.0958066873470134E-4</v>
      </c>
    </row>
    <row r="37" spans="2:21">
      <c r="B37" s="86" t="s">
        <v>347</v>
      </c>
      <c r="C37" s="80" t="s">
        <v>348</v>
      </c>
      <c r="D37" s="93" t="s">
        <v>122</v>
      </c>
      <c r="E37" s="93" t="s">
        <v>290</v>
      </c>
      <c r="F37" s="80" t="s">
        <v>305</v>
      </c>
      <c r="G37" s="93" t="s">
        <v>298</v>
      </c>
      <c r="H37" s="80" t="s">
        <v>349</v>
      </c>
      <c r="I37" s="80" t="s">
        <v>162</v>
      </c>
      <c r="J37" s="80"/>
      <c r="K37" s="87">
        <v>0.57000000000164686</v>
      </c>
      <c r="L37" s="93" t="s">
        <v>166</v>
      </c>
      <c r="M37" s="94">
        <v>3.1E-2</v>
      </c>
      <c r="N37" s="94">
        <v>3.7999999999920485E-3</v>
      </c>
      <c r="O37" s="87">
        <v>158275.36601100001</v>
      </c>
      <c r="P37" s="89">
        <v>111.25</v>
      </c>
      <c r="Q37" s="80"/>
      <c r="R37" s="87">
        <v>176.08134790300002</v>
      </c>
      <c r="S37" s="88">
        <v>4.6005626759560369E-4</v>
      </c>
      <c r="T37" s="88">
        <f t="shared" si="0"/>
        <v>1.915385730679555E-3</v>
      </c>
      <c r="U37" s="88">
        <f>R37/'סכום נכסי הקרן'!$C$42</f>
        <v>4.8440735047849102E-5</v>
      </c>
    </row>
    <row r="38" spans="2:21">
      <c r="B38" s="86" t="s">
        <v>350</v>
      </c>
      <c r="C38" s="80" t="s">
        <v>351</v>
      </c>
      <c r="D38" s="93" t="s">
        <v>122</v>
      </c>
      <c r="E38" s="93" t="s">
        <v>290</v>
      </c>
      <c r="F38" s="80" t="s">
        <v>305</v>
      </c>
      <c r="G38" s="93" t="s">
        <v>298</v>
      </c>
      <c r="H38" s="80" t="s">
        <v>349</v>
      </c>
      <c r="I38" s="80" t="s">
        <v>162</v>
      </c>
      <c r="J38" s="80"/>
      <c r="K38" s="87">
        <v>0.7099999999974177</v>
      </c>
      <c r="L38" s="93" t="s">
        <v>166</v>
      </c>
      <c r="M38" s="94">
        <v>4.2000000000000003E-2</v>
      </c>
      <c r="N38" s="94">
        <v>6.3999999995524104E-3</v>
      </c>
      <c r="O38" s="87">
        <v>9175.3367120000003</v>
      </c>
      <c r="P38" s="89">
        <v>126.62</v>
      </c>
      <c r="Q38" s="80"/>
      <c r="R38" s="87">
        <v>11.617810793</v>
      </c>
      <c r="S38" s="88">
        <v>1.7588729655331059E-4</v>
      </c>
      <c r="T38" s="88">
        <f t="shared" si="0"/>
        <v>1.2637675301591664E-4</v>
      </c>
      <c r="U38" s="88">
        <f>R38/'סכום נכסי הקרן'!$C$42</f>
        <v>3.196109645694996E-6</v>
      </c>
    </row>
    <row r="39" spans="2:21">
      <c r="B39" s="86" t="s">
        <v>352</v>
      </c>
      <c r="C39" s="80" t="s">
        <v>353</v>
      </c>
      <c r="D39" s="93" t="s">
        <v>122</v>
      </c>
      <c r="E39" s="93" t="s">
        <v>290</v>
      </c>
      <c r="F39" s="80" t="s">
        <v>354</v>
      </c>
      <c r="G39" s="93" t="s">
        <v>298</v>
      </c>
      <c r="H39" s="80" t="s">
        <v>349</v>
      </c>
      <c r="I39" s="80" t="s">
        <v>162</v>
      </c>
      <c r="J39" s="80"/>
      <c r="K39" s="87">
        <v>1.4300000000012842</v>
      </c>
      <c r="L39" s="93" t="s">
        <v>166</v>
      </c>
      <c r="M39" s="94">
        <v>3.85E-2</v>
      </c>
      <c r="N39" s="94">
        <v>-1.5999999999565468E-3</v>
      </c>
      <c r="O39" s="87">
        <v>87988.730133999998</v>
      </c>
      <c r="P39" s="89">
        <v>115.08</v>
      </c>
      <c r="Q39" s="80"/>
      <c r="R39" s="87">
        <v>101.25743410899997</v>
      </c>
      <c r="S39" s="88">
        <v>2.7543840661637704E-4</v>
      </c>
      <c r="T39" s="88">
        <f t="shared" si="0"/>
        <v>1.1014627428025238E-3</v>
      </c>
      <c r="U39" s="88">
        <f>R39/'סכום נכסי הקרן'!$C$42</f>
        <v>2.7856355007011715E-5</v>
      </c>
    </row>
    <row r="40" spans="2:21">
      <c r="B40" s="86" t="s">
        <v>355</v>
      </c>
      <c r="C40" s="80" t="s">
        <v>356</v>
      </c>
      <c r="D40" s="93" t="s">
        <v>122</v>
      </c>
      <c r="E40" s="93" t="s">
        <v>290</v>
      </c>
      <c r="F40" s="80" t="s">
        <v>354</v>
      </c>
      <c r="G40" s="93" t="s">
        <v>298</v>
      </c>
      <c r="H40" s="80" t="s">
        <v>349</v>
      </c>
      <c r="I40" s="80" t="s">
        <v>162</v>
      </c>
      <c r="J40" s="80"/>
      <c r="K40" s="87">
        <v>1.8000000000026271</v>
      </c>
      <c r="L40" s="93" t="s">
        <v>166</v>
      </c>
      <c r="M40" s="94">
        <v>4.7500000000000001E-2</v>
      </c>
      <c r="N40" s="94">
        <v>-4.7000000000564793E-3</v>
      </c>
      <c r="O40" s="87">
        <v>58024.132137000001</v>
      </c>
      <c r="P40" s="89">
        <v>131.21</v>
      </c>
      <c r="Q40" s="80"/>
      <c r="R40" s="87">
        <v>76.133465031</v>
      </c>
      <c r="S40" s="88">
        <v>2.6655812219455153E-4</v>
      </c>
      <c r="T40" s="88">
        <f t="shared" si="0"/>
        <v>8.2816808415108552E-4</v>
      </c>
      <c r="U40" s="88">
        <f>R40/'סכום נכסי הקרן'!$C$42</f>
        <v>2.0944643210438085E-5</v>
      </c>
    </row>
    <row r="41" spans="2:21">
      <c r="B41" s="86" t="s">
        <v>357</v>
      </c>
      <c r="C41" s="80" t="s">
        <v>358</v>
      </c>
      <c r="D41" s="93" t="s">
        <v>122</v>
      </c>
      <c r="E41" s="93" t="s">
        <v>290</v>
      </c>
      <c r="F41" s="80" t="s">
        <v>359</v>
      </c>
      <c r="G41" s="93" t="s">
        <v>360</v>
      </c>
      <c r="H41" s="80" t="s">
        <v>361</v>
      </c>
      <c r="I41" s="80" t="s">
        <v>294</v>
      </c>
      <c r="J41" s="80"/>
      <c r="K41" s="87">
        <v>1.6400000000049204</v>
      </c>
      <c r="L41" s="93" t="s">
        <v>166</v>
      </c>
      <c r="M41" s="94">
        <v>3.6400000000000002E-2</v>
      </c>
      <c r="N41" s="94">
        <v>-6.0000000019682102E-4</v>
      </c>
      <c r="O41" s="87">
        <v>20702.583923999999</v>
      </c>
      <c r="P41" s="89">
        <v>117.8</v>
      </c>
      <c r="Q41" s="80"/>
      <c r="R41" s="87">
        <v>24.387644192</v>
      </c>
      <c r="S41" s="88">
        <v>3.7555707798639452E-4</v>
      </c>
      <c r="T41" s="88">
        <f t="shared" si="0"/>
        <v>2.6528503016673617E-4</v>
      </c>
      <c r="U41" s="88">
        <f>R41/'סכום נכסי הקרן'!$C$42</f>
        <v>6.7091456580436621E-6</v>
      </c>
    </row>
    <row r="42" spans="2:21">
      <c r="B42" s="86" t="s">
        <v>362</v>
      </c>
      <c r="C42" s="80" t="s">
        <v>363</v>
      </c>
      <c r="D42" s="93" t="s">
        <v>122</v>
      </c>
      <c r="E42" s="93" t="s">
        <v>290</v>
      </c>
      <c r="F42" s="80" t="s">
        <v>311</v>
      </c>
      <c r="G42" s="93" t="s">
        <v>298</v>
      </c>
      <c r="H42" s="80" t="s">
        <v>349</v>
      </c>
      <c r="I42" s="80" t="s">
        <v>162</v>
      </c>
      <c r="J42" s="80"/>
      <c r="K42" s="87">
        <v>0.85999999999947874</v>
      </c>
      <c r="L42" s="93" t="s">
        <v>166</v>
      </c>
      <c r="M42" s="94">
        <v>3.4000000000000002E-2</v>
      </c>
      <c r="N42" s="94">
        <v>-3.4000000000052131E-3</v>
      </c>
      <c r="O42" s="87">
        <v>178064.70991799998</v>
      </c>
      <c r="P42" s="89">
        <v>107.73</v>
      </c>
      <c r="Q42" s="80"/>
      <c r="R42" s="87">
        <v>191.82910343500001</v>
      </c>
      <c r="S42" s="88">
        <v>1.9921231203569211E-4</v>
      </c>
      <c r="T42" s="88">
        <f t="shared" si="0"/>
        <v>2.0866873852582049E-3</v>
      </c>
      <c r="U42" s="88">
        <f>R42/'סכום נכסי הקרן'!$C$42</f>
        <v>5.2773010228660086E-5</v>
      </c>
    </row>
    <row r="43" spans="2:21">
      <c r="B43" s="86" t="s">
        <v>364</v>
      </c>
      <c r="C43" s="80" t="s">
        <v>365</v>
      </c>
      <c r="D43" s="93" t="s">
        <v>122</v>
      </c>
      <c r="E43" s="93" t="s">
        <v>290</v>
      </c>
      <c r="F43" s="80" t="s">
        <v>366</v>
      </c>
      <c r="G43" s="93" t="s">
        <v>360</v>
      </c>
      <c r="H43" s="80" t="s">
        <v>349</v>
      </c>
      <c r="I43" s="80" t="s">
        <v>162</v>
      </c>
      <c r="J43" s="80"/>
      <c r="K43" s="87">
        <v>5.5300000000020448</v>
      </c>
      <c r="L43" s="93" t="s">
        <v>166</v>
      </c>
      <c r="M43" s="94">
        <v>8.3000000000000001E-3</v>
      </c>
      <c r="N43" s="94">
        <v>-3.8000000000047176E-3</v>
      </c>
      <c r="O43" s="87">
        <v>1172133.177833</v>
      </c>
      <c r="P43" s="89">
        <v>108.51</v>
      </c>
      <c r="Q43" s="80"/>
      <c r="R43" s="87">
        <v>1271.8817120799999</v>
      </c>
      <c r="S43" s="88">
        <v>7.6538875491732514E-4</v>
      </c>
      <c r="T43" s="88">
        <f t="shared" si="0"/>
        <v>1.3835332994908359E-2</v>
      </c>
      <c r="U43" s="88">
        <f>R43/'סכום נכסי הקרן'!$C$42</f>
        <v>3.4990012151095234E-4</v>
      </c>
    </row>
    <row r="44" spans="2:21">
      <c r="B44" s="86" t="s">
        <v>367</v>
      </c>
      <c r="C44" s="80" t="s">
        <v>368</v>
      </c>
      <c r="D44" s="93" t="s">
        <v>122</v>
      </c>
      <c r="E44" s="93" t="s">
        <v>290</v>
      </c>
      <c r="F44" s="80" t="s">
        <v>366</v>
      </c>
      <c r="G44" s="93" t="s">
        <v>360</v>
      </c>
      <c r="H44" s="80" t="s">
        <v>349</v>
      </c>
      <c r="I44" s="80" t="s">
        <v>162</v>
      </c>
      <c r="J44" s="80"/>
      <c r="K44" s="87">
        <v>9.3199999999964405</v>
      </c>
      <c r="L44" s="93" t="s">
        <v>166</v>
      </c>
      <c r="M44" s="94">
        <v>1.6500000000000001E-2</v>
      </c>
      <c r="N44" s="94">
        <v>3.7000000000030624E-3</v>
      </c>
      <c r="O44" s="87">
        <v>600155.67738999997</v>
      </c>
      <c r="P44" s="89">
        <v>114.26</v>
      </c>
      <c r="Q44" s="80"/>
      <c r="R44" s="87">
        <v>685.73787406700001</v>
      </c>
      <c r="S44" s="88">
        <v>4.11057086080423E-4</v>
      </c>
      <c r="T44" s="88">
        <f t="shared" si="0"/>
        <v>7.459350775177064E-3</v>
      </c>
      <c r="U44" s="88">
        <f>R44/'סכום נכסי הקרן'!$C$42</f>
        <v>1.8864943428450952E-4</v>
      </c>
    </row>
    <row r="45" spans="2:21">
      <c r="B45" s="86" t="s">
        <v>369</v>
      </c>
      <c r="C45" s="80" t="s">
        <v>370</v>
      </c>
      <c r="D45" s="93" t="s">
        <v>122</v>
      </c>
      <c r="E45" s="93" t="s">
        <v>290</v>
      </c>
      <c r="F45" s="80" t="s">
        <v>371</v>
      </c>
      <c r="G45" s="93" t="s">
        <v>158</v>
      </c>
      <c r="H45" s="80" t="s">
        <v>349</v>
      </c>
      <c r="I45" s="80" t="s">
        <v>162</v>
      </c>
      <c r="J45" s="80"/>
      <c r="K45" s="87">
        <v>9.2299999999612119</v>
      </c>
      <c r="L45" s="93" t="s">
        <v>166</v>
      </c>
      <c r="M45" s="94">
        <v>2.6499999999999999E-2</v>
      </c>
      <c r="N45" s="94">
        <v>3.1999999999891872E-3</v>
      </c>
      <c r="O45" s="87">
        <v>59298.819923999996</v>
      </c>
      <c r="P45" s="89">
        <v>124.78</v>
      </c>
      <c r="Q45" s="80"/>
      <c r="R45" s="87">
        <v>73.993067269000008</v>
      </c>
      <c r="S45" s="88">
        <v>5.0997161340031856E-5</v>
      </c>
      <c r="T45" s="88">
        <f t="shared" si="0"/>
        <v>8.0488516758929452E-4</v>
      </c>
      <c r="U45" s="88">
        <f>R45/'סכום נכסי הקרן'!$C$42</f>
        <v>2.0355810593463985E-5</v>
      </c>
    </row>
    <row r="46" spans="2:21">
      <c r="B46" s="86" t="s">
        <v>372</v>
      </c>
      <c r="C46" s="80" t="s">
        <v>373</v>
      </c>
      <c r="D46" s="93" t="s">
        <v>122</v>
      </c>
      <c r="E46" s="93" t="s">
        <v>290</v>
      </c>
      <c r="F46" s="80" t="s">
        <v>374</v>
      </c>
      <c r="G46" s="93" t="s">
        <v>360</v>
      </c>
      <c r="H46" s="80" t="s">
        <v>361</v>
      </c>
      <c r="I46" s="80" t="s">
        <v>294</v>
      </c>
      <c r="J46" s="80"/>
      <c r="K46" s="87">
        <v>2.740000000002115</v>
      </c>
      <c r="L46" s="93" t="s">
        <v>166</v>
      </c>
      <c r="M46" s="94">
        <v>6.5000000000000006E-3</v>
      </c>
      <c r="N46" s="94">
        <v>-2.8000000000086528E-3</v>
      </c>
      <c r="O46" s="87">
        <v>402564.08880899998</v>
      </c>
      <c r="P46" s="89">
        <v>103.35</v>
      </c>
      <c r="Q46" s="80"/>
      <c r="R46" s="87">
        <v>416.04997883799996</v>
      </c>
      <c r="S46" s="88">
        <v>4.4443821278499824E-4</v>
      </c>
      <c r="T46" s="88">
        <f t="shared" si="0"/>
        <v>4.5257274674818564E-3</v>
      </c>
      <c r="U46" s="88">
        <f>R46/'סכום נכסי הקרן'!$C$42</f>
        <v>1.1445713604292217E-4</v>
      </c>
    </row>
    <row r="47" spans="2:21">
      <c r="B47" s="86" t="s">
        <v>375</v>
      </c>
      <c r="C47" s="80" t="s">
        <v>376</v>
      </c>
      <c r="D47" s="93" t="s">
        <v>122</v>
      </c>
      <c r="E47" s="93" t="s">
        <v>290</v>
      </c>
      <c r="F47" s="80" t="s">
        <v>374</v>
      </c>
      <c r="G47" s="93" t="s">
        <v>360</v>
      </c>
      <c r="H47" s="80" t="s">
        <v>349</v>
      </c>
      <c r="I47" s="80" t="s">
        <v>162</v>
      </c>
      <c r="J47" s="80"/>
      <c r="K47" s="87">
        <v>5.4000000000005235</v>
      </c>
      <c r="L47" s="93" t="s">
        <v>166</v>
      </c>
      <c r="M47" s="94">
        <v>1.34E-2</v>
      </c>
      <c r="N47" s="94">
        <v>1.0000000000029416E-4</v>
      </c>
      <c r="O47" s="87">
        <v>2661609.6076990003</v>
      </c>
      <c r="P47" s="89">
        <v>109.39</v>
      </c>
      <c r="Q47" s="87">
        <v>148.20445683299999</v>
      </c>
      <c r="R47" s="87">
        <v>3059.7392066909997</v>
      </c>
      <c r="S47" s="88">
        <v>7.3039901095603552E-4</v>
      </c>
      <c r="T47" s="88">
        <f t="shared" si="0"/>
        <v>3.3283370929925005E-2</v>
      </c>
      <c r="U47" s="88">
        <f>R47/'סכום נכסי הקרן'!$C$42</f>
        <v>8.417473968252685E-4</v>
      </c>
    </row>
    <row r="48" spans="2:21">
      <c r="B48" s="86" t="s">
        <v>377</v>
      </c>
      <c r="C48" s="80" t="s">
        <v>378</v>
      </c>
      <c r="D48" s="93" t="s">
        <v>122</v>
      </c>
      <c r="E48" s="93" t="s">
        <v>290</v>
      </c>
      <c r="F48" s="80" t="s">
        <v>374</v>
      </c>
      <c r="G48" s="93" t="s">
        <v>360</v>
      </c>
      <c r="H48" s="80" t="s">
        <v>349</v>
      </c>
      <c r="I48" s="80" t="s">
        <v>162</v>
      </c>
      <c r="J48" s="80"/>
      <c r="K48" s="87">
        <v>6.270000000002061</v>
      </c>
      <c r="L48" s="93" t="s">
        <v>166</v>
      </c>
      <c r="M48" s="94">
        <v>1.77E-2</v>
      </c>
      <c r="N48" s="94">
        <v>2.6999999999984484E-3</v>
      </c>
      <c r="O48" s="87">
        <v>1225439.209603</v>
      </c>
      <c r="P48" s="89">
        <v>110.45</v>
      </c>
      <c r="Q48" s="80"/>
      <c r="R48" s="87">
        <v>1353.4976008230001</v>
      </c>
      <c r="S48" s="88">
        <v>5.0374226913668142E-4</v>
      </c>
      <c r="T48" s="88">
        <f t="shared" si="0"/>
        <v>1.4723138038184095E-2</v>
      </c>
      <c r="U48" s="88">
        <f>R48/'סכום נכסי הקרן'!$C$42</f>
        <v>3.7235300303064812E-4</v>
      </c>
    </row>
    <row r="49" spans="2:21">
      <c r="B49" s="86" t="s">
        <v>379</v>
      </c>
      <c r="C49" s="80" t="s">
        <v>380</v>
      </c>
      <c r="D49" s="93" t="s">
        <v>122</v>
      </c>
      <c r="E49" s="93" t="s">
        <v>290</v>
      </c>
      <c r="F49" s="80" t="s">
        <v>374</v>
      </c>
      <c r="G49" s="93" t="s">
        <v>360</v>
      </c>
      <c r="H49" s="80" t="s">
        <v>349</v>
      </c>
      <c r="I49" s="80" t="s">
        <v>162</v>
      </c>
      <c r="J49" s="80"/>
      <c r="K49" s="87">
        <v>9.6000000000033534</v>
      </c>
      <c r="L49" s="93" t="s">
        <v>166</v>
      </c>
      <c r="M49" s="94">
        <v>2.4799999999999999E-2</v>
      </c>
      <c r="N49" s="94">
        <v>7.8999999999966458E-3</v>
      </c>
      <c r="O49" s="87">
        <v>606765.93128100003</v>
      </c>
      <c r="P49" s="89">
        <v>117.95</v>
      </c>
      <c r="Q49" s="80"/>
      <c r="R49" s="87">
        <v>715.68041715600009</v>
      </c>
      <c r="S49" s="88">
        <v>5.0730307566079357E-4</v>
      </c>
      <c r="T49" s="88">
        <f t="shared" si="0"/>
        <v>7.7850611383469461E-3</v>
      </c>
      <c r="U49" s="88">
        <f>R49/'סכום נכסי הקרן'!$C$42</f>
        <v>1.9688675648647314E-4</v>
      </c>
    </row>
    <row r="50" spans="2:21">
      <c r="B50" s="86" t="s">
        <v>381</v>
      </c>
      <c r="C50" s="80" t="s">
        <v>382</v>
      </c>
      <c r="D50" s="93" t="s">
        <v>122</v>
      </c>
      <c r="E50" s="93" t="s">
        <v>290</v>
      </c>
      <c r="F50" s="80" t="s">
        <v>338</v>
      </c>
      <c r="G50" s="93" t="s">
        <v>298</v>
      </c>
      <c r="H50" s="80" t="s">
        <v>349</v>
      </c>
      <c r="I50" s="80" t="s">
        <v>162</v>
      </c>
      <c r="J50" s="80"/>
      <c r="K50" s="87">
        <v>2.3200000000037306</v>
      </c>
      <c r="L50" s="93" t="s">
        <v>166</v>
      </c>
      <c r="M50" s="94">
        <v>4.2000000000000003E-2</v>
      </c>
      <c r="N50" s="94">
        <v>-4.6999999999751286E-3</v>
      </c>
      <c r="O50" s="87">
        <v>137704.103841</v>
      </c>
      <c r="P50" s="89">
        <v>116.79</v>
      </c>
      <c r="Q50" s="80"/>
      <c r="R50" s="87">
        <v>160.82461971999999</v>
      </c>
      <c r="S50" s="88">
        <v>1.3801685002315248E-4</v>
      </c>
      <c r="T50" s="88">
        <f t="shared" si="0"/>
        <v>1.7494253958309542E-3</v>
      </c>
      <c r="U50" s="88">
        <f>R50/'סכום נכסי הקרן'!$C$42</f>
        <v>4.4243543599627771E-5</v>
      </c>
    </row>
    <row r="51" spans="2:21">
      <c r="B51" s="86" t="s">
        <v>383</v>
      </c>
      <c r="C51" s="80" t="s">
        <v>384</v>
      </c>
      <c r="D51" s="93" t="s">
        <v>122</v>
      </c>
      <c r="E51" s="93" t="s">
        <v>290</v>
      </c>
      <c r="F51" s="80" t="s">
        <v>338</v>
      </c>
      <c r="G51" s="93" t="s">
        <v>298</v>
      </c>
      <c r="H51" s="80" t="s">
        <v>349</v>
      </c>
      <c r="I51" s="80" t="s">
        <v>162</v>
      </c>
      <c r="J51" s="80"/>
      <c r="K51" s="87">
        <v>0.7299999999999025</v>
      </c>
      <c r="L51" s="93" t="s">
        <v>166</v>
      </c>
      <c r="M51" s="94">
        <v>4.0999999999999995E-2</v>
      </c>
      <c r="N51" s="94">
        <v>7.1999999999985383E-3</v>
      </c>
      <c r="O51" s="87">
        <v>637306.99867</v>
      </c>
      <c r="P51" s="89">
        <v>128.9</v>
      </c>
      <c r="Q51" s="80"/>
      <c r="R51" s="87">
        <v>821.48869039600004</v>
      </c>
      <c r="S51" s="88">
        <v>4.0899606825801807E-4</v>
      </c>
      <c r="T51" s="88">
        <f t="shared" si="0"/>
        <v>8.9360272069584998E-3</v>
      </c>
      <c r="U51" s="88">
        <f>R51/'סכום נכסי הקרן'!$C$42</f>
        <v>2.2599506688351055E-4</v>
      </c>
    </row>
    <row r="52" spans="2:21">
      <c r="B52" s="86" t="s">
        <v>385</v>
      </c>
      <c r="C52" s="80" t="s">
        <v>386</v>
      </c>
      <c r="D52" s="93" t="s">
        <v>122</v>
      </c>
      <c r="E52" s="93" t="s">
        <v>290</v>
      </c>
      <c r="F52" s="80" t="s">
        <v>338</v>
      </c>
      <c r="G52" s="93" t="s">
        <v>298</v>
      </c>
      <c r="H52" s="80" t="s">
        <v>349</v>
      </c>
      <c r="I52" s="80" t="s">
        <v>162</v>
      </c>
      <c r="J52" s="80"/>
      <c r="K52" s="87">
        <v>1.8900000000018253</v>
      </c>
      <c r="L52" s="93" t="s">
        <v>166</v>
      </c>
      <c r="M52" s="94">
        <v>0.04</v>
      </c>
      <c r="N52" s="94">
        <v>-5.0000000000083719E-3</v>
      </c>
      <c r="O52" s="87">
        <v>513649.307592</v>
      </c>
      <c r="P52" s="89">
        <v>116.27</v>
      </c>
      <c r="Q52" s="80"/>
      <c r="R52" s="87">
        <v>597.22004751899999</v>
      </c>
      <c r="S52" s="88">
        <v>2.3578131848457566E-4</v>
      </c>
      <c r="T52" s="88">
        <f t="shared" si="0"/>
        <v>6.4964675175238637E-3</v>
      </c>
      <c r="U52" s="88">
        <f>R52/'סכום נכסי הקרן'!$C$42</f>
        <v>1.6429780003199778E-4</v>
      </c>
    </row>
    <row r="53" spans="2:21">
      <c r="B53" s="86" t="s">
        <v>387</v>
      </c>
      <c r="C53" s="80" t="s">
        <v>388</v>
      </c>
      <c r="D53" s="93" t="s">
        <v>122</v>
      </c>
      <c r="E53" s="93" t="s">
        <v>290</v>
      </c>
      <c r="F53" s="80" t="s">
        <v>389</v>
      </c>
      <c r="G53" s="93" t="s">
        <v>360</v>
      </c>
      <c r="H53" s="80" t="s">
        <v>390</v>
      </c>
      <c r="I53" s="80" t="s">
        <v>294</v>
      </c>
      <c r="J53" s="80"/>
      <c r="K53" s="87">
        <v>4.540000000000469</v>
      </c>
      <c r="L53" s="93" t="s">
        <v>166</v>
      </c>
      <c r="M53" s="94">
        <v>2.3399999999999997E-2</v>
      </c>
      <c r="N53" s="94">
        <v>1.9999999999989093E-3</v>
      </c>
      <c r="O53" s="87">
        <v>1630100.567329</v>
      </c>
      <c r="P53" s="89">
        <v>112.48</v>
      </c>
      <c r="Q53" s="80"/>
      <c r="R53" s="87">
        <v>1833.5372277909999</v>
      </c>
      <c r="S53" s="88">
        <v>4.9289387677499896E-4</v>
      </c>
      <c r="T53" s="88">
        <f t="shared" si="0"/>
        <v>1.9944935023528378E-2</v>
      </c>
      <c r="U53" s="88">
        <f>R53/'סכום נכסי הקרן'!$C$42</f>
        <v>5.0441396609889489E-4</v>
      </c>
    </row>
    <row r="54" spans="2:21">
      <c r="B54" s="86" t="s">
        <v>391</v>
      </c>
      <c r="C54" s="80" t="s">
        <v>392</v>
      </c>
      <c r="D54" s="93" t="s">
        <v>122</v>
      </c>
      <c r="E54" s="93" t="s">
        <v>290</v>
      </c>
      <c r="F54" s="80" t="s">
        <v>389</v>
      </c>
      <c r="G54" s="93" t="s">
        <v>360</v>
      </c>
      <c r="H54" s="80" t="s">
        <v>390</v>
      </c>
      <c r="I54" s="80" t="s">
        <v>294</v>
      </c>
      <c r="J54" s="80"/>
      <c r="K54" s="87">
        <v>1.5900000000006678</v>
      </c>
      <c r="L54" s="93" t="s">
        <v>166</v>
      </c>
      <c r="M54" s="94">
        <v>0.03</v>
      </c>
      <c r="N54" s="94">
        <v>-4.7000000000131294E-3</v>
      </c>
      <c r="O54" s="87">
        <v>399319.50354000001</v>
      </c>
      <c r="P54" s="89">
        <v>108.72</v>
      </c>
      <c r="Q54" s="80"/>
      <c r="R54" s="87">
        <v>434.14018226899998</v>
      </c>
      <c r="S54" s="88">
        <v>9.4839596061289488E-4</v>
      </c>
      <c r="T54" s="88">
        <f t="shared" si="0"/>
        <v>4.7225099088334275E-3</v>
      </c>
      <c r="U54" s="88">
        <f>R54/'סכום נכסי הקרן'!$C$42</f>
        <v>1.1943382870116728E-4</v>
      </c>
    </row>
    <row r="55" spans="2:21">
      <c r="B55" s="86" t="s">
        <v>393</v>
      </c>
      <c r="C55" s="80" t="s">
        <v>394</v>
      </c>
      <c r="D55" s="93" t="s">
        <v>122</v>
      </c>
      <c r="E55" s="93" t="s">
        <v>290</v>
      </c>
      <c r="F55" s="80" t="s">
        <v>389</v>
      </c>
      <c r="G55" s="93" t="s">
        <v>360</v>
      </c>
      <c r="H55" s="80" t="s">
        <v>390</v>
      </c>
      <c r="I55" s="80" t="s">
        <v>294</v>
      </c>
      <c r="J55" s="80"/>
      <c r="K55" s="87">
        <v>8.4699999999966167</v>
      </c>
      <c r="L55" s="93" t="s">
        <v>166</v>
      </c>
      <c r="M55" s="94">
        <v>6.5000000000000006E-3</v>
      </c>
      <c r="N55" s="94">
        <v>6.8000000000016129E-3</v>
      </c>
      <c r="O55" s="87">
        <v>248602.86491999999</v>
      </c>
      <c r="P55" s="89">
        <v>99.89</v>
      </c>
      <c r="Q55" s="80"/>
      <c r="R55" s="87">
        <v>248.32941027200002</v>
      </c>
      <c r="S55" s="88">
        <v>8.286762164E-4</v>
      </c>
      <c r="T55" s="88">
        <f t="shared" si="0"/>
        <v>2.7012890042452577E-3</v>
      </c>
      <c r="U55" s="88">
        <f>R55/'סכום נכסי הקרן'!$C$42</f>
        <v>6.8316487298820925E-5</v>
      </c>
    </row>
    <row r="56" spans="2:21">
      <c r="B56" s="86" t="s">
        <v>395</v>
      </c>
      <c r="C56" s="80" t="s">
        <v>396</v>
      </c>
      <c r="D56" s="93" t="s">
        <v>122</v>
      </c>
      <c r="E56" s="93" t="s">
        <v>290</v>
      </c>
      <c r="F56" s="80" t="s">
        <v>397</v>
      </c>
      <c r="G56" s="93" t="s">
        <v>360</v>
      </c>
      <c r="H56" s="80" t="s">
        <v>398</v>
      </c>
      <c r="I56" s="80" t="s">
        <v>162</v>
      </c>
      <c r="J56" s="80"/>
      <c r="K56" s="87">
        <v>1.4799999999999709</v>
      </c>
      <c r="L56" s="93" t="s">
        <v>166</v>
      </c>
      <c r="M56" s="94">
        <v>4.8000000000000001E-2</v>
      </c>
      <c r="N56" s="94">
        <v>-5.2000000000002921E-3</v>
      </c>
      <c r="O56" s="87">
        <v>1211350.8283470001</v>
      </c>
      <c r="P56" s="89">
        <v>113.33</v>
      </c>
      <c r="Q56" s="80"/>
      <c r="R56" s="87">
        <v>1372.8239912229999</v>
      </c>
      <c r="S56" s="88">
        <v>9.899961934572276E-4</v>
      </c>
      <c r="T56" s="88">
        <f t="shared" si="0"/>
        <v>1.4933367530623545E-2</v>
      </c>
      <c r="U56" s="88">
        <f>R56/'סכום נכסי הקרן'!$C$42</f>
        <v>3.7766977603327992E-4</v>
      </c>
    </row>
    <row r="57" spans="2:21">
      <c r="B57" s="86" t="s">
        <v>399</v>
      </c>
      <c r="C57" s="80" t="s">
        <v>400</v>
      </c>
      <c r="D57" s="93" t="s">
        <v>122</v>
      </c>
      <c r="E57" s="93" t="s">
        <v>290</v>
      </c>
      <c r="F57" s="80" t="s">
        <v>397</v>
      </c>
      <c r="G57" s="93" t="s">
        <v>360</v>
      </c>
      <c r="H57" s="80" t="s">
        <v>398</v>
      </c>
      <c r="I57" s="80" t="s">
        <v>162</v>
      </c>
      <c r="J57" s="80"/>
      <c r="K57" s="87">
        <v>1</v>
      </c>
      <c r="L57" s="93" t="s">
        <v>166</v>
      </c>
      <c r="M57" s="94">
        <v>4.9000000000000002E-2</v>
      </c>
      <c r="N57" s="94">
        <v>-1.6999999999865465E-3</v>
      </c>
      <c r="O57" s="87">
        <v>77900.146133000002</v>
      </c>
      <c r="P57" s="89">
        <v>114.5</v>
      </c>
      <c r="Q57" s="80"/>
      <c r="R57" s="87">
        <v>89.195667535999988</v>
      </c>
      <c r="S57" s="88">
        <v>7.8645813833532429E-4</v>
      </c>
      <c r="T57" s="88">
        <f t="shared" si="0"/>
        <v>9.7025670732033974E-4</v>
      </c>
      <c r="U57" s="88">
        <f>R57/'סכום נכסי הקרן'!$C$42</f>
        <v>2.453811121952342E-5</v>
      </c>
    </row>
    <row r="58" spans="2:21">
      <c r="B58" s="86" t="s">
        <v>401</v>
      </c>
      <c r="C58" s="80" t="s">
        <v>402</v>
      </c>
      <c r="D58" s="93" t="s">
        <v>122</v>
      </c>
      <c r="E58" s="93" t="s">
        <v>290</v>
      </c>
      <c r="F58" s="80" t="s">
        <v>397</v>
      </c>
      <c r="G58" s="93" t="s">
        <v>360</v>
      </c>
      <c r="H58" s="80" t="s">
        <v>398</v>
      </c>
      <c r="I58" s="80" t="s">
        <v>162</v>
      </c>
      <c r="J58" s="80"/>
      <c r="K58" s="87">
        <v>5.3899999999999553</v>
      </c>
      <c r="L58" s="93" t="s">
        <v>166</v>
      </c>
      <c r="M58" s="94">
        <v>3.2000000000000001E-2</v>
      </c>
      <c r="N58" s="94">
        <v>1.0999999999972497E-3</v>
      </c>
      <c r="O58" s="87">
        <v>1303939.511286</v>
      </c>
      <c r="P58" s="89">
        <v>119.9</v>
      </c>
      <c r="Q58" s="80"/>
      <c r="R58" s="87">
        <v>1563.423554213</v>
      </c>
      <c r="S58" s="88">
        <v>7.9045032982585038E-4</v>
      </c>
      <c r="T58" s="88">
        <f t="shared" si="0"/>
        <v>1.7006680164656288E-2</v>
      </c>
      <c r="U58" s="88">
        <f>R58/'סכום נכסי הקרן'!$C$42</f>
        <v>4.3010453440485143E-4</v>
      </c>
    </row>
    <row r="59" spans="2:21">
      <c r="B59" s="86" t="s">
        <v>403</v>
      </c>
      <c r="C59" s="80" t="s">
        <v>404</v>
      </c>
      <c r="D59" s="93" t="s">
        <v>122</v>
      </c>
      <c r="E59" s="93" t="s">
        <v>290</v>
      </c>
      <c r="F59" s="80" t="s">
        <v>397</v>
      </c>
      <c r="G59" s="93" t="s">
        <v>360</v>
      </c>
      <c r="H59" s="80" t="s">
        <v>398</v>
      </c>
      <c r="I59" s="80" t="s">
        <v>162</v>
      </c>
      <c r="J59" s="80"/>
      <c r="K59" s="87">
        <v>7.8299999999989787</v>
      </c>
      <c r="L59" s="93" t="s">
        <v>166</v>
      </c>
      <c r="M59" s="94">
        <v>1.1399999999999999E-2</v>
      </c>
      <c r="N59" s="94">
        <v>6.3999999999968561E-3</v>
      </c>
      <c r="O59" s="87">
        <v>739066.53870599996</v>
      </c>
      <c r="P59" s="89">
        <v>103.28</v>
      </c>
      <c r="Q59" s="80"/>
      <c r="R59" s="87">
        <v>763.30792116599991</v>
      </c>
      <c r="S59" s="88">
        <v>7.3694120028437986E-4</v>
      </c>
      <c r="T59" s="88">
        <f t="shared" si="0"/>
        <v>8.3031457773791919E-3</v>
      </c>
      <c r="U59" s="88">
        <f>R59/'סכום נכסי הקרן'!$C$42</f>
        <v>2.0998928739173243E-4</v>
      </c>
    </row>
    <row r="60" spans="2:21">
      <c r="B60" s="86" t="s">
        <v>405</v>
      </c>
      <c r="C60" s="80" t="s">
        <v>406</v>
      </c>
      <c r="D60" s="93" t="s">
        <v>122</v>
      </c>
      <c r="E60" s="93" t="s">
        <v>290</v>
      </c>
      <c r="F60" s="80" t="s">
        <v>407</v>
      </c>
      <c r="G60" s="93" t="s">
        <v>360</v>
      </c>
      <c r="H60" s="80" t="s">
        <v>390</v>
      </c>
      <c r="I60" s="80" t="s">
        <v>294</v>
      </c>
      <c r="J60" s="80"/>
      <c r="K60" s="87">
        <v>6.2699999999953269</v>
      </c>
      <c r="L60" s="93" t="s">
        <v>166</v>
      </c>
      <c r="M60" s="94">
        <v>1.8200000000000001E-2</v>
      </c>
      <c r="N60" s="94">
        <v>2.899999999990386E-3</v>
      </c>
      <c r="O60" s="87">
        <v>403444.15775700001</v>
      </c>
      <c r="P60" s="89">
        <v>110.86</v>
      </c>
      <c r="Q60" s="80"/>
      <c r="R60" s="87">
        <v>447.25820626699999</v>
      </c>
      <c r="S60" s="88">
        <v>8.978394520017804E-4</v>
      </c>
      <c r="T60" s="88">
        <f t="shared" si="0"/>
        <v>4.8652057495895008E-3</v>
      </c>
      <c r="U60" s="88">
        <f>R60/'סכום נכסי הקרן'!$C$42</f>
        <v>1.2304265344272082E-4</v>
      </c>
    </row>
    <row r="61" spans="2:21">
      <c r="B61" s="86" t="s">
        <v>408</v>
      </c>
      <c r="C61" s="80" t="s">
        <v>409</v>
      </c>
      <c r="D61" s="93" t="s">
        <v>122</v>
      </c>
      <c r="E61" s="93" t="s">
        <v>290</v>
      </c>
      <c r="F61" s="80" t="s">
        <v>407</v>
      </c>
      <c r="G61" s="93" t="s">
        <v>360</v>
      </c>
      <c r="H61" s="80" t="s">
        <v>390</v>
      </c>
      <c r="I61" s="80" t="s">
        <v>294</v>
      </c>
      <c r="J61" s="80"/>
      <c r="K61" s="87">
        <v>7.0699999999111149</v>
      </c>
      <c r="L61" s="93" t="s">
        <v>166</v>
      </c>
      <c r="M61" s="94">
        <v>7.8000000000000005E-3</v>
      </c>
      <c r="N61" s="94">
        <v>4.8999999997895978E-3</v>
      </c>
      <c r="O61" s="87">
        <v>22816.547063000002</v>
      </c>
      <c r="P61" s="89">
        <v>102.07</v>
      </c>
      <c r="Q61" s="80"/>
      <c r="R61" s="87">
        <v>23.288850201000006</v>
      </c>
      <c r="S61" s="88">
        <v>4.7534473047916671E-5</v>
      </c>
      <c r="T61" s="88">
        <f t="shared" si="0"/>
        <v>2.5333251869188523E-4</v>
      </c>
      <c r="U61" s="88">
        <f>R61/'סכום נכסי הקרן'!$C$42</f>
        <v>6.4068627119844297E-6</v>
      </c>
    </row>
    <row r="62" spans="2:21">
      <c r="B62" s="86" t="s">
        <v>410</v>
      </c>
      <c r="C62" s="80" t="s">
        <v>411</v>
      </c>
      <c r="D62" s="93" t="s">
        <v>122</v>
      </c>
      <c r="E62" s="93" t="s">
        <v>290</v>
      </c>
      <c r="F62" s="80" t="s">
        <v>407</v>
      </c>
      <c r="G62" s="93" t="s">
        <v>360</v>
      </c>
      <c r="H62" s="80" t="s">
        <v>390</v>
      </c>
      <c r="I62" s="80" t="s">
        <v>294</v>
      </c>
      <c r="J62" s="80"/>
      <c r="K62" s="87">
        <v>5.2900000000009575</v>
      </c>
      <c r="L62" s="93" t="s">
        <v>166</v>
      </c>
      <c r="M62" s="94">
        <v>2E-3</v>
      </c>
      <c r="N62" s="94">
        <v>7.0000000000821391E-4</v>
      </c>
      <c r="O62" s="87">
        <v>291339.67898000003</v>
      </c>
      <c r="P62" s="89">
        <v>100.29</v>
      </c>
      <c r="Q62" s="80"/>
      <c r="R62" s="87">
        <v>292.18456806800003</v>
      </c>
      <c r="S62" s="88">
        <v>7.7690581061333345E-4</v>
      </c>
      <c r="T62" s="88">
        <f t="shared" si="0"/>
        <v>3.1783386432872787E-3</v>
      </c>
      <c r="U62" s="88">
        <f>R62/'סכום נכסי הקרן'!$C$42</f>
        <v>8.0381229559017223E-5</v>
      </c>
    </row>
    <row r="63" spans="2:21">
      <c r="B63" s="86" t="s">
        <v>412</v>
      </c>
      <c r="C63" s="80" t="s">
        <v>413</v>
      </c>
      <c r="D63" s="93" t="s">
        <v>122</v>
      </c>
      <c r="E63" s="93" t="s">
        <v>290</v>
      </c>
      <c r="F63" s="80" t="s">
        <v>311</v>
      </c>
      <c r="G63" s="93" t="s">
        <v>298</v>
      </c>
      <c r="H63" s="80" t="s">
        <v>398</v>
      </c>
      <c r="I63" s="80" t="s">
        <v>162</v>
      </c>
      <c r="J63" s="80"/>
      <c r="K63" s="87">
        <v>1.0700000000005412</v>
      </c>
      <c r="L63" s="93" t="s">
        <v>166</v>
      </c>
      <c r="M63" s="94">
        <v>0.04</v>
      </c>
      <c r="N63" s="94">
        <v>-3.5000000000045095E-3</v>
      </c>
      <c r="O63" s="87">
        <v>772283.10229199985</v>
      </c>
      <c r="P63" s="89">
        <v>114.85</v>
      </c>
      <c r="Q63" s="80"/>
      <c r="R63" s="87">
        <v>886.96718393599997</v>
      </c>
      <c r="S63" s="88">
        <v>5.7206240475319214E-4</v>
      </c>
      <c r="T63" s="88">
        <f t="shared" si="0"/>
        <v>9.6482921554412841E-3</v>
      </c>
      <c r="U63" s="88">
        <f>R63/'סכום נכסי הקרן'!$C$42</f>
        <v>2.4400848167546648E-4</v>
      </c>
    </row>
    <row r="64" spans="2:21">
      <c r="B64" s="86" t="s">
        <v>414</v>
      </c>
      <c r="C64" s="80" t="s">
        <v>415</v>
      </c>
      <c r="D64" s="93" t="s">
        <v>122</v>
      </c>
      <c r="E64" s="93" t="s">
        <v>290</v>
      </c>
      <c r="F64" s="80" t="s">
        <v>416</v>
      </c>
      <c r="G64" s="93" t="s">
        <v>360</v>
      </c>
      <c r="H64" s="80" t="s">
        <v>398</v>
      </c>
      <c r="I64" s="80" t="s">
        <v>162</v>
      </c>
      <c r="J64" s="80"/>
      <c r="K64" s="87">
        <v>3.5299999999993346</v>
      </c>
      <c r="L64" s="93" t="s">
        <v>166</v>
      </c>
      <c r="M64" s="94">
        <v>4.7500000000000001E-2</v>
      </c>
      <c r="N64" s="94">
        <v>-6.0000000000105336E-4</v>
      </c>
      <c r="O64" s="87">
        <v>1434386.453949</v>
      </c>
      <c r="P64" s="89">
        <v>145.59</v>
      </c>
      <c r="Q64" s="80"/>
      <c r="R64" s="87">
        <v>2088.3233047630001</v>
      </c>
      <c r="S64" s="88">
        <v>7.6002037511206481E-4</v>
      </c>
      <c r="T64" s="88">
        <f t="shared" si="0"/>
        <v>2.271645865178246E-2</v>
      </c>
      <c r="U64" s="88">
        <f>R64/'סכום נכסי הקרן'!$C$42</f>
        <v>5.7450671013718193E-4</v>
      </c>
    </row>
    <row r="65" spans="2:21">
      <c r="B65" s="86" t="s">
        <v>417</v>
      </c>
      <c r="C65" s="80" t="s">
        <v>418</v>
      </c>
      <c r="D65" s="93" t="s">
        <v>122</v>
      </c>
      <c r="E65" s="93" t="s">
        <v>290</v>
      </c>
      <c r="F65" s="80" t="s">
        <v>419</v>
      </c>
      <c r="G65" s="93" t="s">
        <v>420</v>
      </c>
      <c r="H65" s="80" t="s">
        <v>390</v>
      </c>
      <c r="I65" s="80" t="s">
        <v>294</v>
      </c>
      <c r="J65" s="80"/>
      <c r="K65" s="87">
        <v>1.4900000001693947</v>
      </c>
      <c r="L65" s="93" t="s">
        <v>166</v>
      </c>
      <c r="M65" s="94">
        <v>4.6500000000000007E-2</v>
      </c>
      <c r="N65" s="94">
        <v>0</v>
      </c>
      <c r="O65" s="87">
        <v>1910.919148</v>
      </c>
      <c r="P65" s="89">
        <v>129.75</v>
      </c>
      <c r="Q65" s="80"/>
      <c r="R65" s="87">
        <v>2.479417642</v>
      </c>
      <c r="S65" s="88">
        <v>3.7716337026210409E-5</v>
      </c>
      <c r="T65" s="88">
        <f t="shared" si="0"/>
        <v>2.6970722500932404E-5</v>
      </c>
      <c r="U65" s="88">
        <f>R65/'סכום נכסי הקרן'!$C$42</f>
        <v>6.8209844199539136E-7</v>
      </c>
    </row>
    <row r="66" spans="2:21">
      <c r="B66" s="86" t="s">
        <v>421</v>
      </c>
      <c r="C66" s="80" t="s">
        <v>422</v>
      </c>
      <c r="D66" s="93" t="s">
        <v>122</v>
      </c>
      <c r="E66" s="93" t="s">
        <v>290</v>
      </c>
      <c r="F66" s="80" t="s">
        <v>423</v>
      </c>
      <c r="G66" s="93" t="s">
        <v>424</v>
      </c>
      <c r="H66" s="80" t="s">
        <v>398</v>
      </c>
      <c r="I66" s="80" t="s">
        <v>162</v>
      </c>
      <c r="J66" s="80"/>
      <c r="K66" s="87">
        <v>7.1500000000016692</v>
      </c>
      <c r="L66" s="93" t="s">
        <v>166</v>
      </c>
      <c r="M66" s="94">
        <v>3.85E-2</v>
      </c>
      <c r="N66" s="94">
        <v>3.9000000000018547E-3</v>
      </c>
      <c r="O66" s="87">
        <v>1037000.553532</v>
      </c>
      <c r="P66" s="89">
        <v>130</v>
      </c>
      <c r="Q66" s="80"/>
      <c r="R66" s="87">
        <v>1348.1007185249998</v>
      </c>
      <c r="S66" s="88">
        <v>3.8497078893589393E-4</v>
      </c>
      <c r="T66" s="88">
        <f t="shared" si="0"/>
        <v>1.4664431585360701E-2</v>
      </c>
      <c r="U66" s="88">
        <f>R66/'סכום נכסי הקרן'!$C$42</f>
        <v>3.7086829753176772E-4</v>
      </c>
    </row>
    <row r="67" spans="2:21">
      <c r="B67" s="86" t="s">
        <v>425</v>
      </c>
      <c r="C67" s="80" t="s">
        <v>426</v>
      </c>
      <c r="D67" s="93" t="s">
        <v>122</v>
      </c>
      <c r="E67" s="93" t="s">
        <v>290</v>
      </c>
      <c r="F67" s="80" t="s">
        <v>423</v>
      </c>
      <c r="G67" s="93" t="s">
        <v>424</v>
      </c>
      <c r="H67" s="80" t="s">
        <v>398</v>
      </c>
      <c r="I67" s="80" t="s">
        <v>162</v>
      </c>
      <c r="J67" s="80"/>
      <c r="K67" s="87">
        <v>5.0899999999994971</v>
      </c>
      <c r="L67" s="93" t="s">
        <v>166</v>
      </c>
      <c r="M67" s="94">
        <v>4.4999999999999998E-2</v>
      </c>
      <c r="N67" s="94">
        <v>-5.9999999999987114E-4</v>
      </c>
      <c r="O67" s="87">
        <v>2388431.1385920001</v>
      </c>
      <c r="P67" s="89">
        <v>129.97999999999999</v>
      </c>
      <c r="Q67" s="80"/>
      <c r="R67" s="87">
        <v>3104.482703784</v>
      </c>
      <c r="S67" s="88">
        <v>8.0863456073348593E-4</v>
      </c>
      <c r="T67" s="88">
        <f t="shared" si="0"/>
        <v>3.3770083786756645E-2</v>
      </c>
      <c r="U67" s="88">
        <f>R67/'סכום נכסי הקרן'!$C$42</f>
        <v>8.5405652504133729E-4</v>
      </c>
    </row>
    <row r="68" spans="2:21">
      <c r="B68" s="86" t="s">
        <v>427</v>
      </c>
      <c r="C68" s="80" t="s">
        <v>428</v>
      </c>
      <c r="D68" s="93" t="s">
        <v>122</v>
      </c>
      <c r="E68" s="93" t="s">
        <v>290</v>
      </c>
      <c r="F68" s="80" t="s">
        <v>423</v>
      </c>
      <c r="G68" s="93" t="s">
        <v>424</v>
      </c>
      <c r="H68" s="80" t="s">
        <v>398</v>
      </c>
      <c r="I68" s="80" t="s">
        <v>162</v>
      </c>
      <c r="J68" s="80"/>
      <c r="K68" s="87">
        <v>9.7900000000031273</v>
      </c>
      <c r="L68" s="93" t="s">
        <v>166</v>
      </c>
      <c r="M68" s="94">
        <v>2.3900000000000001E-2</v>
      </c>
      <c r="N68" s="94">
        <v>7.4000000000053736E-3</v>
      </c>
      <c r="O68" s="87">
        <v>879950.24</v>
      </c>
      <c r="P68" s="89">
        <v>118.42</v>
      </c>
      <c r="Q68" s="80"/>
      <c r="R68" s="87">
        <v>1042.0371028060001</v>
      </c>
      <c r="S68" s="88">
        <v>7.1010171975380667E-4</v>
      </c>
      <c r="T68" s="88">
        <f t="shared" si="0"/>
        <v>1.1335118803456589E-2</v>
      </c>
      <c r="U68" s="88">
        <f>R68/'סכום נכסי הקרן'!$C$42</f>
        <v>2.8666888235578833E-4</v>
      </c>
    </row>
    <row r="69" spans="2:21">
      <c r="B69" s="86" t="s">
        <v>429</v>
      </c>
      <c r="C69" s="80" t="s">
        <v>430</v>
      </c>
      <c r="D69" s="93" t="s">
        <v>122</v>
      </c>
      <c r="E69" s="93" t="s">
        <v>290</v>
      </c>
      <c r="F69" s="80" t="s">
        <v>431</v>
      </c>
      <c r="G69" s="93" t="s">
        <v>360</v>
      </c>
      <c r="H69" s="80" t="s">
        <v>398</v>
      </c>
      <c r="I69" s="80" t="s">
        <v>162</v>
      </c>
      <c r="J69" s="80"/>
      <c r="K69" s="87">
        <v>5.5200000000023284</v>
      </c>
      <c r="L69" s="93" t="s">
        <v>166</v>
      </c>
      <c r="M69" s="94">
        <v>1.5800000000000002E-2</v>
      </c>
      <c r="N69" s="94">
        <v>2.9000000000082666E-3</v>
      </c>
      <c r="O69" s="87">
        <v>298966.64688100002</v>
      </c>
      <c r="P69" s="89">
        <v>109.26</v>
      </c>
      <c r="Q69" s="80"/>
      <c r="R69" s="87">
        <v>326.65094223699998</v>
      </c>
      <c r="S69" s="88">
        <v>6.6052557874499813E-4</v>
      </c>
      <c r="T69" s="88">
        <f t="shared" si="0"/>
        <v>3.5532585428551316E-3</v>
      </c>
      <c r="U69" s="88">
        <f>R69/'סכום נכסי הקרן'!$C$42</f>
        <v>8.9863077120181379E-5</v>
      </c>
    </row>
    <row r="70" spans="2:21">
      <c r="B70" s="86" t="s">
        <v>432</v>
      </c>
      <c r="C70" s="80" t="s">
        <v>433</v>
      </c>
      <c r="D70" s="93" t="s">
        <v>122</v>
      </c>
      <c r="E70" s="93" t="s">
        <v>290</v>
      </c>
      <c r="F70" s="80" t="s">
        <v>431</v>
      </c>
      <c r="G70" s="93" t="s">
        <v>360</v>
      </c>
      <c r="H70" s="80" t="s">
        <v>398</v>
      </c>
      <c r="I70" s="80" t="s">
        <v>162</v>
      </c>
      <c r="J70" s="80"/>
      <c r="K70" s="87">
        <v>8.4499999999937199</v>
      </c>
      <c r="L70" s="93" t="s">
        <v>166</v>
      </c>
      <c r="M70" s="94">
        <v>8.3999999999999995E-3</v>
      </c>
      <c r="N70" s="94">
        <v>6.8999999999874396E-3</v>
      </c>
      <c r="O70" s="87">
        <v>251411.93684000001</v>
      </c>
      <c r="P70" s="89">
        <v>101.34</v>
      </c>
      <c r="Q70" s="80"/>
      <c r="R70" s="87">
        <v>254.78086402800002</v>
      </c>
      <c r="S70" s="88">
        <v>1.00564774736E-3</v>
      </c>
      <c r="T70" s="88">
        <f t="shared" si="0"/>
        <v>2.7714669226536785E-3</v>
      </c>
      <c r="U70" s="88">
        <f>R70/'סכום נכסי הקרן'!$C$42</f>
        <v>7.0091309935003867E-5</v>
      </c>
    </row>
    <row r="71" spans="2:21">
      <c r="B71" s="86" t="s">
        <v>434</v>
      </c>
      <c r="C71" s="80" t="s">
        <v>435</v>
      </c>
      <c r="D71" s="93" t="s">
        <v>122</v>
      </c>
      <c r="E71" s="93" t="s">
        <v>290</v>
      </c>
      <c r="F71" s="80" t="s">
        <v>436</v>
      </c>
      <c r="G71" s="93" t="s">
        <v>420</v>
      </c>
      <c r="H71" s="80" t="s">
        <v>398</v>
      </c>
      <c r="I71" s="80" t="s">
        <v>162</v>
      </c>
      <c r="J71" s="80"/>
      <c r="K71" s="87">
        <v>0.90000000004123781</v>
      </c>
      <c r="L71" s="93" t="s">
        <v>166</v>
      </c>
      <c r="M71" s="94">
        <v>4.8899999999999999E-2</v>
      </c>
      <c r="N71" s="94">
        <v>2.5999999993401952E-3</v>
      </c>
      <c r="O71" s="87">
        <v>3784.5654650000001</v>
      </c>
      <c r="P71" s="89">
        <v>128.15</v>
      </c>
      <c r="Q71" s="80"/>
      <c r="R71" s="87">
        <v>4.8499208820000002</v>
      </c>
      <c r="S71" s="88">
        <v>1.0169182401935725E-4</v>
      </c>
      <c r="T71" s="88">
        <f t="shared" si="0"/>
        <v>5.2756690943920989E-5</v>
      </c>
      <c r="U71" s="88">
        <f>R71/'סכום נכסי הקרן'!$C$42</f>
        <v>1.3342340642315695E-6</v>
      </c>
    </row>
    <row r="72" spans="2:21">
      <c r="B72" s="86" t="s">
        <v>437</v>
      </c>
      <c r="C72" s="80" t="s">
        <v>438</v>
      </c>
      <c r="D72" s="93" t="s">
        <v>122</v>
      </c>
      <c r="E72" s="93" t="s">
        <v>290</v>
      </c>
      <c r="F72" s="80" t="s">
        <v>311</v>
      </c>
      <c r="G72" s="93" t="s">
        <v>298</v>
      </c>
      <c r="H72" s="80" t="s">
        <v>390</v>
      </c>
      <c r="I72" s="80" t="s">
        <v>294</v>
      </c>
      <c r="J72" s="80"/>
      <c r="K72" s="87">
        <v>3.4800000000026845</v>
      </c>
      <c r="L72" s="93" t="s">
        <v>166</v>
      </c>
      <c r="M72" s="94">
        <v>1.6399999999999998E-2</v>
      </c>
      <c r="N72" s="94">
        <v>8.0000000000000002E-3</v>
      </c>
      <c r="O72" s="87">
        <f>358604.0975/50000</f>
        <v>7.1720819499999999</v>
      </c>
      <c r="P72" s="89">
        <v>5194000</v>
      </c>
      <c r="Q72" s="80"/>
      <c r="R72" s="87">
        <v>372.51795695000004</v>
      </c>
      <c r="S72" s="88">
        <f>2921.18033154122%/50000</f>
        <v>5.8423606630824397E-4</v>
      </c>
      <c r="T72" s="88">
        <f t="shared" si="0"/>
        <v>4.0521928509826806E-3</v>
      </c>
      <c r="U72" s="88">
        <f>R72/'סכום נכסי הקרן'!$C$42</f>
        <v>1.0248128985883101E-4</v>
      </c>
    </row>
    <row r="73" spans="2:21">
      <c r="B73" s="86" t="s">
        <v>439</v>
      </c>
      <c r="C73" s="80" t="s">
        <v>440</v>
      </c>
      <c r="D73" s="93" t="s">
        <v>122</v>
      </c>
      <c r="E73" s="93" t="s">
        <v>290</v>
      </c>
      <c r="F73" s="80" t="s">
        <v>311</v>
      </c>
      <c r="G73" s="93" t="s">
        <v>298</v>
      </c>
      <c r="H73" s="80" t="s">
        <v>390</v>
      </c>
      <c r="I73" s="80" t="s">
        <v>294</v>
      </c>
      <c r="J73" s="80"/>
      <c r="K73" s="87">
        <v>7.6799999999779969</v>
      </c>
      <c r="L73" s="93" t="s">
        <v>166</v>
      </c>
      <c r="M73" s="94">
        <v>2.7799999999999998E-2</v>
      </c>
      <c r="N73" s="94">
        <v>1.6499999999960234E-2</v>
      </c>
      <c r="O73" s="87">
        <f>136921.5645/50000</f>
        <v>2.7384312900000003</v>
      </c>
      <c r="P73" s="89">
        <v>5510023</v>
      </c>
      <c r="Q73" s="80"/>
      <c r="R73" s="87">
        <v>150.888204124</v>
      </c>
      <c r="S73" s="88">
        <f>3274.06897417504%/50000</f>
        <v>6.54813794835008E-4</v>
      </c>
      <c r="T73" s="88">
        <f t="shared" si="0"/>
        <v>1.6413386003052599E-3</v>
      </c>
      <c r="U73" s="88">
        <f>R73/'סכום נכסי הקרן'!$C$42</f>
        <v>4.1509992993936669E-5</v>
      </c>
    </row>
    <row r="74" spans="2:21">
      <c r="B74" s="86" t="s">
        <v>441</v>
      </c>
      <c r="C74" s="80" t="s">
        <v>442</v>
      </c>
      <c r="D74" s="93" t="s">
        <v>122</v>
      </c>
      <c r="E74" s="93" t="s">
        <v>290</v>
      </c>
      <c r="F74" s="80" t="s">
        <v>311</v>
      </c>
      <c r="G74" s="93" t="s">
        <v>298</v>
      </c>
      <c r="H74" s="80" t="s">
        <v>390</v>
      </c>
      <c r="I74" s="80" t="s">
        <v>294</v>
      </c>
      <c r="J74" s="80"/>
      <c r="K74" s="87">
        <v>4.8299999999948762</v>
      </c>
      <c r="L74" s="93" t="s">
        <v>166</v>
      </c>
      <c r="M74" s="94">
        <v>2.4199999999999999E-2</v>
      </c>
      <c r="N74" s="94">
        <v>1.069999999998719E-2</v>
      </c>
      <c r="O74" s="87">
        <f>284898.9075/50000</f>
        <v>5.6979781499999991</v>
      </c>
      <c r="P74" s="89">
        <v>5481000</v>
      </c>
      <c r="Q74" s="80"/>
      <c r="R74" s="87">
        <v>312.30615652</v>
      </c>
      <c r="S74" s="88">
        <f>988.442936196787%/50000</f>
        <v>1.9768858723935738E-4</v>
      </c>
      <c r="T74" s="88">
        <f t="shared" si="0"/>
        <v>3.39721817742623E-3</v>
      </c>
      <c r="U74" s="88">
        <f>R74/'סכום נכסי הקרן'!$C$42</f>
        <v>8.5916764960995964E-5</v>
      </c>
    </row>
    <row r="75" spans="2:21">
      <c r="B75" s="86" t="s">
        <v>443</v>
      </c>
      <c r="C75" s="80" t="s">
        <v>444</v>
      </c>
      <c r="D75" s="93" t="s">
        <v>122</v>
      </c>
      <c r="E75" s="93" t="s">
        <v>290</v>
      </c>
      <c r="F75" s="80" t="s">
        <v>311</v>
      </c>
      <c r="G75" s="93" t="s">
        <v>298</v>
      </c>
      <c r="H75" s="80" t="s">
        <v>390</v>
      </c>
      <c r="I75" s="80" t="s">
        <v>294</v>
      </c>
      <c r="J75" s="80"/>
      <c r="K75" s="87">
        <v>4.549999999999093</v>
      </c>
      <c r="L75" s="93" t="s">
        <v>166</v>
      </c>
      <c r="M75" s="94">
        <v>1.95E-2</v>
      </c>
      <c r="N75" s="94">
        <v>9.599999999996894E-3</v>
      </c>
      <c r="O75" s="87">
        <f>369234.65375/50000</f>
        <v>7.3846930750000004</v>
      </c>
      <c r="P75" s="89">
        <v>5228300</v>
      </c>
      <c r="Q75" s="80"/>
      <c r="R75" s="87">
        <v>386.09389539700004</v>
      </c>
      <c r="S75" s="88">
        <f>1487.70963274105%/50000</f>
        <v>2.9754192654821003E-4</v>
      </c>
      <c r="T75" s="88">
        <f t="shared" si="0"/>
        <v>4.199869814452385E-3</v>
      </c>
      <c r="U75" s="88">
        <f>R75/'סכום נכסי הקרן'!$C$42</f>
        <v>1.062160888319699E-4</v>
      </c>
    </row>
    <row r="76" spans="2:21">
      <c r="B76" s="86" t="s">
        <v>445</v>
      </c>
      <c r="C76" s="80" t="s">
        <v>446</v>
      </c>
      <c r="D76" s="93" t="s">
        <v>122</v>
      </c>
      <c r="E76" s="93" t="s">
        <v>290</v>
      </c>
      <c r="F76" s="80" t="s">
        <v>311</v>
      </c>
      <c r="G76" s="93" t="s">
        <v>298</v>
      </c>
      <c r="H76" s="80" t="s">
        <v>398</v>
      </c>
      <c r="I76" s="80" t="s">
        <v>162</v>
      </c>
      <c r="J76" s="80"/>
      <c r="K76" s="87">
        <v>0.60000000000107012</v>
      </c>
      <c r="L76" s="93" t="s">
        <v>166</v>
      </c>
      <c r="M76" s="94">
        <v>0.05</v>
      </c>
      <c r="N76" s="94">
        <v>-1.1000000000082047E-3</v>
      </c>
      <c r="O76" s="87">
        <v>487100.05748600001</v>
      </c>
      <c r="P76" s="89">
        <v>115.1</v>
      </c>
      <c r="Q76" s="80"/>
      <c r="R76" s="87">
        <v>560.65219701400008</v>
      </c>
      <c r="S76" s="88">
        <v>4.8710054458654461E-4</v>
      </c>
      <c r="T76" s="88">
        <f t="shared" ref="T76:T139" si="1">R76/$R$11</f>
        <v>6.0986880826601293E-3</v>
      </c>
      <c r="U76" s="88">
        <f>R76/'סכום נכסי הקרן'!$C$42</f>
        <v>1.5423782730531312E-4</v>
      </c>
    </row>
    <row r="77" spans="2:21">
      <c r="B77" s="86" t="s">
        <v>447</v>
      </c>
      <c r="C77" s="80" t="s">
        <v>448</v>
      </c>
      <c r="D77" s="93" t="s">
        <v>122</v>
      </c>
      <c r="E77" s="93" t="s">
        <v>290</v>
      </c>
      <c r="F77" s="80" t="s">
        <v>449</v>
      </c>
      <c r="G77" s="93" t="s">
        <v>360</v>
      </c>
      <c r="H77" s="80" t="s">
        <v>390</v>
      </c>
      <c r="I77" s="80" t="s">
        <v>294</v>
      </c>
      <c r="J77" s="80"/>
      <c r="K77" s="87">
        <v>0.51999999999909752</v>
      </c>
      <c r="L77" s="93" t="s">
        <v>166</v>
      </c>
      <c r="M77" s="94">
        <v>5.0999999999999997E-2</v>
      </c>
      <c r="N77" s="94">
        <v>-1.4000000000120338E-3</v>
      </c>
      <c r="O77" s="87">
        <v>223319.79017399997</v>
      </c>
      <c r="P77" s="89">
        <v>114.77</v>
      </c>
      <c r="Q77" s="87">
        <v>9.6107924500000017</v>
      </c>
      <c r="R77" s="87">
        <v>265.914915662</v>
      </c>
      <c r="S77" s="88">
        <v>5.0905467589526456E-4</v>
      </c>
      <c r="T77" s="88">
        <f t="shared" si="1"/>
        <v>2.8925814181887822E-3</v>
      </c>
      <c r="U77" s="88">
        <f>R77/'סכום נכסי הקרן'!$C$42</f>
        <v>7.3154335358393844E-5</v>
      </c>
    </row>
    <row r="78" spans="2:21">
      <c r="B78" s="86" t="s">
        <v>450</v>
      </c>
      <c r="C78" s="80" t="s">
        <v>451</v>
      </c>
      <c r="D78" s="93" t="s">
        <v>122</v>
      </c>
      <c r="E78" s="93" t="s">
        <v>290</v>
      </c>
      <c r="F78" s="80" t="s">
        <v>449</v>
      </c>
      <c r="G78" s="93" t="s">
        <v>360</v>
      </c>
      <c r="H78" s="80" t="s">
        <v>390</v>
      </c>
      <c r="I78" s="80" t="s">
        <v>294</v>
      </c>
      <c r="J78" s="80"/>
      <c r="K78" s="87">
        <v>1.9400000000001028</v>
      </c>
      <c r="L78" s="93" t="s">
        <v>166</v>
      </c>
      <c r="M78" s="94">
        <v>2.5499999999999998E-2</v>
      </c>
      <c r="N78" s="94">
        <v>-9.9999999999485114E-4</v>
      </c>
      <c r="O78" s="87">
        <v>886173.63040999998</v>
      </c>
      <c r="P78" s="89">
        <v>107.1</v>
      </c>
      <c r="Q78" s="87">
        <v>22.000488825000001</v>
      </c>
      <c r="R78" s="87">
        <v>971.09244698500004</v>
      </c>
      <c r="S78" s="88">
        <v>8.1346168588672819E-4</v>
      </c>
      <c r="T78" s="88">
        <f t="shared" si="1"/>
        <v>1.056339378518621E-2</v>
      </c>
      <c r="U78" s="88">
        <f>R78/'סכום נכסי הקרן'!$C$42</f>
        <v>2.6715170284408288E-4</v>
      </c>
    </row>
    <row r="79" spans="2:21">
      <c r="B79" s="86" t="s">
        <v>452</v>
      </c>
      <c r="C79" s="80" t="s">
        <v>453</v>
      </c>
      <c r="D79" s="93" t="s">
        <v>122</v>
      </c>
      <c r="E79" s="93" t="s">
        <v>290</v>
      </c>
      <c r="F79" s="80" t="s">
        <v>449</v>
      </c>
      <c r="G79" s="93" t="s">
        <v>360</v>
      </c>
      <c r="H79" s="80" t="s">
        <v>390</v>
      </c>
      <c r="I79" s="80" t="s">
        <v>294</v>
      </c>
      <c r="J79" s="80"/>
      <c r="K79" s="87">
        <v>6.2499999999969491</v>
      </c>
      <c r="L79" s="93" t="s">
        <v>166</v>
      </c>
      <c r="M79" s="94">
        <v>2.35E-2</v>
      </c>
      <c r="N79" s="94">
        <v>4.4000000000021704E-3</v>
      </c>
      <c r="O79" s="87">
        <v>639852.17740599997</v>
      </c>
      <c r="P79" s="89">
        <v>115.23</v>
      </c>
      <c r="Q79" s="80"/>
      <c r="R79" s="87">
        <v>737.30168106099995</v>
      </c>
      <c r="S79" s="88">
        <v>8.065714839240192E-4</v>
      </c>
      <c r="T79" s="88">
        <f t="shared" si="1"/>
        <v>8.0202539106427797E-3</v>
      </c>
      <c r="U79" s="88">
        <f>R79/'סכום נכסי הקרן'!$C$42</f>
        <v>2.0283485904642562E-4</v>
      </c>
    </row>
    <row r="80" spans="2:21">
      <c r="B80" s="86" t="s">
        <v>454</v>
      </c>
      <c r="C80" s="80" t="s">
        <v>455</v>
      </c>
      <c r="D80" s="93" t="s">
        <v>122</v>
      </c>
      <c r="E80" s="93" t="s">
        <v>290</v>
      </c>
      <c r="F80" s="80" t="s">
        <v>449</v>
      </c>
      <c r="G80" s="93" t="s">
        <v>360</v>
      </c>
      <c r="H80" s="80" t="s">
        <v>390</v>
      </c>
      <c r="I80" s="80" t="s">
        <v>294</v>
      </c>
      <c r="J80" s="80"/>
      <c r="K80" s="87">
        <v>5.0300000000008893</v>
      </c>
      <c r="L80" s="93" t="s">
        <v>166</v>
      </c>
      <c r="M80" s="94">
        <v>1.7600000000000001E-2</v>
      </c>
      <c r="N80" s="94">
        <v>1.8999999999982555E-3</v>
      </c>
      <c r="O80" s="87">
        <v>968155.01071599987</v>
      </c>
      <c r="P80" s="89">
        <v>110.5</v>
      </c>
      <c r="Q80" s="87">
        <v>19.680144187</v>
      </c>
      <c r="R80" s="87">
        <v>1089.4914310010001</v>
      </c>
      <c r="S80" s="88">
        <v>7.6594520892771841E-4</v>
      </c>
      <c r="T80" s="88">
        <f t="shared" si="1"/>
        <v>1.1851319662696713E-2</v>
      </c>
      <c r="U80" s="88">
        <f>R80/'סכום נכסי הקרן'!$C$42</f>
        <v>2.9972377185058025E-4</v>
      </c>
    </row>
    <row r="81" spans="2:21">
      <c r="B81" s="86" t="s">
        <v>456</v>
      </c>
      <c r="C81" s="80" t="s">
        <v>457</v>
      </c>
      <c r="D81" s="93" t="s">
        <v>122</v>
      </c>
      <c r="E81" s="93" t="s">
        <v>290</v>
      </c>
      <c r="F81" s="80" t="s">
        <v>449</v>
      </c>
      <c r="G81" s="93" t="s">
        <v>360</v>
      </c>
      <c r="H81" s="80" t="s">
        <v>390</v>
      </c>
      <c r="I81" s="80" t="s">
        <v>294</v>
      </c>
      <c r="J81" s="80"/>
      <c r="K81" s="87">
        <v>5.5900000000011927</v>
      </c>
      <c r="L81" s="93" t="s">
        <v>166</v>
      </c>
      <c r="M81" s="94">
        <v>2.1499999999999998E-2</v>
      </c>
      <c r="N81" s="94">
        <v>2.9000000000019895E-3</v>
      </c>
      <c r="O81" s="87">
        <v>882202.96959999995</v>
      </c>
      <c r="P81" s="89">
        <v>113.99</v>
      </c>
      <c r="Q81" s="80"/>
      <c r="R81" s="87">
        <v>1005.62314852</v>
      </c>
      <c r="S81" s="88">
        <v>6.9977176840540015E-4</v>
      </c>
      <c r="T81" s="88">
        <f t="shared" si="1"/>
        <v>1.09390134279148E-2</v>
      </c>
      <c r="U81" s="88">
        <f>R81/'סכום נכסי הקרן'!$C$42</f>
        <v>2.7665124713990884E-4</v>
      </c>
    </row>
    <row r="82" spans="2:21">
      <c r="B82" s="86" t="s">
        <v>458</v>
      </c>
      <c r="C82" s="80" t="s">
        <v>459</v>
      </c>
      <c r="D82" s="93" t="s">
        <v>122</v>
      </c>
      <c r="E82" s="93" t="s">
        <v>290</v>
      </c>
      <c r="F82" s="80" t="s">
        <v>338</v>
      </c>
      <c r="G82" s="93" t="s">
        <v>298</v>
      </c>
      <c r="H82" s="80" t="s">
        <v>390</v>
      </c>
      <c r="I82" s="80" t="s">
        <v>294</v>
      </c>
      <c r="J82" s="80"/>
      <c r="K82" s="87">
        <v>0.49000000000031052</v>
      </c>
      <c r="L82" s="93" t="s">
        <v>166</v>
      </c>
      <c r="M82" s="94">
        <v>6.5000000000000002E-2</v>
      </c>
      <c r="N82" s="94">
        <v>-5.1000000000057666E-3</v>
      </c>
      <c r="O82" s="87">
        <v>958753.70356199995</v>
      </c>
      <c r="P82" s="89">
        <v>115.76</v>
      </c>
      <c r="Q82" s="87">
        <v>17.423921798999999</v>
      </c>
      <c r="R82" s="87">
        <v>1127.2772755849999</v>
      </c>
      <c r="S82" s="88">
        <v>6.0873251019809521E-4</v>
      </c>
      <c r="T82" s="88">
        <f t="shared" si="1"/>
        <v>1.2262348249198323E-2</v>
      </c>
      <c r="U82" s="88">
        <f>R82/'סכום נכסי הקרן'!$C$42</f>
        <v>3.1011881997947718E-4</v>
      </c>
    </row>
    <row r="83" spans="2:21">
      <c r="B83" s="86" t="s">
        <v>460</v>
      </c>
      <c r="C83" s="80" t="s">
        <v>461</v>
      </c>
      <c r="D83" s="93" t="s">
        <v>122</v>
      </c>
      <c r="E83" s="93" t="s">
        <v>290</v>
      </c>
      <c r="F83" s="80" t="s">
        <v>462</v>
      </c>
      <c r="G83" s="93" t="s">
        <v>360</v>
      </c>
      <c r="H83" s="80" t="s">
        <v>390</v>
      </c>
      <c r="I83" s="80" t="s">
        <v>294</v>
      </c>
      <c r="J83" s="80"/>
      <c r="K83" s="87">
        <v>7.2699999999933711</v>
      </c>
      <c r="L83" s="93" t="s">
        <v>166</v>
      </c>
      <c r="M83" s="94">
        <v>3.5000000000000003E-2</v>
      </c>
      <c r="N83" s="94">
        <v>5.3000000000086468E-3</v>
      </c>
      <c r="O83" s="87">
        <v>245298.68079000001</v>
      </c>
      <c r="P83" s="89">
        <v>127.3</v>
      </c>
      <c r="Q83" s="80"/>
      <c r="R83" s="87">
        <v>312.265240941</v>
      </c>
      <c r="S83" s="88">
        <v>5.5495894749987731E-4</v>
      </c>
      <c r="T83" s="88">
        <f t="shared" si="1"/>
        <v>3.3967731040717131E-3</v>
      </c>
      <c r="U83" s="88">
        <f>R83/'סכום נכסי הקרן'!$C$42</f>
        <v>8.5905508909487547E-5</v>
      </c>
    </row>
    <row r="84" spans="2:21">
      <c r="B84" s="86" t="s">
        <v>463</v>
      </c>
      <c r="C84" s="80" t="s">
        <v>464</v>
      </c>
      <c r="D84" s="93" t="s">
        <v>122</v>
      </c>
      <c r="E84" s="93" t="s">
        <v>290</v>
      </c>
      <c r="F84" s="80" t="s">
        <v>462</v>
      </c>
      <c r="G84" s="93" t="s">
        <v>360</v>
      </c>
      <c r="H84" s="80" t="s">
        <v>390</v>
      </c>
      <c r="I84" s="80" t="s">
        <v>294</v>
      </c>
      <c r="J84" s="80"/>
      <c r="K84" s="87">
        <v>3.0799999999932539</v>
      </c>
      <c r="L84" s="93" t="s">
        <v>166</v>
      </c>
      <c r="M84" s="94">
        <v>0.04</v>
      </c>
      <c r="N84" s="94">
        <v>-2.2999999999757325E-3</v>
      </c>
      <c r="O84" s="87">
        <v>210829.04022900001</v>
      </c>
      <c r="P84" s="89">
        <v>115.32</v>
      </c>
      <c r="Q84" s="80"/>
      <c r="R84" s="87">
        <v>243.12805173300004</v>
      </c>
      <c r="S84" s="88">
        <v>3.1824819009877085E-4</v>
      </c>
      <c r="T84" s="88">
        <f t="shared" si="1"/>
        <v>2.6447094287002262E-3</v>
      </c>
      <c r="U84" s="88">
        <f>R84/'סכום נכסי הקרן'!$C$42</f>
        <v>6.6885571225783113E-5</v>
      </c>
    </row>
    <row r="85" spans="2:21">
      <c r="B85" s="86" t="s">
        <v>465</v>
      </c>
      <c r="C85" s="80" t="s">
        <v>466</v>
      </c>
      <c r="D85" s="93" t="s">
        <v>122</v>
      </c>
      <c r="E85" s="93" t="s">
        <v>290</v>
      </c>
      <c r="F85" s="80" t="s">
        <v>462</v>
      </c>
      <c r="G85" s="93" t="s">
        <v>360</v>
      </c>
      <c r="H85" s="80" t="s">
        <v>390</v>
      </c>
      <c r="I85" s="80" t="s">
        <v>294</v>
      </c>
      <c r="J85" s="80"/>
      <c r="K85" s="87">
        <v>5.8200000000004684</v>
      </c>
      <c r="L85" s="93" t="s">
        <v>166</v>
      </c>
      <c r="M85" s="94">
        <v>0.04</v>
      </c>
      <c r="N85" s="94">
        <v>2.4000000000049034E-3</v>
      </c>
      <c r="O85" s="87">
        <v>708815.67907499999</v>
      </c>
      <c r="P85" s="89">
        <v>126.6</v>
      </c>
      <c r="Q85" s="80"/>
      <c r="R85" s="87">
        <v>897.36064091900005</v>
      </c>
      <c r="S85" s="88">
        <v>7.0444671603994799E-4</v>
      </c>
      <c r="T85" s="88">
        <f t="shared" si="1"/>
        <v>9.7613505766469006E-3</v>
      </c>
      <c r="U85" s="88">
        <f>R85/'סכום נכסי הקרן'!$C$42</f>
        <v>2.4686776632963707E-4</v>
      </c>
    </row>
    <row r="86" spans="2:21">
      <c r="B86" s="86" t="s">
        <v>467</v>
      </c>
      <c r="C86" s="80" t="s">
        <v>468</v>
      </c>
      <c r="D86" s="93" t="s">
        <v>122</v>
      </c>
      <c r="E86" s="93" t="s">
        <v>290</v>
      </c>
      <c r="F86" s="80" t="s">
        <v>469</v>
      </c>
      <c r="G86" s="93" t="s">
        <v>153</v>
      </c>
      <c r="H86" s="80" t="s">
        <v>390</v>
      </c>
      <c r="I86" s="80" t="s">
        <v>294</v>
      </c>
      <c r="J86" s="80"/>
      <c r="K86" s="87">
        <v>4.5300000000138958</v>
      </c>
      <c r="L86" s="93" t="s">
        <v>166</v>
      </c>
      <c r="M86" s="94">
        <v>4.2999999999999997E-2</v>
      </c>
      <c r="N86" s="94">
        <v>1.0000000000167423E-3</v>
      </c>
      <c r="O86" s="87">
        <v>147259.596514</v>
      </c>
      <c r="P86" s="89">
        <v>121.68</v>
      </c>
      <c r="Q86" s="80"/>
      <c r="R86" s="87">
        <v>179.185489867</v>
      </c>
      <c r="S86" s="88">
        <v>1.6044244393956665E-4</v>
      </c>
      <c r="T86" s="88">
        <f t="shared" si="1"/>
        <v>1.9491521079515221E-3</v>
      </c>
      <c r="U86" s="88">
        <f>R86/'סכום נכסי הקרן'!$C$42</f>
        <v>4.929469783391244E-5</v>
      </c>
    </row>
    <row r="87" spans="2:21">
      <c r="B87" s="86" t="s">
        <v>470</v>
      </c>
      <c r="C87" s="80" t="s">
        <v>471</v>
      </c>
      <c r="D87" s="93" t="s">
        <v>122</v>
      </c>
      <c r="E87" s="93" t="s">
        <v>290</v>
      </c>
      <c r="F87" s="80" t="s">
        <v>472</v>
      </c>
      <c r="G87" s="93" t="s">
        <v>473</v>
      </c>
      <c r="H87" s="80" t="s">
        <v>474</v>
      </c>
      <c r="I87" s="80" t="s">
        <v>294</v>
      </c>
      <c r="J87" s="80"/>
      <c r="K87" s="87">
        <v>7.7199999999996409</v>
      </c>
      <c r="L87" s="93" t="s">
        <v>166</v>
      </c>
      <c r="M87" s="94">
        <v>5.1500000000000004E-2</v>
      </c>
      <c r="N87" s="94">
        <v>1.169999999999791E-2</v>
      </c>
      <c r="O87" s="87">
        <v>1653709.0693969997</v>
      </c>
      <c r="P87" s="89">
        <v>162.05000000000001</v>
      </c>
      <c r="Q87" s="80"/>
      <c r="R87" s="87">
        <v>2679.8355095680004</v>
      </c>
      <c r="S87" s="88">
        <v>4.6569947170054134E-4</v>
      </c>
      <c r="T87" s="88">
        <f t="shared" si="1"/>
        <v>2.9150837137063221E-2</v>
      </c>
      <c r="U87" s="88">
        <f>R87/'סכום נכסי הקרן'!$C$42</f>
        <v>7.372342581243353E-4</v>
      </c>
    </row>
    <row r="88" spans="2:21">
      <c r="B88" s="86" t="s">
        <v>475</v>
      </c>
      <c r="C88" s="80" t="s">
        <v>476</v>
      </c>
      <c r="D88" s="93" t="s">
        <v>122</v>
      </c>
      <c r="E88" s="93" t="s">
        <v>290</v>
      </c>
      <c r="F88" s="80" t="s">
        <v>477</v>
      </c>
      <c r="G88" s="93" t="s">
        <v>193</v>
      </c>
      <c r="H88" s="80" t="s">
        <v>474</v>
      </c>
      <c r="I88" s="80" t="s">
        <v>294</v>
      </c>
      <c r="J88" s="80"/>
      <c r="K88" s="87">
        <v>1.8799999999985844</v>
      </c>
      <c r="L88" s="93" t="s">
        <v>166</v>
      </c>
      <c r="M88" s="94">
        <v>3.7000000000000005E-2</v>
      </c>
      <c r="N88" s="94">
        <v>-2.1000000000009527E-3</v>
      </c>
      <c r="O88" s="87">
        <v>653208.04129299999</v>
      </c>
      <c r="P88" s="89">
        <v>112.45</v>
      </c>
      <c r="Q88" s="80"/>
      <c r="R88" s="87">
        <v>734.53247283300004</v>
      </c>
      <c r="S88" s="88">
        <v>4.3547523117478401E-4</v>
      </c>
      <c r="T88" s="88">
        <f t="shared" si="1"/>
        <v>7.9901308908660717E-3</v>
      </c>
      <c r="U88" s="88">
        <f>R88/'סכום נכסי הקרן'!$C$42</f>
        <v>2.0207303796961989E-4</v>
      </c>
    </row>
    <row r="89" spans="2:21">
      <c r="B89" s="86" t="s">
        <v>478</v>
      </c>
      <c r="C89" s="80" t="s">
        <v>479</v>
      </c>
      <c r="D89" s="93" t="s">
        <v>122</v>
      </c>
      <c r="E89" s="93" t="s">
        <v>290</v>
      </c>
      <c r="F89" s="80" t="s">
        <v>477</v>
      </c>
      <c r="G89" s="93" t="s">
        <v>193</v>
      </c>
      <c r="H89" s="80" t="s">
        <v>474</v>
      </c>
      <c r="I89" s="80" t="s">
        <v>294</v>
      </c>
      <c r="J89" s="80"/>
      <c r="K89" s="87">
        <v>4.520000000001974</v>
      </c>
      <c r="L89" s="93" t="s">
        <v>166</v>
      </c>
      <c r="M89" s="94">
        <v>2.2000000000000002E-2</v>
      </c>
      <c r="N89" s="94">
        <v>5.200000000007989E-3</v>
      </c>
      <c r="O89" s="87">
        <v>781891.483167</v>
      </c>
      <c r="P89" s="89">
        <v>108.87</v>
      </c>
      <c r="Q89" s="80"/>
      <c r="R89" s="87">
        <v>851.24525926599995</v>
      </c>
      <c r="S89" s="88">
        <v>8.8681619881466624E-4</v>
      </c>
      <c r="T89" s="88">
        <f t="shared" si="1"/>
        <v>9.2597145712725159E-3</v>
      </c>
      <c r="U89" s="88">
        <f>R89/'סכום נכסי הקרן'!$C$42</f>
        <v>2.3418122677909924E-4</v>
      </c>
    </row>
    <row r="90" spans="2:21">
      <c r="B90" s="86" t="s">
        <v>480</v>
      </c>
      <c r="C90" s="80" t="s">
        <v>481</v>
      </c>
      <c r="D90" s="93" t="s">
        <v>122</v>
      </c>
      <c r="E90" s="93" t="s">
        <v>290</v>
      </c>
      <c r="F90" s="80" t="s">
        <v>407</v>
      </c>
      <c r="G90" s="93" t="s">
        <v>360</v>
      </c>
      <c r="H90" s="80" t="s">
        <v>482</v>
      </c>
      <c r="I90" s="80" t="s">
        <v>162</v>
      </c>
      <c r="J90" s="80"/>
      <c r="K90" s="87">
        <v>1.9500000000019029</v>
      </c>
      <c r="L90" s="93" t="s">
        <v>166</v>
      </c>
      <c r="M90" s="94">
        <v>2.8500000000000001E-2</v>
      </c>
      <c r="N90" s="94">
        <v>1.2999999999980969E-3</v>
      </c>
      <c r="O90" s="87">
        <v>193991.25499799999</v>
      </c>
      <c r="P90" s="89">
        <v>108.35</v>
      </c>
      <c r="Q90" s="80"/>
      <c r="R90" s="87">
        <v>210.18952310800003</v>
      </c>
      <c r="S90" s="88">
        <v>4.5314246943229969E-4</v>
      </c>
      <c r="T90" s="88">
        <f t="shared" si="1"/>
        <v>2.2864091971921156E-3</v>
      </c>
      <c r="U90" s="88">
        <f>R90/'סכום נכסי הקרן'!$C$42</f>
        <v>5.7824040535612648E-5</v>
      </c>
    </row>
    <row r="91" spans="2:21">
      <c r="B91" s="86" t="s">
        <v>483</v>
      </c>
      <c r="C91" s="80" t="s">
        <v>484</v>
      </c>
      <c r="D91" s="93" t="s">
        <v>122</v>
      </c>
      <c r="E91" s="93" t="s">
        <v>290</v>
      </c>
      <c r="F91" s="80" t="s">
        <v>407</v>
      </c>
      <c r="G91" s="93" t="s">
        <v>360</v>
      </c>
      <c r="H91" s="80" t="s">
        <v>482</v>
      </c>
      <c r="I91" s="80" t="s">
        <v>162</v>
      </c>
      <c r="J91" s="80"/>
      <c r="K91" s="87">
        <v>2.0000000002006597E-2</v>
      </c>
      <c r="L91" s="93" t="s">
        <v>166</v>
      </c>
      <c r="M91" s="94">
        <v>3.7699999999999997E-2</v>
      </c>
      <c r="N91" s="94">
        <v>1.5999999999724093E-3</v>
      </c>
      <c r="O91" s="87">
        <v>142693.08344799999</v>
      </c>
      <c r="P91" s="89">
        <v>111.76</v>
      </c>
      <c r="Q91" s="80"/>
      <c r="R91" s="87">
        <v>159.473792484</v>
      </c>
      <c r="S91" s="88">
        <v>4.1799148032314008E-4</v>
      </c>
      <c r="T91" s="88">
        <f t="shared" si="1"/>
        <v>1.7347313056092402E-3</v>
      </c>
      <c r="U91" s="88">
        <f>R91/'סכום נכסי הקרן'!$C$42</f>
        <v>4.3871925225428702E-5</v>
      </c>
    </row>
    <row r="92" spans="2:21">
      <c r="B92" s="86" t="s">
        <v>485</v>
      </c>
      <c r="C92" s="80" t="s">
        <v>486</v>
      </c>
      <c r="D92" s="93" t="s">
        <v>122</v>
      </c>
      <c r="E92" s="93" t="s">
        <v>290</v>
      </c>
      <c r="F92" s="80" t="s">
        <v>407</v>
      </c>
      <c r="G92" s="93" t="s">
        <v>360</v>
      </c>
      <c r="H92" s="80" t="s">
        <v>482</v>
      </c>
      <c r="I92" s="80" t="s">
        <v>162</v>
      </c>
      <c r="J92" s="80"/>
      <c r="K92" s="87">
        <v>3.8899999999880914</v>
      </c>
      <c r="L92" s="93" t="s">
        <v>166</v>
      </c>
      <c r="M92" s="94">
        <v>2.5000000000000001E-2</v>
      </c>
      <c r="N92" s="94">
        <v>4.0999999999895113E-3</v>
      </c>
      <c r="O92" s="87">
        <v>147861.46999899999</v>
      </c>
      <c r="P92" s="89">
        <v>109.61</v>
      </c>
      <c r="Q92" s="80"/>
      <c r="R92" s="87">
        <v>162.07095863699999</v>
      </c>
      <c r="S92" s="88">
        <v>3.266808472177849E-4</v>
      </c>
      <c r="T92" s="88">
        <f t="shared" si="1"/>
        <v>1.7629828782425919E-3</v>
      </c>
      <c r="U92" s="88">
        <f>R92/'סכום נכסי הקרן'!$C$42</f>
        <v>4.4586416788510215E-5</v>
      </c>
    </row>
    <row r="93" spans="2:21">
      <c r="B93" s="86" t="s">
        <v>487</v>
      </c>
      <c r="C93" s="80" t="s">
        <v>488</v>
      </c>
      <c r="D93" s="93" t="s">
        <v>122</v>
      </c>
      <c r="E93" s="93" t="s">
        <v>290</v>
      </c>
      <c r="F93" s="80" t="s">
        <v>407</v>
      </c>
      <c r="G93" s="93" t="s">
        <v>360</v>
      </c>
      <c r="H93" s="80" t="s">
        <v>482</v>
      </c>
      <c r="I93" s="80" t="s">
        <v>162</v>
      </c>
      <c r="J93" s="80"/>
      <c r="K93" s="87">
        <v>4.9099999999878516</v>
      </c>
      <c r="L93" s="93" t="s">
        <v>166</v>
      </c>
      <c r="M93" s="94">
        <v>1.34E-2</v>
      </c>
      <c r="N93" s="94">
        <v>1.6000000000000001E-3</v>
      </c>
      <c r="O93" s="87">
        <v>171625.86620799999</v>
      </c>
      <c r="P93" s="89">
        <v>107.92</v>
      </c>
      <c r="Q93" s="80"/>
      <c r="R93" s="87">
        <v>185.218630975</v>
      </c>
      <c r="S93" s="88">
        <v>4.359662975684332E-4</v>
      </c>
      <c r="T93" s="88">
        <f t="shared" si="1"/>
        <v>2.0147796859264775E-3</v>
      </c>
      <c r="U93" s="88">
        <f>R93/'סכום נכסי הקרן'!$C$42</f>
        <v>5.0954440864048197E-5</v>
      </c>
    </row>
    <row r="94" spans="2:21">
      <c r="B94" s="86" t="s">
        <v>489</v>
      </c>
      <c r="C94" s="80" t="s">
        <v>490</v>
      </c>
      <c r="D94" s="93" t="s">
        <v>122</v>
      </c>
      <c r="E94" s="93" t="s">
        <v>290</v>
      </c>
      <c r="F94" s="80" t="s">
        <v>407</v>
      </c>
      <c r="G94" s="93" t="s">
        <v>360</v>
      </c>
      <c r="H94" s="80" t="s">
        <v>482</v>
      </c>
      <c r="I94" s="80" t="s">
        <v>162</v>
      </c>
      <c r="J94" s="80"/>
      <c r="K94" s="87">
        <v>5.0399999999968115</v>
      </c>
      <c r="L94" s="93" t="s">
        <v>166</v>
      </c>
      <c r="M94" s="94">
        <v>1.95E-2</v>
      </c>
      <c r="N94" s="94">
        <v>5.5999999999828288E-3</v>
      </c>
      <c r="O94" s="87">
        <v>299551.87526100001</v>
      </c>
      <c r="P94" s="89">
        <v>108.87</v>
      </c>
      <c r="Q94" s="80"/>
      <c r="R94" s="87">
        <v>326.12212357599998</v>
      </c>
      <c r="S94" s="88">
        <v>4.5772297403957624E-4</v>
      </c>
      <c r="T94" s="88">
        <f t="shared" si="1"/>
        <v>3.5475061350648727E-3</v>
      </c>
      <c r="U94" s="88">
        <f>R94/'סכום נכסי הקרן'!$C$42</f>
        <v>8.9717596835353188E-5</v>
      </c>
    </row>
    <row r="95" spans="2:21">
      <c r="B95" s="86" t="s">
        <v>491</v>
      </c>
      <c r="C95" s="80" t="s">
        <v>492</v>
      </c>
      <c r="D95" s="93" t="s">
        <v>122</v>
      </c>
      <c r="E95" s="93" t="s">
        <v>290</v>
      </c>
      <c r="F95" s="80" t="s">
        <v>407</v>
      </c>
      <c r="G95" s="93" t="s">
        <v>360</v>
      </c>
      <c r="H95" s="80" t="s">
        <v>482</v>
      </c>
      <c r="I95" s="80" t="s">
        <v>162</v>
      </c>
      <c r="J95" s="80"/>
      <c r="K95" s="87">
        <v>5.9600000000013118</v>
      </c>
      <c r="L95" s="93" t="s">
        <v>166</v>
      </c>
      <c r="M95" s="94">
        <v>3.3500000000000002E-2</v>
      </c>
      <c r="N95" s="94">
        <v>8.4000000000056217E-3</v>
      </c>
      <c r="O95" s="87">
        <v>363701.89199400001</v>
      </c>
      <c r="P95" s="89">
        <v>117.37</v>
      </c>
      <c r="Q95" s="80"/>
      <c r="R95" s="87">
        <v>426.87692618900002</v>
      </c>
      <c r="S95" s="88">
        <v>7.3449756143635235E-4</v>
      </c>
      <c r="T95" s="88">
        <f t="shared" si="1"/>
        <v>4.6435013300169638E-3</v>
      </c>
      <c r="U95" s="88">
        <f>R95/'סכום נכסי הקרן'!$C$42</f>
        <v>1.174356757590977E-4</v>
      </c>
    </row>
    <row r="96" spans="2:21">
      <c r="B96" s="86" t="s">
        <v>493</v>
      </c>
      <c r="C96" s="80" t="s">
        <v>494</v>
      </c>
      <c r="D96" s="93" t="s">
        <v>122</v>
      </c>
      <c r="E96" s="93" t="s">
        <v>290</v>
      </c>
      <c r="F96" s="80" t="s">
        <v>305</v>
      </c>
      <c r="G96" s="93" t="s">
        <v>298</v>
      </c>
      <c r="H96" s="80" t="s">
        <v>482</v>
      </c>
      <c r="I96" s="80" t="s">
        <v>162</v>
      </c>
      <c r="J96" s="80"/>
      <c r="K96" s="87">
        <v>1.4599999999984343</v>
      </c>
      <c r="L96" s="93" t="s">
        <v>166</v>
      </c>
      <c r="M96" s="94">
        <v>2.7999999999999997E-2</v>
      </c>
      <c r="N96" s="94">
        <v>5.4999999999969899E-3</v>
      </c>
      <c r="O96" s="87">
        <f>466610.549/50000</f>
        <v>9.3322109799999993</v>
      </c>
      <c r="P96" s="89">
        <v>5338000</v>
      </c>
      <c r="Q96" s="80"/>
      <c r="R96" s="87">
        <v>498.15340649299998</v>
      </c>
      <c r="S96" s="88">
        <f>2638.15541923447%/50000</f>
        <v>5.2763108384689403E-4</v>
      </c>
      <c r="T96" s="88">
        <f t="shared" si="1"/>
        <v>5.4188358838082673E-3</v>
      </c>
      <c r="U96" s="88">
        <f>R96/'סכום נכסי הקרן'!$C$42</f>
        <v>1.3704414161120669E-4</v>
      </c>
    </row>
    <row r="97" spans="2:21">
      <c r="B97" s="86" t="s">
        <v>495</v>
      </c>
      <c r="C97" s="80" t="s">
        <v>496</v>
      </c>
      <c r="D97" s="93" t="s">
        <v>122</v>
      </c>
      <c r="E97" s="93" t="s">
        <v>290</v>
      </c>
      <c r="F97" s="80" t="s">
        <v>305</v>
      </c>
      <c r="G97" s="93" t="s">
        <v>298</v>
      </c>
      <c r="H97" s="80" t="s">
        <v>482</v>
      </c>
      <c r="I97" s="80" t="s">
        <v>162</v>
      </c>
      <c r="J97" s="80"/>
      <c r="K97" s="87">
        <v>2.7100000000584896</v>
      </c>
      <c r="L97" s="93" t="s">
        <v>166</v>
      </c>
      <c r="M97" s="94">
        <v>1.49E-2</v>
      </c>
      <c r="N97" s="94">
        <v>1.1200000000169312E-2</v>
      </c>
      <c r="O97" s="87">
        <f>25229.8535/50000</f>
        <v>0.50459706999999998</v>
      </c>
      <c r="P97" s="89">
        <v>5150120</v>
      </c>
      <c r="Q97" s="80"/>
      <c r="R97" s="87">
        <v>25.987355188000002</v>
      </c>
      <c r="S97" s="88">
        <f>417.160276124339%/50000</f>
        <v>8.3432055224867807E-5</v>
      </c>
      <c r="T97" s="88">
        <f t="shared" si="1"/>
        <v>2.8268643952349278E-4</v>
      </c>
      <c r="U97" s="88">
        <f>R97/'סכום נכסי הקרן'!$C$42</f>
        <v>7.1492330235325687E-6</v>
      </c>
    </row>
    <row r="98" spans="2:21">
      <c r="B98" s="86" t="s">
        <v>497</v>
      </c>
      <c r="C98" s="80" t="s">
        <v>498</v>
      </c>
      <c r="D98" s="93" t="s">
        <v>122</v>
      </c>
      <c r="E98" s="93" t="s">
        <v>290</v>
      </c>
      <c r="F98" s="80" t="s">
        <v>305</v>
      </c>
      <c r="G98" s="93" t="s">
        <v>298</v>
      </c>
      <c r="H98" s="80" t="s">
        <v>482</v>
      </c>
      <c r="I98" s="80" t="s">
        <v>162</v>
      </c>
      <c r="J98" s="80"/>
      <c r="K98" s="87">
        <v>4.3299999999935297</v>
      </c>
      <c r="L98" s="93" t="s">
        <v>166</v>
      </c>
      <c r="M98" s="94">
        <v>2.2000000000000002E-2</v>
      </c>
      <c r="N98" s="94">
        <v>8.5999999999930056E-3</v>
      </c>
      <c r="O98" s="87">
        <f>106305.5625/50000</f>
        <v>2.1261112500000001</v>
      </c>
      <c r="P98" s="89">
        <v>5380000</v>
      </c>
      <c r="Q98" s="80"/>
      <c r="R98" s="87">
        <v>114.384778078</v>
      </c>
      <c r="S98" s="88">
        <f>2111.751340882%/50000</f>
        <v>4.2235026817639997E-4</v>
      </c>
      <c r="T98" s="88">
        <f t="shared" si="1"/>
        <v>1.2442599647649333E-3</v>
      </c>
      <c r="U98" s="88">
        <f>R98/'סכום נכסי הקרן'!$C$42</f>
        <v>3.1467743712615074E-5</v>
      </c>
    </row>
    <row r="99" spans="2:21">
      <c r="B99" s="86" t="s">
        <v>499</v>
      </c>
      <c r="C99" s="80" t="s">
        <v>500</v>
      </c>
      <c r="D99" s="93" t="s">
        <v>122</v>
      </c>
      <c r="E99" s="93" t="s">
        <v>290</v>
      </c>
      <c r="F99" s="80" t="s">
        <v>501</v>
      </c>
      <c r="G99" s="93" t="s">
        <v>360</v>
      </c>
      <c r="H99" s="80" t="s">
        <v>482</v>
      </c>
      <c r="I99" s="80" t="s">
        <v>162</v>
      </c>
      <c r="J99" s="80"/>
      <c r="K99" s="87">
        <v>5.5000000000022089</v>
      </c>
      <c r="L99" s="93" t="s">
        <v>166</v>
      </c>
      <c r="M99" s="94">
        <v>0.04</v>
      </c>
      <c r="N99" s="94">
        <v>1.130000000002253E-2</v>
      </c>
      <c r="O99" s="87">
        <v>193158.97289</v>
      </c>
      <c r="P99" s="89">
        <v>117.19</v>
      </c>
      <c r="Q99" s="80"/>
      <c r="R99" s="87">
        <v>226.36300987300001</v>
      </c>
      <c r="S99" s="88">
        <v>6.5304925142022747E-5</v>
      </c>
      <c r="T99" s="88">
        <f t="shared" si="1"/>
        <v>2.4623418904270687E-3</v>
      </c>
      <c r="U99" s="88">
        <f>R99/'סכום נכסי הקרן'!$C$42</f>
        <v>6.2273436207065875E-5</v>
      </c>
    </row>
    <row r="100" spans="2:21">
      <c r="B100" s="86" t="s">
        <v>502</v>
      </c>
      <c r="C100" s="80" t="s">
        <v>503</v>
      </c>
      <c r="D100" s="93" t="s">
        <v>122</v>
      </c>
      <c r="E100" s="93" t="s">
        <v>290</v>
      </c>
      <c r="F100" s="80" t="s">
        <v>501</v>
      </c>
      <c r="G100" s="93" t="s">
        <v>360</v>
      </c>
      <c r="H100" s="80" t="s">
        <v>482</v>
      </c>
      <c r="I100" s="80" t="s">
        <v>162</v>
      </c>
      <c r="J100" s="80"/>
      <c r="K100" s="87">
        <v>5.7700000000029084</v>
      </c>
      <c r="L100" s="93" t="s">
        <v>166</v>
      </c>
      <c r="M100" s="94">
        <v>2.7799999999999998E-2</v>
      </c>
      <c r="N100" s="94">
        <v>1.2700000000002321E-2</v>
      </c>
      <c r="O100" s="87">
        <v>504571.40832099994</v>
      </c>
      <c r="P100" s="89">
        <v>111.05</v>
      </c>
      <c r="Q100" s="80"/>
      <c r="R100" s="87">
        <v>560.32654848100003</v>
      </c>
      <c r="S100" s="88">
        <v>2.801446931730988E-4</v>
      </c>
      <c r="T100" s="88">
        <f t="shared" si="1"/>
        <v>6.0951457281702677E-3</v>
      </c>
      <c r="U100" s="88">
        <f>R100/'סכום נכסי הקרן'!$C$42</f>
        <v>1.5414823999527919E-4</v>
      </c>
    </row>
    <row r="101" spans="2:21">
      <c r="B101" s="86" t="s">
        <v>504</v>
      </c>
      <c r="C101" s="80" t="s">
        <v>505</v>
      </c>
      <c r="D101" s="93" t="s">
        <v>122</v>
      </c>
      <c r="E101" s="93" t="s">
        <v>290</v>
      </c>
      <c r="F101" s="80" t="s">
        <v>354</v>
      </c>
      <c r="G101" s="93" t="s">
        <v>298</v>
      </c>
      <c r="H101" s="80" t="s">
        <v>474</v>
      </c>
      <c r="I101" s="80" t="s">
        <v>294</v>
      </c>
      <c r="J101" s="80"/>
      <c r="K101" s="87">
        <v>0.3000000000003053</v>
      </c>
      <c r="L101" s="93" t="s">
        <v>166</v>
      </c>
      <c r="M101" s="94">
        <v>6.4000000000000001E-2</v>
      </c>
      <c r="N101" s="94">
        <v>1.2299999999991144E-2</v>
      </c>
      <c r="O101" s="87">
        <v>838512.60208100011</v>
      </c>
      <c r="P101" s="89">
        <v>117.17</v>
      </c>
      <c r="Q101" s="80"/>
      <c r="R101" s="87">
        <v>982.48525326900005</v>
      </c>
      <c r="S101" s="88">
        <v>6.6974893145779833E-4</v>
      </c>
      <c r="T101" s="88">
        <f t="shared" si="1"/>
        <v>1.068732297387456E-2</v>
      </c>
      <c r="U101" s="88">
        <f>R101/'סכום נכסי הקרן'!$C$42</f>
        <v>2.702859127829955E-4</v>
      </c>
    </row>
    <row r="102" spans="2:21">
      <c r="B102" s="86" t="s">
        <v>506</v>
      </c>
      <c r="C102" s="80" t="s">
        <v>507</v>
      </c>
      <c r="D102" s="93" t="s">
        <v>122</v>
      </c>
      <c r="E102" s="93" t="s">
        <v>290</v>
      </c>
      <c r="F102" s="80" t="s">
        <v>354</v>
      </c>
      <c r="G102" s="93" t="s">
        <v>298</v>
      </c>
      <c r="H102" s="80" t="s">
        <v>482</v>
      </c>
      <c r="I102" s="80" t="s">
        <v>162</v>
      </c>
      <c r="J102" s="80"/>
      <c r="K102" s="87">
        <v>5.6199999999980781</v>
      </c>
      <c r="L102" s="93" t="s">
        <v>166</v>
      </c>
      <c r="M102" s="94">
        <v>1.46E-2</v>
      </c>
      <c r="N102" s="94">
        <v>1.3299999999988646E-2</v>
      </c>
      <c r="O102" s="87">
        <f>566963/50000</f>
        <v>11.339259999999999</v>
      </c>
      <c r="P102" s="89">
        <v>5049648</v>
      </c>
      <c r="Q102" s="80"/>
      <c r="R102" s="87">
        <v>572.59271580500001</v>
      </c>
      <c r="S102" s="88">
        <f>2301.64007632038%/50000</f>
        <v>4.6032801526407606E-4</v>
      </c>
      <c r="T102" s="88">
        <f t="shared" si="1"/>
        <v>6.2285752034799413E-3</v>
      </c>
      <c r="U102" s="88">
        <f>R102/'סכום נכסי הקרן'!$C$42</f>
        <v>1.575227153072344E-4</v>
      </c>
    </row>
    <row r="103" spans="2:21">
      <c r="B103" s="86" t="s">
        <v>508</v>
      </c>
      <c r="C103" s="80" t="s">
        <v>509</v>
      </c>
      <c r="D103" s="93" t="s">
        <v>122</v>
      </c>
      <c r="E103" s="93" t="s">
        <v>290</v>
      </c>
      <c r="F103" s="80" t="s">
        <v>419</v>
      </c>
      <c r="G103" s="93" t="s">
        <v>420</v>
      </c>
      <c r="H103" s="80" t="s">
        <v>474</v>
      </c>
      <c r="I103" s="80" t="s">
        <v>294</v>
      </c>
      <c r="J103" s="80"/>
      <c r="K103" s="87">
        <v>3.2400000000077709</v>
      </c>
      <c r="L103" s="93" t="s">
        <v>166</v>
      </c>
      <c r="M103" s="94">
        <v>3.85E-2</v>
      </c>
      <c r="N103" s="94">
        <v>-5.0999999999937163E-3</v>
      </c>
      <c r="O103" s="87">
        <v>146037.832142</v>
      </c>
      <c r="P103" s="89">
        <v>119.85</v>
      </c>
      <c r="Q103" s="80"/>
      <c r="R103" s="87">
        <v>175.02634786099998</v>
      </c>
      <c r="S103" s="88">
        <v>6.0964197130014802E-4</v>
      </c>
      <c r="T103" s="88">
        <f t="shared" si="1"/>
        <v>1.903909603023908E-3</v>
      </c>
      <c r="U103" s="88">
        <f>R103/'סכום נכסי הקרן'!$C$42</f>
        <v>4.8150500005247395E-5</v>
      </c>
    </row>
    <row r="104" spans="2:21">
      <c r="B104" s="86" t="s">
        <v>510</v>
      </c>
      <c r="C104" s="80" t="s">
        <v>511</v>
      </c>
      <c r="D104" s="93" t="s">
        <v>122</v>
      </c>
      <c r="E104" s="93" t="s">
        <v>290</v>
      </c>
      <c r="F104" s="80" t="s">
        <v>419</v>
      </c>
      <c r="G104" s="93" t="s">
        <v>420</v>
      </c>
      <c r="H104" s="80" t="s">
        <v>474</v>
      </c>
      <c r="I104" s="80" t="s">
        <v>294</v>
      </c>
      <c r="J104" s="80"/>
      <c r="K104" s="87">
        <v>0.41000000000230818</v>
      </c>
      <c r="L104" s="93" t="s">
        <v>166</v>
      </c>
      <c r="M104" s="94">
        <v>3.9E-2</v>
      </c>
      <c r="N104" s="94">
        <v>1.0999999999769178E-3</v>
      </c>
      <c r="O104" s="87">
        <v>97540.290278</v>
      </c>
      <c r="P104" s="89">
        <v>111.04</v>
      </c>
      <c r="Q104" s="80"/>
      <c r="R104" s="87">
        <v>108.30873997500001</v>
      </c>
      <c r="S104" s="88">
        <v>4.9007217553917069E-4</v>
      </c>
      <c r="T104" s="88">
        <f t="shared" si="1"/>
        <v>1.1781657598979728E-3</v>
      </c>
      <c r="U104" s="88">
        <f>R104/'סכום נכסי הקרן'!$C$42</f>
        <v>2.9796199534919445E-5</v>
      </c>
    </row>
    <row r="105" spans="2:21">
      <c r="B105" s="86" t="s">
        <v>512</v>
      </c>
      <c r="C105" s="80" t="s">
        <v>513</v>
      </c>
      <c r="D105" s="93" t="s">
        <v>122</v>
      </c>
      <c r="E105" s="93" t="s">
        <v>290</v>
      </c>
      <c r="F105" s="80" t="s">
        <v>419</v>
      </c>
      <c r="G105" s="93" t="s">
        <v>420</v>
      </c>
      <c r="H105" s="80" t="s">
        <v>474</v>
      </c>
      <c r="I105" s="80" t="s">
        <v>294</v>
      </c>
      <c r="J105" s="80"/>
      <c r="K105" s="87">
        <v>1.3899999999987918</v>
      </c>
      <c r="L105" s="93" t="s">
        <v>166</v>
      </c>
      <c r="M105" s="94">
        <v>3.9E-2</v>
      </c>
      <c r="N105" s="94">
        <v>-2.1000000000230613E-3</v>
      </c>
      <c r="O105" s="87">
        <v>157447.73561199999</v>
      </c>
      <c r="P105" s="89">
        <v>115.67</v>
      </c>
      <c r="Q105" s="80"/>
      <c r="R105" s="87">
        <v>182.11979799800002</v>
      </c>
      <c r="S105" s="88">
        <v>3.9457371420122421E-4</v>
      </c>
      <c r="T105" s="88">
        <f t="shared" si="1"/>
        <v>1.981071058995846E-3</v>
      </c>
      <c r="U105" s="88">
        <f>R105/'סכום נכסי הקרן'!$C$42</f>
        <v>5.0101938603109772E-5</v>
      </c>
    </row>
    <row r="106" spans="2:21">
      <c r="B106" s="86" t="s">
        <v>514</v>
      </c>
      <c r="C106" s="80" t="s">
        <v>515</v>
      </c>
      <c r="D106" s="93" t="s">
        <v>122</v>
      </c>
      <c r="E106" s="93" t="s">
        <v>290</v>
      </c>
      <c r="F106" s="80" t="s">
        <v>419</v>
      </c>
      <c r="G106" s="93" t="s">
        <v>420</v>
      </c>
      <c r="H106" s="80" t="s">
        <v>474</v>
      </c>
      <c r="I106" s="80" t="s">
        <v>294</v>
      </c>
      <c r="J106" s="80"/>
      <c r="K106" s="87">
        <v>4.1199999999910784</v>
      </c>
      <c r="L106" s="93" t="s">
        <v>166</v>
      </c>
      <c r="M106" s="94">
        <v>3.85E-2</v>
      </c>
      <c r="N106" s="94">
        <v>-1.6999999999904414E-3</v>
      </c>
      <c r="O106" s="87">
        <v>127843.471286</v>
      </c>
      <c r="P106" s="89">
        <v>122.75</v>
      </c>
      <c r="Q106" s="80"/>
      <c r="R106" s="87">
        <v>156.92786549499999</v>
      </c>
      <c r="S106" s="88">
        <v>5.1137388514399995E-4</v>
      </c>
      <c r="T106" s="88">
        <f t="shared" si="1"/>
        <v>1.7070371046949621E-3</v>
      </c>
      <c r="U106" s="88">
        <f>R106/'סכום נכסי הקרן'!$C$42</f>
        <v>4.3171529776427165E-5</v>
      </c>
    </row>
    <row r="107" spans="2:21">
      <c r="B107" s="86" t="s">
        <v>516</v>
      </c>
      <c r="C107" s="80" t="s">
        <v>517</v>
      </c>
      <c r="D107" s="93" t="s">
        <v>122</v>
      </c>
      <c r="E107" s="93" t="s">
        <v>290</v>
      </c>
      <c r="F107" s="80" t="s">
        <v>518</v>
      </c>
      <c r="G107" s="93" t="s">
        <v>298</v>
      </c>
      <c r="H107" s="80" t="s">
        <v>482</v>
      </c>
      <c r="I107" s="80" t="s">
        <v>162</v>
      </c>
      <c r="J107" s="80"/>
      <c r="K107" s="87">
        <v>1.4999999999963425</v>
      </c>
      <c r="L107" s="93" t="s">
        <v>166</v>
      </c>
      <c r="M107" s="94">
        <v>0.02</v>
      </c>
      <c r="N107" s="94">
        <v>-1.8999999999919537E-3</v>
      </c>
      <c r="O107" s="87">
        <v>85415.383104999986</v>
      </c>
      <c r="P107" s="89">
        <v>105.78</v>
      </c>
      <c r="Q107" s="87">
        <v>46.361092720999999</v>
      </c>
      <c r="R107" s="87">
        <v>136.71348496900001</v>
      </c>
      <c r="S107" s="88">
        <v>4.5035926743149514E-4</v>
      </c>
      <c r="T107" s="88">
        <f t="shared" si="1"/>
        <v>1.4871481926941506E-3</v>
      </c>
      <c r="U107" s="88">
        <f>R107/'סכום נכסי הקרן'!$C$42</f>
        <v>3.7610466876364698E-5</v>
      </c>
    </row>
    <row r="108" spans="2:21">
      <c r="B108" s="86" t="s">
        <v>519</v>
      </c>
      <c r="C108" s="80" t="s">
        <v>520</v>
      </c>
      <c r="D108" s="93" t="s">
        <v>122</v>
      </c>
      <c r="E108" s="93" t="s">
        <v>290</v>
      </c>
      <c r="F108" s="80" t="s">
        <v>431</v>
      </c>
      <c r="G108" s="93" t="s">
        <v>360</v>
      </c>
      <c r="H108" s="80" t="s">
        <v>482</v>
      </c>
      <c r="I108" s="80" t="s">
        <v>162</v>
      </c>
      <c r="J108" s="80"/>
      <c r="K108" s="87">
        <v>6.5399999999943121</v>
      </c>
      <c r="L108" s="93" t="s">
        <v>166</v>
      </c>
      <c r="M108" s="94">
        <v>2.4E-2</v>
      </c>
      <c r="N108" s="94">
        <v>7.1999999999991801E-3</v>
      </c>
      <c r="O108" s="87">
        <v>428224.40080300003</v>
      </c>
      <c r="P108" s="89">
        <v>114.16</v>
      </c>
      <c r="Q108" s="80"/>
      <c r="R108" s="87">
        <v>488.8609553070001</v>
      </c>
      <c r="S108" s="88">
        <v>7.8677227851780944E-4</v>
      </c>
      <c r="T108" s="88">
        <f t="shared" si="1"/>
        <v>5.3177540337618597E-3</v>
      </c>
      <c r="U108" s="88">
        <f>R108/'סכום נכסי הקרן'!$C$42</f>
        <v>1.3448774838042529E-4</v>
      </c>
    </row>
    <row r="109" spans="2:21">
      <c r="B109" s="86" t="s">
        <v>521</v>
      </c>
      <c r="C109" s="80" t="s">
        <v>522</v>
      </c>
      <c r="D109" s="93" t="s">
        <v>122</v>
      </c>
      <c r="E109" s="93" t="s">
        <v>290</v>
      </c>
      <c r="F109" s="80" t="s">
        <v>431</v>
      </c>
      <c r="G109" s="93" t="s">
        <v>360</v>
      </c>
      <c r="H109" s="80" t="s">
        <v>482</v>
      </c>
      <c r="I109" s="80" t="s">
        <v>162</v>
      </c>
      <c r="J109" s="80"/>
      <c r="K109" s="87">
        <v>2.6900000000821005</v>
      </c>
      <c r="L109" s="93" t="s">
        <v>166</v>
      </c>
      <c r="M109" s="94">
        <v>3.4799999999999998E-2</v>
      </c>
      <c r="N109" s="94">
        <v>-5.9999999980096851E-4</v>
      </c>
      <c r="O109" s="87">
        <v>7312.7729529999997</v>
      </c>
      <c r="P109" s="89">
        <v>109.93</v>
      </c>
      <c r="Q109" s="80"/>
      <c r="R109" s="87">
        <v>8.0389312860000004</v>
      </c>
      <c r="S109" s="88">
        <v>1.7869009416138758E-5</v>
      </c>
      <c r="T109" s="88">
        <f t="shared" si="1"/>
        <v>8.7446254009823513E-5</v>
      </c>
      <c r="U109" s="88">
        <f>R109/'סכום נכסי הקרן'!$C$42</f>
        <v>2.2115445226345647E-6</v>
      </c>
    </row>
    <row r="110" spans="2:21">
      <c r="B110" s="86" t="s">
        <v>523</v>
      </c>
      <c r="C110" s="80" t="s">
        <v>524</v>
      </c>
      <c r="D110" s="93" t="s">
        <v>122</v>
      </c>
      <c r="E110" s="93" t="s">
        <v>290</v>
      </c>
      <c r="F110" s="80" t="s">
        <v>436</v>
      </c>
      <c r="G110" s="93" t="s">
        <v>420</v>
      </c>
      <c r="H110" s="80" t="s">
        <v>482</v>
      </c>
      <c r="I110" s="80" t="s">
        <v>162</v>
      </c>
      <c r="J110" s="80"/>
      <c r="K110" s="87">
        <v>5.2200000000102538</v>
      </c>
      <c r="L110" s="93" t="s">
        <v>166</v>
      </c>
      <c r="M110" s="94">
        <v>2.4799999999999999E-2</v>
      </c>
      <c r="N110" s="94">
        <v>2.1000000000242856E-3</v>
      </c>
      <c r="O110" s="87">
        <v>194178.319093</v>
      </c>
      <c r="P110" s="89">
        <v>114.51</v>
      </c>
      <c r="Q110" s="80"/>
      <c r="R110" s="87">
        <v>222.35360362599999</v>
      </c>
      <c r="S110" s="88">
        <v>4.5852335695766017E-4</v>
      </c>
      <c r="T110" s="88">
        <f t="shared" si="1"/>
        <v>2.4187281879795397E-3</v>
      </c>
      <c r="U110" s="88">
        <f>R110/'סכום נכסי הקרן'!$C$42</f>
        <v>6.1170431328791598E-5</v>
      </c>
    </row>
    <row r="111" spans="2:21">
      <c r="B111" s="86" t="s">
        <v>525</v>
      </c>
      <c r="C111" s="80" t="s">
        <v>526</v>
      </c>
      <c r="D111" s="93" t="s">
        <v>122</v>
      </c>
      <c r="E111" s="93" t="s">
        <v>290</v>
      </c>
      <c r="F111" s="80" t="s">
        <v>527</v>
      </c>
      <c r="G111" s="93" t="s">
        <v>360</v>
      </c>
      <c r="H111" s="80" t="s">
        <v>474</v>
      </c>
      <c r="I111" s="80" t="s">
        <v>294</v>
      </c>
      <c r="J111" s="80"/>
      <c r="K111" s="87">
        <v>3.8300000000010268</v>
      </c>
      <c r="L111" s="93" t="s">
        <v>166</v>
      </c>
      <c r="M111" s="94">
        <v>2.8500000000000001E-2</v>
      </c>
      <c r="N111" s="94">
        <v>-1.1000000000012003E-3</v>
      </c>
      <c r="O111" s="87">
        <v>650109.27642699995</v>
      </c>
      <c r="P111" s="89">
        <v>115.33</v>
      </c>
      <c r="Q111" s="80"/>
      <c r="R111" s="87">
        <v>749.77104098100006</v>
      </c>
      <c r="S111" s="88">
        <v>9.5184374293850646E-4</v>
      </c>
      <c r="T111" s="88">
        <f t="shared" si="1"/>
        <v>8.1558936836562887E-3</v>
      </c>
      <c r="U111" s="88">
        <f>R111/'סכום נכסי הקרן'!$C$42</f>
        <v>2.0626523351421842E-4</v>
      </c>
    </row>
    <row r="112" spans="2:21">
      <c r="B112" s="86" t="s">
        <v>528</v>
      </c>
      <c r="C112" s="80" t="s">
        <v>529</v>
      </c>
      <c r="D112" s="93" t="s">
        <v>122</v>
      </c>
      <c r="E112" s="93" t="s">
        <v>290</v>
      </c>
      <c r="F112" s="80" t="s">
        <v>530</v>
      </c>
      <c r="G112" s="93" t="s">
        <v>360</v>
      </c>
      <c r="H112" s="80" t="s">
        <v>474</v>
      </c>
      <c r="I112" s="80" t="s">
        <v>294</v>
      </c>
      <c r="J112" s="80"/>
      <c r="K112" s="87">
        <v>5.8200000000040601</v>
      </c>
      <c r="L112" s="93" t="s">
        <v>166</v>
      </c>
      <c r="M112" s="94">
        <v>1.3999999999999999E-2</v>
      </c>
      <c r="N112" s="94">
        <v>2.1000000000030235E-3</v>
      </c>
      <c r="O112" s="87">
        <v>426073.59841999999</v>
      </c>
      <c r="P112" s="89">
        <v>108.68</v>
      </c>
      <c r="Q112" s="80"/>
      <c r="R112" s="87">
        <v>463.05679196599999</v>
      </c>
      <c r="S112" s="88">
        <v>9.3931569316578478E-4</v>
      </c>
      <c r="T112" s="88">
        <f t="shared" si="1"/>
        <v>5.0370603268809731E-3</v>
      </c>
      <c r="U112" s="88">
        <f>R112/'סכום נכסי הקרן'!$C$42</f>
        <v>1.2738891222078053E-4</v>
      </c>
    </row>
    <row r="113" spans="2:21">
      <c r="B113" s="86" t="s">
        <v>531</v>
      </c>
      <c r="C113" s="80" t="s">
        <v>532</v>
      </c>
      <c r="D113" s="93" t="s">
        <v>122</v>
      </c>
      <c r="E113" s="93" t="s">
        <v>290</v>
      </c>
      <c r="F113" s="80" t="s">
        <v>316</v>
      </c>
      <c r="G113" s="93" t="s">
        <v>298</v>
      </c>
      <c r="H113" s="80" t="s">
        <v>482</v>
      </c>
      <c r="I113" s="80" t="s">
        <v>162</v>
      </c>
      <c r="J113" s="80"/>
      <c r="K113" s="87">
        <v>3.7000000000021029</v>
      </c>
      <c r="L113" s="93" t="s">
        <v>166</v>
      </c>
      <c r="M113" s="94">
        <v>1.8200000000000001E-2</v>
      </c>
      <c r="N113" s="94">
        <v>7.7999999999943956E-3</v>
      </c>
      <c r="O113" s="87">
        <f>272992.6845/50000</f>
        <v>5.4598536899999992</v>
      </c>
      <c r="P113" s="89">
        <v>5228000</v>
      </c>
      <c r="Q113" s="80"/>
      <c r="R113" s="87">
        <v>285.44115522199996</v>
      </c>
      <c r="S113" s="88">
        <f>1920.99559848005%/50000</f>
        <v>3.8419911969600994E-4</v>
      </c>
      <c r="T113" s="88">
        <f t="shared" si="1"/>
        <v>3.1049848389511996E-3</v>
      </c>
      <c r="U113" s="88">
        <f>R113/'סכום נכסי הקרן'!$C$42</f>
        <v>7.8526087723260147E-5</v>
      </c>
    </row>
    <row r="114" spans="2:21">
      <c r="B114" s="86" t="s">
        <v>533</v>
      </c>
      <c r="C114" s="80" t="s">
        <v>534</v>
      </c>
      <c r="D114" s="93" t="s">
        <v>122</v>
      </c>
      <c r="E114" s="93" t="s">
        <v>290</v>
      </c>
      <c r="F114" s="80" t="s">
        <v>316</v>
      </c>
      <c r="G114" s="93" t="s">
        <v>298</v>
      </c>
      <c r="H114" s="80" t="s">
        <v>482</v>
      </c>
      <c r="I114" s="80" t="s">
        <v>162</v>
      </c>
      <c r="J114" s="80"/>
      <c r="K114" s="87">
        <v>2.9300000000033268</v>
      </c>
      <c r="L114" s="93" t="s">
        <v>166</v>
      </c>
      <c r="M114" s="94">
        <v>1.06E-2</v>
      </c>
      <c r="N114" s="94">
        <v>7.3999999999965586E-3</v>
      </c>
      <c r="O114" s="87">
        <f>340177.8/50000</f>
        <v>6.8035559999999995</v>
      </c>
      <c r="P114" s="89">
        <v>5125000</v>
      </c>
      <c r="Q114" s="80"/>
      <c r="R114" s="87">
        <v>348.682260988</v>
      </c>
      <c r="S114" s="88">
        <f>2505.17563885411%/50000</f>
        <v>5.0103512777082196E-4</v>
      </c>
      <c r="T114" s="88">
        <f t="shared" si="1"/>
        <v>3.7929118284885689E-3</v>
      </c>
      <c r="U114" s="88">
        <f>R114/'סכום נכסי הקרן'!$C$42</f>
        <v>9.5923987529385017E-5</v>
      </c>
    </row>
    <row r="115" spans="2:21">
      <c r="B115" s="86" t="s">
        <v>535</v>
      </c>
      <c r="C115" s="80" t="s">
        <v>536</v>
      </c>
      <c r="D115" s="93" t="s">
        <v>122</v>
      </c>
      <c r="E115" s="93" t="s">
        <v>290</v>
      </c>
      <c r="F115" s="80" t="s">
        <v>316</v>
      </c>
      <c r="G115" s="93" t="s">
        <v>298</v>
      </c>
      <c r="H115" s="80" t="s">
        <v>482</v>
      </c>
      <c r="I115" s="80" t="s">
        <v>162</v>
      </c>
      <c r="J115" s="80"/>
      <c r="K115" s="87">
        <v>4.7999999999996898</v>
      </c>
      <c r="L115" s="93" t="s">
        <v>166</v>
      </c>
      <c r="M115" s="94">
        <v>1.89E-2</v>
      </c>
      <c r="N115" s="94">
        <v>1.1500000000006205E-2</v>
      </c>
      <c r="O115" s="87">
        <f>627769.78175/50000</f>
        <v>12.555395635</v>
      </c>
      <c r="P115" s="89">
        <v>5134000</v>
      </c>
      <c r="Q115" s="80"/>
      <c r="R115" s="87">
        <v>644.59404016400003</v>
      </c>
      <c r="S115" s="88">
        <f>2879.94211280851%/50000</f>
        <v>5.7598842256170203E-4</v>
      </c>
      <c r="T115" s="88">
        <f t="shared" si="1"/>
        <v>7.0117944990479826E-3</v>
      </c>
      <c r="U115" s="88">
        <f>R115/'סכום נכסי הקרן'!$C$42</f>
        <v>1.7733058887195704E-4</v>
      </c>
    </row>
    <row r="116" spans="2:21">
      <c r="B116" s="86" t="s">
        <v>537</v>
      </c>
      <c r="C116" s="80" t="s">
        <v>538</v>
      </c>
      <c r="D116" s="93" t="s">
        <v>122</v>
      </c>
      <c r="E116" s="93" t="s">
        <v>290</v>
      </c>
      <c r="F116" s="80" t="s">
        <v>316</v>
      </c>
      <c r="G116" s="93" t="s">
        <v>298</v>
      </c>
      <c r="H116" s="80" t="s">
        <v>474</v>
      </c>
      <c r="I116" s="80" t="s">
        <v>294</v>
      </c>
      <c r="J116" s="80"/>
      <c r="K116" s="87">
        <v>1.9300000000007942</v>
      </c>
      <c r="L116" s="93" t="s">
        <v>166</v>
      </c>
      <c r="M116" s="94">
        <v>4.4999999999999998E-2</v>
      </c>
      <c r="N116" s="94">
        <v>9.9999999998866051E-5</v>
      </c>
      <c r="O116" s="87">
        <v>660345.46301099996</v>
      </c>
      <c r="P116" s="89">
        <v>132.18</v>
      </c>
      <c r="Q116" s="87">
        <v>9.0110333570000005</v>
      </c>
      <c r="R116" s="87">
        <v>881.85565090999989</v>
      </c>
      <c r="S116" s="88">
        <v>3.8798563666834568E-4</v>
      </c>
      <c r="T116" s="88">
        <f t="shared" si="1"/>
        <v>9.5926896879653337E-3</v>
      </c>
      <c r="U116" s="88">
        <f>R116/'סכום נכסי הקרן'!$C$42</f>
        <v>2.4260227698684038E-4</v>
      </c>
    </row>
    <row r="117" spans="2:21">
      <c r="B117" s="86" t="s">
        <v>539</v>
      </c>
      <c r="C117" s="80" t="s">
        <v>540</v>
      </c>
      <c r="D117" s="93" t="s">
        <v>122</v>
      </c>
      <c r="E117" s="93" t="s">
        <v>290</v>
      </c>
      <c r="F117" s="80" t="s">
        <v>449</v>
      </c>
      <c r="G117" s="93" t="s">
        <v>360</v>
      </c>
      <c r="H117" s="80" t="s">
        <v>474</v>
      </c>
      <c r="I117" s="80" t="s">
        <v>294</v>
      </c>
      <c r="J117" s="80"/>
      <c r="K117" s="87">
        <v>2.1999999999961948</v>
      </c>
      <c r="L117" s="93" t="s">
        <v>166</v>
      </c>
      <c r="M117" s="94">
        <v>4.9000000000000002E-2</v>
      </c>
      <c r="N117" s="94">
        <v>-1.2999999999974631E-3</v>
      </c>
      <c r="O117" s="87">
        <v>270211.24817199999</v>
      </c>
      <c r="P117" s="89">
        <v>116.71</v>
      </c>
      <c r="Q117" s="80"/>
      <c r="R117" s="87">
        <v>315.363561516</v>
      </c>
      <c r="S117" s="88">
        <v>5.0790573813786421E-4</v>
      </c>
      <c r="T117" s="88">
        <f t="shared" si="1"/>
        <v>3.43047615717246E-3</v>
      </c>
      <c r="U117" s="88">
        <f>R117/'סכום נכסי הקרן'!$C$42</f>
        <v>8.6757870206435092E-5</v>
      </c>
    </row>
    <row r="118" spans="2:21">
      <c r="B118" s="86" t="s">
        <v>541</v>
      </c>
      <c r="C118" s="80" t="s">
        <v>542</v>
      </c>
      <c r="D118" s="93" t="s">
        <v>122</v>
      </c>
      <c r="E118" s="93" t="s">
        <v>290</v>
      </c>
      <c r="F118" s="80" t="s">
        <v>449</v>
      </c>
      <c r="G118" s="93" t="s">
        <v>360</v>
      </c>
      <c r="H118" s="80" t="s">
        <v>474</v>
      </c>
      <c r="I118" s="80" t="s">
        <v>294</v>
      </c>
      <c r="J118" s="80"/>
      <c r="K118" s="87">
        <v>1.8599999999996379</v>
      </c>
      <c r="L118" s="93" t="s">
        <v>166</v>
      </c>
      <c r="M118" s="94">
        <v>5.8499999999999996E-2</v>
      </c>
      <c r="N118" s="94">
        <v>-1.1999999999837061E-3</v>
      </c>
      <c r="O118" s="87">
        <v>181097.987849</v>
      </c>
      <c r="P118" s="89">
        <v>122</v>
      </c>
      <c r="Q118" s="80"/>
      <c r="R118" s="87">
        <v>220.93954482799998</v>
      </c>
      <c r="S118" s="88">
        <v>2.1951946948655531E-4</v>
      </c>
      <c r="T118" s="88">
        <f t="shared" si="1"/>
        <v>2.4033462745839018E-3</v>
      </c>
      <c r="U118" s="88">
        <f>R118/'סכום נכסי הקרן'!$C$42</f>
        <v>6.0781417680317416E-5</v>
      </c>
    </row>
    <row r="119" spans="2:21">
      <c r="B119" s="86" t="s">
        <v>543</v>
      </c>
      <c r="C119" s="80" t="s">
        <v>544</v>
      </c>
      <c r="D119" s="93" t="s">
        <v>122</v>
      </c>
      <c r="E119" s="93" t="s">
        <v>290</v>
      </c>
      <c r="F119" s="80" t="s">
        <v>449</v>
      </c>
      <c r="G119" s="93" t="s">
        <v>360</v>
      </c>
      <c r="H119" s="80" t="s">
        <v>474</v>
      </c>
      <c r="I119" s="80" t="s">
        <v>294</v>
      </c>
      <c r="J119" s="80"/>
      <c r="K119" s="87">
        <v>6.679999999990021</v>
      </c>
      <c r="L119" s="93" t="s">
        <v>166</v>
      </c>
      <c r="M119" s="94">
        <v>2.2499999999999999E-2</v>
      </c>
      <c r="N119" s="94">
        <v>9.1999999999868194E-3</v>
      </c>
      <c r="O119" s="87">
        <v>187303.50194399996</v>
      </c>
      <c r="P119" s="89">
        <v>111.2</v>
      </c>
      <c r="Q119" s="87">
        <v>4.1581221099999999</v>
      </c>
      <c r="R119" s="87">
        <v>212.43961628399998</v>
      </c>
      <c r="S119" s="88">
        <v>4.8120238245988182E-4</v>
      </c>
      <c r="T119" s="88">
        <f t="shared" si="1"/>
        <v>2.3108853635398648E-3</v>
      </c>
      <c r="U119" s="88">
        <f>R119/'סכום נכסי הקרן'!$C$42</f>
        <v>5.8443050832101463E-5</v>
      </c>
    </row>
    <row r="120" spans="2:21">
      <c r="B120" s="86" t="s">
        <v>545</v>
      </c>
      <c r="C120" s="80" t="s">
        <v>546</v>
      </c>
      <c r="D120" s="93" t="s">
        <v>122</v>
      </c>
      <c r="E120" s="93" t="s">
        <v>290</v>
      </c>
      <c r="F120" s="80" t="s">
        <v>547</v>
      </c>
      <c r="G120" s="93" t="s">
        <v>420</v>
      </c>
      <c r="H120" s="80" t="s">
        <v>482</v>
      </c>
      <c r="I120" s="80" t="s">
        <v>162</v>
      </c>
      <c r="J120" s="80"/>
      <c r="K120" s="87">
        <v>1.4700000000031836</v>
      </c>
      <c r="L120" s="93" t="s">
        <v>166</v>
      </c>
      <c r="M120" s="94">
        <v>4.0500000000000001E-2</v>
      </c>
      <c r="N120" s="94">
        <v>-1.2000000000110739E-3</v>
      </c>
      <c r="O120" s="87">
        <v>55042.069733999997</v>
      </c>
      <c r="P120" s="89">
        <v>131.25</v>
      </c>
      <c r="Q120" s="80"/>
      <c r="R120" s="87">
        <v>72.242718691000007</v>
      </c>
      <c r="S120" s="88">
        <v>5.0455096042577221E-4</v>
      </c>
      <c r="T120" s="88">
        <f t="shared" si="1"/>
        <v>7.858451458610231E-4</v>
      </c>
      <c r="U120" s="88">
        <f>R120/'סכום נכסי הקרן'!$C$42</f>
        <v>1.9874282182203832E-5</v>
      </c>
    </row>
    <row r="121" spans="2:21">
      <c r="B121" s="86" t="s">
        <v>548</v>
      </c>
      <c r="C121" s="80" t="s">
        <v>549</v>
      </c>
      <c r="D121" s="93" t="s">
        <v>122</v>
      </c>
      <c r="E121" s="93" t="s">
        <v>290</v>
      </c>
      <c r="F121" s="80" t="s">
        <v>550</v>
      </c>
      <c r="G121" s="93" t="s">
        <v>360</v>
      </c>
      <c r="H121" s="80" t="s">
        <v>482</v>
      </c>
      <c r="I121" s="80" t="s">
        <v>162</v>
      </c>
      <c r="J121" s="80"/>
      <c r="K121" s="87">
        <v>7.2699999999956511</v>
      </c>
      <c r="L121" s="93" t="s">
        <v>166</v>
      </c>
      <c r="M121" s="94">
        <v>1.9599999999999999E-2</v>
      </c>
      <c r="N121" s="94">
        <v>5.6000000000021224E-3</v>
      </c>
      <c r="O121" s="87">
        <v>335484.55565400003</v>
      </c>
      <c r="P121" s="89">
        <v>112.38</v>
      </c>
      <c r="Q121" s="80"/>
      <c r="R121" s="87">
        <v>377.01753843199998</v>
      </c>
      <c r="S121" s="88">
        <v>3.4014055156667119E-4</v>
      </c>
      <c r="T121" s="88">
        <f t="shared" si="1"/>
        <v>4.1011386039956589E-3</v>
      </c>
      <c r="U121" s="88">
        <f>R121/'סכום נכסי הקרן'!$C$42</f>
        <v>1.0371914404947385E-4</v>
      </c>
    </row>
    <row r="122" spans="2:21">
      <c r="B122" s="86" t="s">
        <v>551</v>
      </c>
      <c r="C122" s="80" t="s">
        <v>552</v>
      </c>
      <c r="D122" s="93" t="s">
        <v>122</v>
      </c>
      <c r="E122" s="93" t="s">
        <v>290</v>
      </c>
      <c r="F122" s="80" t="s">
        <v>550</v>
      </c>
      <c r="G122" s="93" t="s">
        <v>360</v>
      </c>
      <c r="H122" s="80" t="s">
        <v>482</v>
      </c>
      <c r="I122" s="80" t="s">
        <v>162</v>
      </c>
      <c r="J122" s="80"/>
      <c r="K122" s="87">
        <v>3.1300000000070263</v>
      </c>
      <c r="L122" s="93" t="s">
        <v>166</v>
      </c>
      <c r="M122" s="94">
        <v>2.75E-2</v>
      </c>
      <c r="N122" s="94">
        <v>5.9999999997759773E-4</v>
      </c>
      <c r="O122" s="87">
        <v>87909.901801999993</v>
      </c>
      <c r="P122" s="89">
        <v>111.71</v>
      </c>
      <c r="Q122" s="80"/>
      <c r="R122" s="87">
        <v>98.204156087000001</v>
      </c>
      <c r="S122" s="88">
        <v>1.9843112427103763E-4</v>
      </c>
      <c r="T122" s="88">
        <f t="shared" si="1"/>
        <v>1.0682496556426167E-3</v>
      </c>
      <c r="U122" s="88">
        <f>R122/'סכום נכסי הקרן'!$C$42</f>
        <v>2.7016385109844649E-5</v>
      </c>
    </row>
    <row r="123" spans="2:21">
      <c r="B123" s="86" t="s">
        <v>553</v>
      </c>
      <c r="C123" s="80" t="s">
        <v>554</v>
      </c>
      <c r="D123" s="93" t="s">
        <v>122</v>
      </c>
      <c r="E123" s="93" t="s">
        <v>290</v>
      </c>
      <c r="F123" s="80" t="s">
        <v>338</v>
      </c>
      <c r="G123" s="93" t="s">
        <v>298</v>
      </c>
      <c r="H123" s="80" t="s">
        <v>482</v>
      </c>
      <c r="I123" s="80" t="s">
        <v>162</v>
      </c>
      <c r="J123" s="80"/>
      <c r="K123" s="87">
        <v>3.2500000000021823</v>
      </c>
      <c r="L123" s="93" t="s">
        <v>166</v>
      </c>
      <c r="M123" s="94">
        <v>1.4199999999999999E-2</v>
      </c>
      <c r="N123" s="94">
        <v>8.1000000000036668E-3</v>
      </c>
      <c r="O123" s="87">
        <f>548111.48025/50000</f>
        <v>10.962229605000001</v>
      </c>
      <c r="P123" s="89">
        <v>5225000</v>
      </c>
      <c r="Q123" s="80"/>
      <c r="R123" s="87">
        <v>572.77651885899991</v>
      </c>
      <c r="S123" s="88">
        <f>2586.28547279762%/50000</f>
        <v>5.1725709455952397E-4</v>
      </c>
      <c r="T123" s="88">
        <f t="shared" si="1"/>
        <v>6.2305745847379759E-3</v>
      </c>
      <c r="U123" s="88">
        <f>R123/'סכום נכסי הקרן'!$C$42</f>
        <v>1.5757328031679293E-4</v>
      </c>
    </row>
    <row r="124" spans="2:21">
      <c r="B124" s="86" t="s">
        <v>555</v>
      </c>
      <c r="C124" s="80" t="s">
        <v>556</v>
      </c>
      <c r="D124" s="93" t="s">
        <v>122</v>
      </c>
      <c r="E124" s="93" t="s">
        <v>290</v>
      </c>
      <c r="F124" s="80" t="s">
        <v>338</v>
      </c>
      <c r="G124" s="93" t="s">
        <v>298</v>
      </c>
      <c r="H124" s="80" t="s">
        <v>482</v>
      </c>
      <c r="I124" s="80" t="s">
        <v>162</v>
      </c>
      <c r="J124" s="80"/>
      <c r="K124" s="87">
        <v>3.9099999999953492</v>
      </c>
      <c r="L124" s="93" t="s">
        <v>166</v>
      </c>
      <c r="M124" s="94">
        <v>1.5900000000000001E-2</v>
      </c>
      <c r="N124" s="94">
        <v>7.8000000000014447E-3</v>
      </c>
      <c r="O124" s="87">
        <f>399850.65575/50000</f>
        <v>7.9970131149999997</v>
      </c>
      <c r="P124" s="89">
        <v>5190000</v>
      </c>
      <c r="Q124" s="80"/>
      <c r="R124" s="87">
        <v>415.04497562300008</v>
      </c>
      <c r="S124" s="88">
        <f>2671.01306446226%/50000</f>
        <v>5.3420261289245197E-4</v>
      </c>
      <c r="T124" s="88">
        <f t="shared" si="1"/>
        <v>4.5147951975951089E-3</v>
      </c>
      <c r="U124" s="88">
        <f>R124/'סכום נכסי הקרן'!$C$42</f>
        <v>1.1418065534215616E-4</v>
      </c>
    </row>
    <row r="125" spans="2:21">
      <c r="B125" s="86" t="s">
        <v>557</v>
      </c>
      <c r="C125" s="80" t="s">
        <v>558</v>
      </c>
      <c r="D125" s="93" t="s">
        <v>122</v>
      </c>
      <c r="E125" s="93" t="s">
        <v>290</v>
      </c>
      <c r="F125" s="80" t="s">
        <v>559</v>
      </c>
      <c r="G125" s="93" t="s">
        <v>424</v>
      </c>
      <c r="H125" s="80" t="s">
        <v>474</v>
      </c>
      <c r="I125" s="80" t="s">
        <v>294</v>
      </c>
      <c r="J125" s="80"/>
      <c r="K125" s="87">
        <v>4.7700000000063003</v>
      </c>
      <c r="L125" s="93" t="s">
        <v>166</v>
      </c>
      <c r="M125" s="94">
        <v>1.9400000000000001E-2</v>
      </c>
      <c r="N125" s="94">
        <v>1.100000000000589E-3</v>
      </c>
      <c r="O125" s="87">
        <v>306932.93264900002</v>
      </c>
      <c r="P125" s="89">
        <v>110.68</v>
      </c>
      <c r="Q125" s="80"/>
      <c r="R125" s="87">
        <v>339.71334161799996</v>
      </c>
      <c r="S125" s="88">
        <v>5.6627053152971045E-4</v>
      </c>
      <c r="T125" s="88">
        <f t="shared" si="1"/>
        <v>3.6953493076111329E-3</v>
      </c>
      <c r="U125" s="88">
        <f>R125/'סכום נכסי הקרן'!$C$42</f>
        <v>9.345659929069985E-5</v>
      </c>
    </row>
    <row r="126" spans="2:21">
      <c r="B126" s="86" t="s">
        <v>560</v>
      </c>
      <c r="C126" s="80" t="s">
        <v>561</v>
      </c>
      <c r="D126" s="93" t="s">
        <v>122</v>
      </c>
      <c r="E126" s="93" t="s">
        <v>290</v>
      </c>
      <c r="F126" s="80" t="s">
        <v>559</v>
      </c>
      <c r="G126" s="93" t="s">
        <v>424</v>
      </c>
      <c r="H126" s="80" t="s">
        <v>474</v>
      </c>
      <c r="I126" s="80" t="s">
        <v>294</v>
      </c>
      <c r="J126" s="80"/>
      <c r="K126" s="87">
        <v>5.800000000002119</v>
      </c>
      <c r="L126" s="93" t="s">
        <v>166</v>
      </c>
      <c r="M126" s="94">
        <v>1.23E-2</v>
      </c>
      <c r="N126" s="94">
        <v>3.0000000000052962E-3</v>
      </c>
      <c r="O126" s="87">
        <v>883593.95741399983</v>
      </c>
      <c r="P126" s="89">
        <v>106.86</v>
      </c>
      <c r="Q126" s="80"/>
      <c r="R126" s="87">
        <v>944.20850808499983</v>
      </c>
      <c r="S126" s="88">
        <v>6.0537507504825007E-4</v>
      </c>
      <c r="T126" s="88">
        <f t="shared" si="1"/>
        <v>1.0270954446398958E-2</v>
      </c>
      <c r="U126" s="88">
        <f>R126/'סכום נכסי הקרן'!$C$42</f>
        <v>2.5975581579070303E-4</v>
      </c>
    </row>
    <row r="127" spans="2:21">
      <c r="B127" s="86" t="s">
        <v>562</v>
      </c>
      <c r="C127" s="80" t="s">
        <v>563</v>
      </c>
      <c r="D127" s="93" t="s">
        <v>122</v>
      </c>
      <c r="E127" s="93" t="s">
        <v>290</v>
      </c>
      <c r="F127" s="80" t="s">
        <v>564</v>
      </c>
      <c r="G127" s="93" t="s">
        <v>420</v>
      </c>
      <c r="H127" s="80" t="s">
        <v>482</v>
      </c>
      <c r="I127" s="80" t="s">
        <v>162</v>
      </c>
      <c r="J127" s="80"/>
      <c r="K127" s="87">
        <v>6.389999999985247</v>
      </c>
      <c r="L127" s="93" t="s">
        <v>166</v>
      </c>
      <c r="M127" s="94">
        <v>2.2499999999999999E-2</v>
      </c>
      <c r="N127" s="94">
        <v>3.3000000000012607E-3</v>
      </c>
      <c r="O127" s="87">
        <v>137324.696012</v>
      </c>
      <c r="P127" s="89">
        <v>115.5</v>
      </c>
      <c r="Q127" s="80"/>
      <c r="R127" s="87">
        <v>158.61001860600001</v>
      </c>
      <c r="S127" s="88">
        <v>3.356618922204083E-4</v>
      </c>
      <c r="T127" s="88">
        <f t="shared" si="1"/>
        <v>1.7253353066567201E-3</v>
      </c>
      <c r="U127" s="88">
        <f>R127/'סכום נכסי הקרן'!$C$42</f>
        <v>4.3634297321827575E-5</v>
      </c>
    </row>
    <row r="128" spans="2:21">
      <c r="B128" s="86" t="s">
        <v>565</v>
      </c>
      <c r="C128" s="80" t="s">
        <v>566</v>
      </c>
      <c r="D128" s="93" t="s">
        <v>122</v>
      </c>
      <c r="E128" s="93" t="s">
        <v>290</v>
      </c>
      <c r="F128" s="80" t="s">
        <v>567</v>
      </c>
      <c r="G128" s="93" t="s">
        <v>158</v>
      </c>
      <c r="H128" s="80" t="s">
        <v>474</v>
      </c>
      <c r="I128" s="80" t="s">
        <v>294</v>
      </c>
      <c r="J128" s="80"/>
      <c r="K128" s="87">
        <v>1.7600000000015457</v>
      </c>
      <c r="L128" s="93" t="s">
        <v>166</v>
      </c>
      <c r="M128" s="94">
        <v>2.1499999999999998E-2</v>
      </c>
      <c r="N128" s="94">
        <v>1.600000000005796E-3</v>
      </c>
      <c r="O128" s="87">
        <v>366182.88969700009</v>
      </c>
      <c r="P128" s="89">
        <v>104.71</v>
      </c>
      <c r="Q128" s="87">
        <v>30.649215558999998</v>
      </c>
      <c r="R128" s="87">
        <v>414.07931936099999</v>
      </c>
      <c r="S128" s="88">
        <v>5.2025875092961027E-4</v>
      </c>
      <c r="T128" s="88">
        <f t="shared" si="1"/>
        <v>4.5042909377913092E-3</v>
      </c>
      <c r="U128" s="88">
        <f>R128/'סכום נכסי הקרן'!$C$42</f>
        <v>1.1391499915714893E-4</v>
      </c>
    </row>
    <row r="129" spans="2:21">
      <c r="B129" s="86" t="s">
        <v>568</v>
      </c>
      <c r="C129" s="80" t="s">
        <v>569</v>
      </c>
      <c r="D129" s="93" t="s">
        <v>122</v>
      </c>
      <c r="E129" s="93" t="s">
        <v>290</v>
      </c>
      <c r="F129" s="80" t="s">
        <v>567</v>
      </c>
      <c r="G129" s="93" t="s">
        <v>158</v>
      </c>
      <c r="H129" s="80" t="s">
        <v>474</v>
      </c>
      <c r="I129" s="80" t="s">
        <v>294</v>
      </c>
      <c r="J129" s="80"/>
      <c r="K129" s="87">
        <v>3.2700000000021849</v>
      </c>
      <c r="L129" s="93" t="s">
        <v>166</v>
      </c>
      <c r="M129" s="94">
        <v>1.8000000000000002E-2</v>
      </c>
      <c r="N129" s="94">
        <v>3.1999999999984398E-3</v>
      </c>
      <c r="O129" s="87">
        <v>241525.45860300001</v>
      </c>
      <c r="P129" s="89">
        <v>106.11</v>
      </c>
      <c r="Q129" s="80"/>
      <c r="R129" s="87">
        <v>256.282665372</v>
      </c>
      <c r="S129" s="88">
        <v>3.3375302408373696E-4</v>
      </c>
      <c r="T129" s="88">
        <f t="shared" si="1"/>
        <v>2.7878032859248044E-3</v>
      </c>
      <c r="U129" s="88">
        <f>R129/'סכום נכסי הקרן'!$C$42</f>
        <v>7.0504461934722096E-5</v>
      </c>
    </row>
    <row r="130" spans="2:21">
      <c r="B130" s="86" t="s">
        <v>570</v>
      </c>
      <c r="C130" s="80" t="s">
        <v>571</v>
      </c>
      <c r="D130" s="93" t="s">
        <v>122</v>
      </c>
      <c r="E130" s="93" t="s">
        <v>290</v>
      </c>
      <c r="F130" s="80" t="s">
        <v>572</v>
      </c>
      <c r="G130" s="93" t="s">
        <v>298</v>
      </c>
      <c r="H130" s="80" t="s">
        <v>573</v>
      </c>
      <c r="I130" s="80" t="s">
        <v>162</v>
      </c>
      <c r="J130" s="80"/>
      <c r="K130" s="87">
        <v>1</v>
      </c>
      <c r="L130" s="93" t="s">
        <v>166</v>
      </c>
      <c r="M130" s="94">
        <v>4.1500000000000002E-2</v>
      </c>
      <c r="N130" s="94">
        <v>-4.6000000003246335E-3</v>
      </c>
      <c r="O130" s="87">
        <v>11071.573947000001</v>
      </c>
      <c r="P130" s="89">
        <v>111.29</v>
      </c>
      <c r="Q130" s="80"/>
      <c r="R130" s="87">
        <v>12.321554410000001</v>
      </c>
      <c r="S130" s="88">
        <v>5.5193182660781288E-5</v>
      </c>
      <c r="T130" s="88">
        <f t="shared" si="1"/>
        <v>1.3403196748418148E-4</v>
      </c>
      <c r="U130" s="88">
        <f>R130/'סכום נכסי הקרן'!$C$42</f>
        <v>3.3897125371920071E-6</v>
      </c>
    </row>
    <row r="131" spans="2:21">
      <c r="B131" s="86" t="s">
        <v>574</v>
      </c>
      <c r="C131" s="80" t="s">
        <v>575</v>
      </c>
      <c r="D131" s="93" t="s">
        <v>122</v>
      </c>
      <c r="E131" s="93" t="s">
        <v>290</v>
      </c>
      <c r="F131" s="80" t="s">
        <v>576</v>
      </c>
      <c r="G131" s="93" t="s">
        <v>158</v>
      </c>
      <c r="H131" s="80" t="s">
        <v>577</v>
      </c>
      <c r="I131" s="80" t="s">
        <v>294</v>
      </c>
      <c r="J131" s="80"/>
      <c r="K131" s="87">
        <v>2.1700000000039474</v>
      </c>
      <c r="L131" s="93" t="s">
        <v>166</v>
      </c>
      <c r="M131" s="94">
        <v>3.15E-2</v>
      </c>
      <c r="N131" s="94">
        <v>1.7900000000019071E-2</v>
      </c>
      <c r="O131" s="87">
        <v>216387.103986</v>
      </c>
      <c r="P131" s="89">
        <v>104.2</v>
      </c>
      <c r="Q131" s="80"/>
      <c r="R131" s="87">
        <v>225.475370983</v>
      </c>
      <c r="S131" s="88">
        <v>4.5588483373327463E-4</v>
      </c>
      <c r="T131" s="88">
        <f t="shared" si="1"/>
        <v>2.4526862915567171E-3</v>
      </c>
      <c r="U131" s="88">
        <f>R131/'סכום נכסי הקרן'!$C$42</f>
        <v>6.2029242936167329E-5</v>
      </c>
    </row>
    <row r="132" spans="2:21">
      <c r="B132" s="86" t="s">
        <v>578</v>
      </c>
      <c r="C132" s="80" t="s">
        <v>579</v>
      </c>
      <c r="D132" s="93" t="s">
        <v>122</v>
      </c>
      <c r="E132" s="93" t="s">
        <v>290</v>
      </c>
      <c r="F132" s="80" t="s">
        <v>576</v>
      </c>
      <c r="G132" s="93" t="s">
        <v>158</v>
      </c>
      <c r="H132" s="80" t="s">
        <v>577</v>
      </c>
      <c r="I132" s="80" t="s">
        <v>294</v>
      </c>
      <c r="J132" s="80"/>
      <c r="K132" s="87">
        <v>1.7900000000007585</v>
      </c>
      <c r="L132" s="93" t="s">
        <v>166</v>
      </c>
      <c r="M132" s="94">
        <v>2.8500000000000001E-2</v>
      </c>
      <c r="N132" s="94">
        <v>1.5700000000060686E-2</v>
      </c>
      <c r="O132" s="87">
        <v>100885.321994</v>
      </c>
      <c r="P132" s="89">
        <v>104.54</v>
      </c>
      <c r="Q132" s="80"/>
      <c r="R132" s="87">
        <v>105.465512448</v>
      </c>
      <c r="S132" s="88">
        <v>4.6124271468348703E-4</v>
      </c>
      <c r="T132" s="88">
        <f t="shared" si="1"/>
        <v>1.1472375696089526E-3</v>
      </c>
      <c r="U132" s="88">
        <f>R132/'סכום נכסי הקרן'!$C$42</f>
        <v>2.9014015431058368E-5</v>
      </c>
    </row>
    <row r="133" spans="2:21">
      <c r="B133" s="86" t="s">
        <v>580</v>
      </c>
      <c r="C133" s="80" t="s">
        <v>581</v>
      </c>
      <c r="D133" s="93" t="s">
        <v>122</v>
      </c>
      <c r="E133" s="93" t="s">
        <v>290</v>
      </c>
      <c r="F133" s="80" t="s">
        <v>582</v>
      </c>
      <c r="G133" s="93" t="s">
        <v>360</v>
      </c>
      <c r="H133" s="80" t="s">
        <v>573</v>
      </c>
      <c r="I133" s="80" t="s">
        <v>162</v>
      </c>
      <c r="J133" s="80"/>
      <c r="K133" s="87">
        <v>4.8699999999842492</v>
      </c>
      <c r="L133" s="93" t="s">
        <v>166</v>
      </c>
      <c r="M133" s="94">
        <v>2.5000000000000001E-2</v>
      </c>
      <c r="N133" s="94">
        <v>6.4999999999541648E-3</v>
      </c>
      <c r="O133" s="87">
        <v>107869.968737</v>
      </c>
      <c r="P133" s="89">
        <v>111.24</v>
      </c>
      <c r="Q133" s="80"/>
      <c r="R133" s="87">
        <v>119.99455264700001</v>
      </c>
      <c r="S133" s="88">
        <v>4.7769635953021165E-4</v>
      </c>
      <c r="T133" s="88">
        <f t="shared" si="1"/>
        <v>1.3052822268600124E-3</v>
      </c>
      <c r="U133" s="88">
        <f>R133/'סכום נכסי הקרן'!$C$42</f>
        <v>3.3011016789583957E-5</v>
      </c>
    </row>
    <row r="134" spans="2:21">
      <c r="B134" s="86" t="s">
        <v>583</v>
      </c>
      <c r="C134" s="80" t="s">
        <v>584</v>
      </c>
      <c r="D134" s="93" t="s">
        <v>122</v>
      </c>
      <c r="E134" s="93" t="s">
        <v>290</v>
      </c>
      <c r="F134" s="80" t="s">
        <v>582</v>
      </c>
      <c r="G134" s="93" t="s">
        <v>360</v>
      </c>
      <c r="H134" s="80" t="s">
        <v>573</v>
      </c>
      <c r="I134" s="80" t="s">
        <v>162</v>
      </c>
      <c r="J134" s="80"/>
      <c r="K134" s="87">
        <v>7.2599999999948892</v>
      </c>
      <c r="L134" s="93" t="s">
        <v>166</v>
      </c>
      <c r="M134" s="94">
        <v>1.9E-2</v>
      </c>
      <c r="N134" s="94">
        <v>1.2199999999996068E-2</v>
      </c>
      <c r="O134" s="87">
        <v>239417.54194900003</v>
      </c>
      <c r="P134" s="89">
        <v>106.26</v>
      </c>
      <c r="Q134" s="80"/>
      <c r="R134" s="87">
        <v>254.40508085499999</v>
      </c>
      <c r="S134" s="88">
        <v>1.0322711662559157E-3</v>
      </c>
      <c r="T134" s="88">
        <f t="shared" si="1"/>
        <v>2.767379211286372E-3</v>
      </c>
      <c r="U134" s="88">
        <f>R134/'סכום נכסי הקרן'!$C$42</f>
        <v>6.9987930370186117E-5</v>
      </c>
    </row>
    <row r="135" spans="2:21">
      <c r="B135" s="86" t="s">
        <v>585</v>
      </c>
      <c r="C135" s="80" t="s">
        <v>586</v>
      </c>
      <c r="D135" s="93" t="s">
        <v>122</v>
      </c>
      <c r="E135" s="93" t="s">
        <v>290</v>
      </c>
      <c r="F135" s="80" t="s">
        <v>527</v>
      </c>
      <c r="G135" s="93" t="s">
        <v>360</v>
      </c>
      <c r="H135" s="80" t="s">
        <v>577</v>
      </c>
      <c r="I135" s="80" t="s">
        <v>294</v>
      </c>
      <c r="J135" s="80"/>
      <c r="K135" s="87">
        <v>6.5600000000687544</v>
      </c>
      <c r="L135" s="93" t="s">
        <v>166</v>
      </c>
      <c r="M135" s="94">
        <v>2.81E-2</v>
      </c>
      <c r="N135" s="94">
        <v>6.5000000000758314E-3</v>
      </c>
      <c r="O135" s="87">
        <v>33839.169498000003</v>
      </c>
      <c r="P135" s="89">
        <v>116.91</v>
      </c>
      <c r="Q135" s="80"/>
      <c r="R135" s="87">
        <v>39.561373037999999</v>
      </c>
      <c r="S135" s="88">
        <v>6.8039636268549638E-5</v>
      </c>
      <c r="T135" s="88">
        <f t="shared" si="1"/>
        <v>4.3034251103540671E-4</v>
      </c>
      <c r="U135" s="88">
        <f>R135/'סכום נכסי הקרן'!$C$42</f>
        <v>1.088350363218811E-5</v>
      </c>
    </row>
    <row r="136" spans="2:21">
      <c r="B136" s="86" t="s">
        <v>587</v>
      </c>
      <c r="C136" s="80" t="s">
        <v>588</v>
      </c>
      <c r="D136" s="93" t="s">
        <v>122</v>
      </c>
      <c r="E136" s="93" t="s">
        <v>290</v>
      </c>
      <c r="F136" s="80" t="s">
        <v>527</v>
      </c>
      <c r="G136" s="93" t="s">
        <v>360</v>
      </c>
      <c r="H136" s="80" t="s">
        <v>577</v>
      </c>
      <c r="I136" s="80" t="s">
        <v>294</v>
      </c>
      <c r="J136" s="80"/>
      <c r="K136" s="87">
        <v>4.490000000013004</v>
      </c>
      <c r="L136" s="93" t="s">
        <v>166</v>
      </c>
      <c r="M136" s="94">
        <v>3.7000000000000005E-2</v>
      </c>
      <c r="N136" s="94">
        <v>4.0999999999798524E-3</v>
      </c>
      <c r="O136" s="87">
        <v>93980.227025999979</v>
      </c>
      <c r="P136" s="89">
        <v>116.19</v>
      </c>
      <c r="Q136" s="80"/>
      <c r="R136" s="87">
        <v>109.195626042</v>
      </c>
      <c r="S136" s="88">
        <v>1.4705489643349859E-4</v>
      </c>
      <c r="T136" s="88">
        <f t="shared" si="1"/>
        <v>1.1878131696759016E-3</v>
      </c>
      <c r="U136" s="88">
        <f>R136/'סכום נכסי הקרן'!$C$42</f>
        <v>3.0040185700977433E-5</v>
      </c>
    </row>
    <row r="137" spans="2:21">
      <c r="B137" s="86" t="s">
        <v>589</v>
      </c>
      <c r="C137" s="80" t="s">
        <v>590</v>
      </c>
      <c r="D137" s="93" t="s">
        <v>122</v>
      </c>
      <c r="E137" s="93" t="s">
        <v>290</v>
      </c>
      <c r="F137" s="80" t="s">
        <v>527</v>
      </c>
      <c r="G137" s="93" t="s">
        <v>360</v>
      </c>
      <c r="H137" s="80" t="s">
        <v>573</v>
      </c>
      <c r="I137" s="80" t="s">
        <v>162</v>
      </c>
      <c r="J137" s="80"/>
      <c r="K137" s="87">
        <v>3.2899999999236567</v>
      </c>
      <c r="L137" s="93" t="s">
        <v>166</v>
      </c>
      <c r="M137" s="94">
        <v>4.4000000000000004E-2</v>
      </c>
      <c r="N137" s="94">
        <v>6.9999999950601255E-4</v>
      </c>
      <c r="O137" s="87">
        <v>7705.777556</v>
      </c>
      <c r="P137" s="89">
        <v>115.59</v>
      </c>
      <c r="Q137" s="80"/>
      <c r="R137" s="87">
        <v>8.9071088920000001</v>
      </c>
      <c r="S137" s="88">
        <v>2.9705929622747705E-5</v>
      </c>
      <c r="T137" s="88">
        <f t="shared" si="1"/>
        <v>9.6890156035971079E-5</v>
      </c>
      <c r="U137" s="88">
        <f>R137/'סכום נכסי הקרן'!$C$42</f>
        <v>2.4503839107217646E-6</v>
      </c>
    </row>
    <row r="138" spans="2:21">
      <c r="B138" s="86" t="s">
        <v>591</v>
      </c>
      <c r="C138" s="80" t="s">
        <v>592</v>
      </c>
      <c r="D138" s="93" t="s">
        <v>122</v>
      </c>
      <c r="E138" s="93" t="s">
        <v>290</v>
      </c>
      <c r="F138" s="80" t="s">
        <v>527</v>
      </c>
      <c r="G138" s="93" t="s">
        <v>360</v>
      </c>
      <c r="H138" s="80" t="s">
        <v>573</v>
      </c>
      <c r="I138" s="80" t="s">
        <v>162</v>
      </c>
      <c r="J138" s="80"/>
      <c r="K138" s="87">
        <v>5.3099999999715006</v>
      </c>
      <c r="L138" s="93" t="s">
        <v>166</v>
      </c>
      <c r="M138" s="94">
        <v>2.4E-2</v>
      </c>
      <c r="N138" s="94">
        <v>3.9999999999118597E-3</v>
      </c>
      <c r="O138" s="87">
        <v>60220.300007999998</v>
      </c>
      <c r="P138" s="89">
        <v>113.04</v>
      </c>
      <c r="Q138" s="80"/>
      <c r="R138" s="87">
        <v>68.073027773999996</v>
      </c>
      <c r="S138" s="88">
        <v>1.2263572304609246E-4</v>
      </c>
      <c r="T138" s="88">
        <f t="shared" si="1"/>
        <v>7.4048789150739543E-4</v>
      </c>
      <c r="U138" s="88">
        <f>R138/'סכום נכסי הקרן'!$C$42</f>
        <v>1.8727182302816898E-5</v>
      </c>
    </row>
    <row r="139" spans="2:21">
      <c r="B139" s="86" t="s">
        <v>593</v>
      </c>
      <c r="C139" s="80" t="s">
        <v>594</v>
      </c>
      <c r="D139" s="93" t="s">
        <v>122</v>
      </c>
      <c r="E139" s="93" t="s">
        <v>290</v>
      </c>
      <c r="F139" s="80" t="s">
        <v>527</v>
      </c>
      <c r="G139" s="93" t="s">
        <v>360</v>
      </c>
      <c r="H139" s="80" t="s">
        <v>573</v>
      </c>
      <c r="I139" s="80" t="s">
        <v>162</v>
      </c>
      <c r="J139" s="80"/>
      <c r="K139" s="87">
        <v>6.4099999999985728</v>
      </c>
      <c r="L139" s="93" t="s">
        <v>166</v>
      </c>
      <c r="M139" s="94">
        <v>2.6000000000000002E-2</v>
      </c>
      <c r="N139" s="94">
        <v>7.3999999999948048E-3</v>
      </c>
      <c r="O139" s="87">
        <v>406633.58880299999</v>
      </c>
      <c r="P139" s="89">
        <v>113.62</v>
      </c>
      <c r="Q139" s="80"/>
      <c r="R139" s="87">
        <v>462.01708282599998</v>
      </c>
      <c r="S139" s="88">
        <v>6.9120388864921426E-4</v>
      </c>
      <c r="T139" s="88">
        <f t="shared" si="1"/>
        <v>5.0257505312976828E-3</v>
      </c>
      <c r="U139" s="88">
        <f>R139/'סכום נכסי הקרן'!$C$42</f>
        <v>1.2710288377099088E-4</v>
      </c>
    </row>
    <row r="140" spans="2:21">
      <c r="B140" s="86" t="s">
        <v>595</v>
      </c>
      <c r="C140" s="80" t="s">
        <v>596</v>
      </c>
      <c r="D140" s="93" t="s">
        <v>122</v>
      </c>
      <c r="E140" s="93" t="s">
        <v>290</v>
      </c>
      <c r="F140" s="80" t="s">
        <v>597</v>
      </c>
      <c r="G140" s="93" t="s">
        <v>360</v>
      </c>
      <c r="H140" s="80" t="s">
        <v>573</v>
      </c>
      <c r="I140" s="80" t="s">
        <v>162</v>
      </c>
      <c r="J140" s="80"/>
      <c r="K140" s="87">
        <v>0.49999999999408778</v>
      </c>
      <c r="L140" s="93" t="s">
        <v>166</v>
      </c>
      <c r="M140" s="94">
        <v>4.4999999999999998E-2</v>
      </c>
      <c r="N140" s="94">
        <v>-6.900000000015373E-3</v>
      </c>
      <c r="O140" s="87">
        <v>75929.249830000001</v>
      </c>
      <c r="P140" s="89">
        <v>111.38</v>
      </c>
      <c r="Q140" s="80"/>
      <c r="R140" s="87">
        <v>84.569998122999991</v>
      </c>
      <c r="S140" s="88">
        <v>4.3700287671942446E-4</v>
      </c>
      <c r="T140" s="88">
        <f t="shared" ref="T140:T158" si="2">R140/$R$11</f>
        <v>9.1993938925106957E-4</v>
      </c>
      <c r="U140" s="88">
        <f>R140/'סכום נכסי הקרן'!$C$42</f>
        <v>2.3265569697536042E-5</v>
      </c>
    </row>
    <row r="141" spans="2:21">
      <c r="B141" s="86" t="s">
        <v>598</v>
      </c>
      <c r="C141" s="80" t="s">
        <v>599</v>
      </c>
      <c r="D141" s="93" t="s">
        <v>122</v>
      </c>
      <c r="E141" s="93" t="s">
        <v>290</v>
      </c>
      <c r="F141" s="80" t="s">
        <v>597</v>
      </c>
      <c r="G141" s="93" t="s">
        <v>360</v>
      </c>
      <c r="H141" s="80" t="s">
        <v>573</v>
      </c>
      <c r="I141" s="80" t="s">
        <v>162</v>
      </c>
      <c r="J141" s="80"/>
      <c r="K141" s="87">
        <v>4.4699999999935462</v>
      </c>
      <c r="L141" s="93" t="s">
        <v>166</v>
      </c>
      <c r="M141" s="94">
        <v>1.6E-2</v>
      </c>
      <c r="N141" s="94">
        <v>1.3000000000645449E-3</v>
      </c>
      <c r="O141" s="87">
        <v>49739.545641999997</v>
      </c>
      <c r="P141" s="89">
        <v>109.02</v>
      </c>
      <c r="Q141" s="80"/>
      <c r="R141" s="87">
        <v>54.226055704999993</v>
      </c>
      <c r="S141" s="88">
        <v>3.1377392583997174E-4</v>
      </c>
      <c r="T141" s="88">
        <f t="shared" si="2"/>
        <v>5.8986266612184456E-4</v>
      </c>
      <c r="U141" s="88">
        <f>R141/'סכום נכסי הקרן'!$C$42</f>
        <v>1.4917820816222052E-5</v>
      </c>
    </row>
    <row r="142" spans="2:21">
      <c r="B142" s="86" t="s">
        <v>600</v>
      </c>
      <c r="C142" s="80" t="s">
        <v>601</v>
      </c>
      <c r="D142" s="93" t="s">
        <v>122</v>
      </c>
      <c r="E142" s="93" t="s">
        <v>290</v>
      </c>
      <c r="F142" s="80" t="s">
        <v>572</v>
      </c>
      <c r="G142" s="93" t="s">
        <v>298</v>
      </c>
      <c r="H142" s="80" t="s">
        <v>602</v>
      </c>
      <c r="I142" s="80" t="s">
        <v>162</v>
      </c>
      <c r="J142" s="80"/>
      <c r="K142" s="87">
        <v>0.67999999999845651</v>
      </c>
      <c r="L142" s="93" t="s">
        <v>166</v>
      </c>
      <c r="M142" s="94">
        <v>5.2999999999999999E-2</v>
      </c>
      <c r="N142" s="94">
        <v>0</v>
      </c>
      <c r="O142" s="87">
        <v>113606.152284</v>
      </c>
      <c r="P142" s="89">
        <v>114.06</v>
      </c>
      <c r="Q142" s="80"/>
      <c r="R142" s="87">
        <v>129.57918358999999</v>
      </c>
      <c r="S142" s="88">
        <v>4.3693665640023692E-4</v>
      </c>
      <c r="T142" s="88">
        <f t="shared" si="2"/>
        <v>1.4095423632156537E-3</v>
      </c>
      <c r="U142" s="88">
        <f>R142/'סכום נכסי הקרן'!$C$42</f>
        <v>3.5647789926378919E-5</v>
      </c>
    </row>
    <row r="143" spans="2:21">
      <c r="B143" s="86" t="s">
        <v>603</v>
      </c>
      <c r="C143" s="80" t="s">
        <v>604</v>
      </c>
      <c r="D143" s="93" t="s">
        <v>122</v>
      </c>
      <c r="E143" s="93" t="s">
        <v>290</v>
      </c>
      <c r="F143" s="80" t="s">
        <v>605</v>
      </c>
      <c r="G143" s="93" t="s">
        <v>606</v>
      </c>
      <c r="H143" s="80" t="s">
        <v>602</v>
      </c>
      <c r="I143" s="80" t="s">
        <v>162</v>
      </c>
      <c r="J143" s="80"/>
      <c r="K143" s="87">
        <v>1.4699996070436065</v>
      </c>
      <c r="L143" s="93" t="s">
        <v>166</v>
      </c>
      <c r="M143" s="94">
        <v>5.3499999999999999E-2</v>
      </c>
      <c r="N143" s="94">
        <v>5.7999998172295853E-3</v>
      </c>
      <c r="O143" s="87">
        <v>0.99768599999999996</v>
      </c>
      <c r="P143" s="89">
        <v>109.68</v>
      </c>
      <c r="Q143" s="80"/>
      <c r="R143" s="87">
        <v>1.0942689999999999E-3</v>
      </c>
      <c r="S143" s="88">
        <v>8.4931673608199591E-9</v>
      </c>
      <c r="T143" s="88">
        <f t="shared" si="2"/>
        <v>1.1903289321022263E-8</v>
      </c>
      <c r="U143" s="88">
        <f>R143/'סכום נכסי הקרן'!$C$42</f>
        <v>3.010381016010593E-10</v>
      </c>
    </row>
    <row r="144" spans="2:21">
      <c r="B144" s="86" t="s">
        <v>607</v>
      </c>
      <c r="C144" s="80" t="s">
        <v>608</v>
      </c>
      <c r="D144" s="93" t="s">
        <v>122</v>
      </c>
      <c r="E144" s="93" t="s">
        <v>290</v>
      </c>
      <c r="F144" s="80" t="s">
        <v>609</v>
      </c>
      <c r="G144" s="93" t="s">
        <v>360</v>
      </c>
      <c r="H144" s="80" t="s">
        <v>610</v>
      </c>
      <c r="I144" s="80" t="s">
        <v>294</v>
      </c>
      <c r="J144" s="80"/>
      <c r="K144" s="87">
        <v>0.40999999996756625</v>
      </c>
      <c r="L144" s="93" t="s">
        <v>166</v>
      </c>
      <c r="M144" s="94">
        <v>4.8499999999999995E-2</v>
      </c>
      <c r="N144" s="94">
        <v>3.3999999991659894E-3</v>
      </c>
      <c r="O144" s="87">
        <v>3464.2796960000001</v>
      </c>
      <c r="P144" s="89">
        <v>124.6</v>
      </c>
      <c r="Q144" s="80"/>
      <c r="R144" s="87">
        <v>4.3164922539999999</v>
      </c>
      <c r="S144" s="88">
        <v>5.0940831575166119E-5</v>
      </c>
      <c r="T144" s="88">
        <f t="shared" si="2"/>
        <v>4.6954136644018533E-5</v>
      </c>
      <c r="U144" s="88">
        <f>R144/'סכום נכסי הקרן'!$C$42</f>
        <v>1.1874855576826517E-6</v>
      </c>
    </row>
    <row r="145" spans="2:21">
      <c r="B145" s="86" t="s">
        <v>611</v>
      </c>
      <c r="C145" s="80" t="s">
        <v>612</v>
      </c>
      <c r="D145" s="93" t="s">
        <v>122</v>
      </c>
      <c r="E145" s="93" t="s">
        <v>290</v>
      </c>
      <c r="F145" s="80" t="s">
        <v>613</v>
      </c>
      <c r="G145" s="93" t="s">
        <v>360</v>
      </c>
      <c r="H145" s="80" t="s">
        <v>610</v>
      </c>
      <c r="I145" s="80" t="s">
        <v>294</v>
      </c>
      <c r="J145" s="80"/>
      <c r="K145" s="87">
        <v>0.98999999993519705</v>
      </c>
      <c r="L145" s="93" t="s">
        <v>166</v>
      </c>
      <c r="M145" s="94">
        <v>4.2500000000000003E-2</v>
      </c>
      <c r="N145" s="94">
        <v>2.6000000006480306E-3</v>
      </c>
      <c r="O145" s="87">
        <v>1627.4692810000001</v>
      </c>
      <c r="P145" s="89">
        <v>112.56</v>
      </c>
      <c r="Q145" s="87">
        <v>0.63714074799999998</v>
      </c>
      <c r="R145" s="87">
        <v>2.4690201840000001</v>
      </c>
      <c r="S145" s="88">
        <v>2.8190921315393974E-5</v>
      </c>
      <c r="T145" s="88">
        <f t="shared" si="2"/>
        <v>2.6857620557281275E-5</v>
      </c>
      <c r="U145" s="88">
        <f>R145/'סכום נכסי הקרן'!$C$42</f>
        <v>6.7923805664426043E-7</v>
      </c>
    </row>
    <row r="146" spans="2:21">
      <c r="B146" s="86" t="s">
        <v>614</v>
      </c>
      <c r="C146" s="80" t="s">
        <v>615</v>
      </c>
      <c r="D146" s="93" t="s">
        <v>122</v>
      </c>
      <c r="E146" s="93" t="s">
        <v>290</v>
      </c>
      <c r="F146" s="80" t="s">
        <v>616</v>
      </c>
      <c r="G146" s="93" t="s">
        <v>424</v>
      </c>
      <c r="H146" s="80" t="s">
        <v>610</v>
      </c>
      <c r="I146" s="80" t="s">
        <v>294</v>
      </c>
      <c r="J146" s="80"/>
      <c r="K146" s="87">
        <v>0.50000000001020117</v>
      </c>
      <c r="L146" s="93" t="s">
        <v>166</v>
      </c>
      <c r="M146" s="94">
        <v>4.8000000000000001E-2</v>
      </c>
      <c r="N146" s="94">
        <v>-7.4000000001020116E-3</v>
      </c>
      <c r="O146" s="87">
        <v>40175.504186999999</v>
      </c>
      <c r="P146" s="89">
        <v>122</v>
      </c>
      <c r="Q146" s="80"/>
      <c r="R146" s="87">
        <v>49.014117624999997</v>
      </c>
      <c r="S146" s="88">
        <v>3.9274600618739003E-4</v>
      </c>
      <c r="T146" s="88">
        <f t="shared" si="2"/>
        <v>5.3316800796238541E-4</v>
      </c>
      <c r="U146" s="88">
        <f>R146/'סכום נכסי הקרן'!$C$42</f>
        <v>1.348399426601779E-5</v>
      </c>
    </row>
    <row r="147" spans="2:21">
      <c r="B147" s="86" t="s">
        <v>617</v>
      </c>
      <c r="C147" s="80" t="s">
        <v>618</v>
      </c>
      <c r="D147" s="93" t="s">
        <v>122</v>
      </c>
      <c r="E147" s="93" t="s">
        <v>290</v>
      </c>
      <c r="F147" s="80" t="s">
        <v>354</v>
      </c>
      <c r="G147" s="93" t="s">
        <v>298</v>
      </c>
      <c r="H147" s="80" t="s">
        <v>610</v>
      </c>
      <c r="I147" s="80" t="s">
        <v>294</v>
      </c>
      <c r="J147" s="80"/>
      <c r="K147" s="87">
        <v>1.9200000000009554</v>
      </c>
      <c r="L147" s="93" t="s">
        <v>166</v>
      </c>
      <c r="M147" s="94">
        <v>5.0999999999999997E-2</v>
      </c>
      <c r="N147" s="94">
        <v>1.7000000000035819E-3</v>
      </c>
      <c r="O147" s="87">
        <v>620205.174306</v>
      </c>
      <c r="P147" s="89">
        <v>133.5</v>
      </c>
      <c r="Q147" s="87">
        <v>9.6103639349999987</v>
      </c>
      <c r="R147" s="87">
        <v>837.58429090999982</v>
      </c>
      <c r="S147" s="88">
        <v>5.4060517659795088E-4</v>
      </c>
      <c r="T147" s="88">
        <f t="shared" si="2"/>
        <v>9.1111126655740084E-3</v>
      </c>
      <c r="U147" s="88">
        <f>R147/'סכום נכסי הקרן'!$C$42</f>
        <v>2.304230357128053E-4</v>
      </c>
    </row>
    <row r="148" spans="2:21">
      <c r="B148" s="86" t="s">
        <v>619</v>
      </c>
      <c r="C148" s="80" t="s">
        <v>620</v>
      </c>
      <c r="D148" s="93" t="s">
        <v>122</v>
      </c>
      <c r="E148" s="93" t="s">
        <v>290</v>
      </c>
      <c r="F148" s="80" t="s">
        <v>518</v>
      </c>
      <c r="G148" s="93" t="s">
        <v>298</v>
      </c>
      <c r="H148" s="80" t="s">
        <v>610</v>
      </c>
      <c r="I148" s="80" t="s">
        <v>294</v>
      </c>
      <c r="J148" s="80"/>
      <c r="K148" s="87">
        <v>0.99000000002876754</v>
      </c>
      <c r="L148" s="93" t="s">
        <v>166</v>
      </c>
      <c r="M148" s="94">
        <v>2.4E-2</v>
      </c>
      <c r="N148" s="94">
        <v>3.8999999998953912E-3</v>
      </c>
      <c r="O148" s="87">
        <v>29283.946527</v>
      </c>
      <c r="P148" s="89">
        <v>104.46</v>
      </c>
      <c r="Q148" s="80"/>
      <c r="R148" s="87">
        <v>30.590010488000001</v>
      </c>
      <c r="S148" s="88">
        <v>3.3646542798201391E-4</v>
      </c>
      <c r="T148" s="88">
        <f t="shared" si="2"/>
        <v>3.3275341362294777E-4</v>
      </c>
      <c r="U148" s="88">
        <f>R148/'סכום נכסי הקרן'!$C$42</f>
        <v>8.4154432641919073E-6</v>
      </c>
    </row>
    <row r="149" spans="2:21">
      <c r="B149" s="86" t="s">
        <v>621</v>
      </c>
      <c r="C149" s="80" t="s">
        <v>622</v>
      </c>
      <c r="D149" s="93" t="s">
        <v>122</v>
      </c>
      <c r="E149" s="93" t="s">
        <v>290</v>
      </c>
      <c r="F149" s="80" t="s">
        <v>530</v>
      </c>
      <c r="G149" s="93" t="s">
        <v>360</v>
      </c>
      <c r="H149" s="80" t="s">
        <v>610</v>
      </c>
      <c r="I149" s="80" t="s">
        <v>294</v>
      </c>
      <c r="J149" s="80"/>
      <c r="K149" s="87">
        <v>4.1400000000994694</v>
      </c>
      <c r="L149" s="93" t="s">
        <v>166</v>
      </c>
      <c r="M149" s="94">
        <v>2.0499999999999997E-2</v>
      </c>
      <c r="N149" s="94">
        <v>5.1999999999153453E-3</v>
      </c>
      <c r="O149" s="87">
        <v>17421.256544</v>
      </c>
      <c r="P149" s="89">
        <v>108.49</v>
      </c>
      <c r="Q149" s="80"/>
      <c r="R149" s="87">
        <v>18.900321708</v>
      </c>
      <c r="S149" s="88">
        <v>3.0707549881363183E-5</v>
      </c>
      <c r="T149" s="88">
        <f t="shared" si="2"/>
        <v>2.0559478295622161E-4</v>
      </c>
      <c r="U149" s="88">
        <f>R149/'סכום נכסי הקרן'!$C$42</f>
        <v>5.1995596755693625E-6</v>
      </c>
    </row>
    <row r="150" spans="2:21">
      <c r="B150" s="86" t="s">
        <v>623</v>
      </c>
      <c r="C150" s="80" t="s">
        <v>624</v>
      </c>
      <c r="D150" s="93" t="s">
        <v>122</v>
      </c>
      <c r="E150" s="93" t="s">
        <v>290</v>
      </c>
      <c r="F150" s="80" t="s">
        <v>530</v>
      </c>
      <c r="G150" s="93" t="s">
        <v>360</v>
      </c>
      <c r="H150" s="80" t="s">
        <v>610</v>
      </c>
      <c r="I150" s="80" t="s">
        <v>294</v>
      </c>
      <c r="J150" s="80"/>
      <c r="K150" s="87">
        <v>5.0099999999950553</v>
      </c>
      <c r="L150" s="93" t="s">
        <v>166</v>
      </c>
      <c r="M150" s="94">
        <v>2.0499999999999997E-2</v>
      </c>
      <c r="N150" s="94">
        <v>6.6000000000043003E-3</v>
      </c>
      <c r="O150" s="87">
        <v>211526.5</v>
      </c>
      <c r="P150" s="89">
        <v>109.94</v>
      </c>
      <c r="Q150" s="80"/>
      <c r="R150" s="87">
        <v>232.55224501499998</v>
      </c>
      <c r="S150" s="88">
        <v>3.6995097670562764E-4</v>
      </c>
      <c r="T150" s="88">
        <f t="shared" si="2"/>
        <v>2.5296674352163883E-3</v>
      </c>
      <c r="U150" s="88">
        <f>R150/'סכום נכסי הקרן'!$C$42</f>
        <v>6.3976121376352612E-5</v>
      </c>
    </row>
    <row r="151" spans="2:21">
      <c r="B151" s="86" t="s">
        <v>625</v>
      </c>
      <c r="C151" s="80" t="s">
        <v>626</v>
      </c>
      <c r="D151" s="93" t="s">
        <v>122</v>
      </c>
      <c r="E151" s="93" t="s">
        <v>290</v>
      </c>
      <c r="F151" s="80" t="s">
        <v>627</v>
      </c>
      <c r="G151" s="93" t="s">
        <v>193</v>
      </c>
      <c r="H151" s="80" t="s">
        <v>610</v>
      </c>
      <c r="I151" s="80" t="s">
        <v>294</v>
      </c>
      <c r="J151" s="80"/>
      <c r="K151" s="87">
        <v>1.0000000011345437E-2</v>
      </c>
      <c r="L151" s="93" t="s">
        <v>166</v>
      </c>
      <c r="M151" s="94">
        <v>4.5999999999999999E-2</v>
      </c>
      <c r="N151" s="94">
        <v>6.7700000001802665E-2</v>
      </c>
      <c r="O151" s="87">
        <v>14939.180436000001</v>
      </c>
      <c r="P151" s="89">
        <v>106.2</v>
      </c>
      <c r="Q151" s="80"/>
      <c r="R151" s="87">
        <v>15.865409882</v>
      </c>
      <c r="S151" s="88">
        <v>6.9665820912644344E-5</v>
      </c>
      <c r="T151" s="88">
        <f t="shared" si="2"/>
        <v>1.7258148044224197E-4</v>
      </c>
      <c r="U151" s="88">
        <f>R151/'סכום נכסי הקרן'!$C$42</f>
        <v>4.3646423978016066E-6</v>
      </c>
    </row>
    <row r="152" spans="2:21">
      <c r="B152" s="86" t="s">
        <v>628</v>
      </c>
      <c r="C152" s="80" t="s">
        <v>629</v>
      </c>
      <c r="D152" s="93" t="s">
        <v>122</v>
      </c>
      <c r="E152" s="93" t="s">
        <v>290</v>
      </c>
      <c r="F152" s="80" t="s">
        <v>627</v>
      </c>
      <c r="G152" s="93" t="s">
        <v>193</v>
      </c>
      <c r="H152" s="80" t="s">
        <v>610</v>
      </c>
      <c r="I152" s="80" t="s">
        <v>294</v>
      </c>
      <c r="J152" s="80"/>
      <c r="K152" s="87">
        <v>2.5499999999997733</v>
      </c>
      <c r="L152" s="93" t="s">
        <v>166</v>
      </c>
      <c r="M152" s="94">
        <v>1.9799999999999998E-2</v>
      </c>
      <c r="N152" s="94">
        <v>1.8600000000006344E-2</v>
      </c>
      <c r="O152" s="87">
        <v>432633.19116500003</v>
      </c>
      <c r="P152" s="89">
        <v>100.99</v>
      </c>
      <c r="Q152" s="87">
        <v>4.3125419970000003</v>
      </c>
      <c r="R152" s="87">
        <v>441.22880300200001</v>
      </c>
      <c r="S152" s="88">
        <v>5.9945240159612755E-4</v>
      </c>
      <c r="T152" s="88">
        <f t="shared" si="2"/>
        <v>4.7996188312938977E-3</v>
      </c>
      <c r="U152" s="88">
        <f>R152/'סכום נכסי הקרן'!$C$42</f>
        <v>1.2138393870924778E-4</v>
      </c>
    </row>
    <row r="153" spans="2:21">
      <c r="B153" s="86" t="s">
        <v>630</v>
      </c>
      <c r="C153" s="80" t="s">
        <v>631</v>
      </c>
      <c r="D153" s="93" t="s">
        <v>122</v>
      </c>
      <c r="E153" s="93" t="s">
        <v>290</v>
      </c>
      <c r="F153" s="80" t="s">
        <v>632</v>
      </c>
      <c r="G153" s="93" t="s">
        <v>360</v>
      </c>
      <c r="H153" s="80" t="s">
        <v>633</v>
      </c>
      <c r="I153" s="80" t="s">
        <v>162</v>
      </c>
      <c r="J153" s="80"/>
      <c r="K153" s="87">
        <v>3.3099312047980241</v>
      </c>
      <c r="L153" s="93" t="s">
        <v>166</v>
      </c>
      <c r="M153" s="94">
        <v>4.6500000000000007E-2</v>
      </c>
      <c r="N153" s="94">
        <v>8.8004939142705945E-3</v>
      </c>
      <c r="O153" s="87">
        <v>4.8650000000000004E-3</v>
      </c>
      <c r="P153" s="89">
        <v>114.19</v>
      </c>
      <c r="Q153" s="87">
        <v>1.2699999999999999E-7</v>
      </c>
      <c r="R153" s="87">
        <v>5.6690000000000003E-6</v>
      </c>
      <c r="S153" s="88">
        <v>6.7887952086316087E-12</v>
      </c>
      <c r="T153" s="88">
        <f t="shared" si="2"/>
        <v>6.1666507194186451E-11</v>
      </c>
      <c r="U153" s="88">
        <f>R153/'סכום נכסי הקרן'!$C$42</f>
        <v>1.5595662474002328E-12</v>
      </c>
    </row>
    <row r="154" spans="2:21">
      <c r="B154" s="86" t="s">
        <v>634</v>
      </c>
      <c r="C154" s="80" t="s">
        <v>635</v>
      </c>
      <c r="D154" s="93" t="s">
        <v>122</v>
      </c>
      <c r="E154" s="93" t="s">
        <v>290</v>
      </c>
      <c r="F154" s="80" t="s">
        <v>632</v>
      </c>
      <c r="G154" s="93" t="s">
        <v>360</v>
      </c>
      <c r="H154" s="80" t="s">
        <v>633</v>
      </c>
      <c r="I154" s="80" t="s">
        <v>162</v>
      </c>
      <c r="J154" s="80"/>
      <c r="K154" s="87">
        <v>0</v>
      </c>
      <c r="L154" s="93" t="s">
        <v>166</v>
      </c>
      <c r="M154" s="94">
        <v>5.5999999999999994E-2</v>
      </c>
      <c r="N154" s="94">
        <v>0</v>
      </c>
      <c r="O154" s="87">
        <v>39065.581659000003</v>
      </c>
      <c r="P154" s="89">
        <v>109.44</v>
      </c>
      <c r="Q154" s="80"/>
      <c r="R154" s="87">
        <v>42.753374342999997</v>
      </c>
      <c r="S154" s="88">
        <v>6.170718022840716E-4</v>
      </c>
      <c r="T154" s="88">
        <f t="shared" si="2"/>
        <v>4.6506460866084948E-4</v>
      </c>
      <c r="U154" s="88">
        <f>R154/'סכום נכסי הקרן'!$C$42</f>
        <v>1.1761636900301622E-5</v>
      </c>
    </row>
    <row r="155" spans="2:21">
      <c r="B155" s="86" t="s">
        <v>636</v>
      </c>
      <c r="C155" s="80" t="s">
        <v>637</v>
      </c>
      <c r="D155" s="93" t="s">
        <v>122</v>
      </c>
      <c r="E155" s="93" t="s">
        <v>290</v>
      </c>
      <c r="F155" s="80" t="s">
        <v>638</v>
      </c>
      <c r="G155" s="93" t="s">
        <v>360</v>
      </c>
      <c r="H155" s="80" t="s">
        <v>633</v>
      </c>
      <c r="I155" s="80" t="s">
        <v>162</v>
      </c>
      <c r="J155" s="80"/>
      <c r="K155" s="87">
        <v>1</v>
      </c>
      <c r="L155" s="93" t="s">
        <v>166</v>
      </c>
      <c r="M155" s="94">
        <v>4.8000000000000001E-2</v>
      </c>
      <c r="N155" s="94">
        <v>2.7000000000147201E-3</v>
      </c>
      <c r="O155" s="87">
        <v>35764.266124999995</v>
      </c>
      <c r="P155" s="89">
        <v>105.13</v>
      </c>
      <c r="Q155" s="87">
        <v>30.334207418000002</v>
      </c>
      <c r="R155" s="87">
        <v>67.933180370000002</v>
      </c>
      <c r="S155" s="88">
        <v>8.2698318431735261E-4</v>
      </c>
      <c r="T155" s="88">
        <f t="shared" si="2"/>
        <v>7.3896665302708951E-4</v>
      </c>
      <c r="U155" s="88">
        <f>R155/'סכום נכסי הקרן'!$C$42</f>
        <v>1.8688709681355452E-5</v>
      </c>
    </row>
    <row r="156" spans="2:21">
      <c r="B156" s="86" t="s">
        <v>639</v>
      </c>
      <c r="C156" s="80" t="s">
        <v>640</v>
      </c>
      <c r="D156" s="93" t="s">
        <v>122</v>
      </c>
      <c r="E156" s="93" t="s">
        <v>290</v>
      </c>
      <c r="F156" s="80" t="s">
        <v>641</v>
      </c>
      <c r="G156" s="93" t="s">
        <v>360</v>
      </c>
      <c r="H156" s="80" t="s">
        <v>642</v>
      </c>
      <c r="I156" s="80" t="s">
        <v>294</v>
      </c>
      <c r="J156" s="80"/>
      <c r="K156" s="87">
        <v>0.62000000000254496</v>
      </c>
      <c r="L156" s="93" t="s">
        <v>166</v>
      </c>
      <c r="M156" s="94">
        <v>5.4000000000000006E-2</v>
      </c>
      <c r="N156" s="94">
        <v>1.80999999996946E-2</v>
      </c>
      <c r="O156" s="87">
        <v>29587.973867000001</v>
      </c>
      <c r="P156" s="89">
        <v>106.24</v>
      </c>
      <c r="Q156" s="80"/>
      <c r="R156" s="87">
        <v>31.434263716</v>
      </c>
      <c r="S156" s="88">
        <v>8.218881629722222E-4</v>
      </c>
      <c r="T156" s="88">
        <f t="shared" si="2"/>
        <v>3.4193706995707676E-4</v>
      </c>
      <c r="U156" s="88">
        <f>R156/'סכום נכסי הקרן'!$C$42</f>
        <v>8.6477009531401329E-6</v>
      </c>
    </row>
    <row r="157" spans="2:21">
      <c r="B157" s="86" t="s">
        <v>643</v>
      </c>
      <c r="C157" s="80" t="s">
        <v>644</v>
      </c>
      <c r="D157" s="93" t="s">
        <v>122</v>
      </c>
      <c r="E157" s="93" t="s">
        <v>290</v>
      </c>
      <c r="F157" s="80" t="s">
        <v>641</v>
      </c>
      <c r="G157" s="93" t="s">
        <v>360</v>
      </c>
      <c r="H157" s="80" t="s">
        <v>642</v>
      </c>
      <c r="I157" s="80" t="s">
        <v>294</v>
      </c>
      <c r="J157" s="80"/>
      <c r="K157" s="87">
        <v>1.7600000000011988</v>
      </c>
      <c r="L157" s="93" t="s">
        <v>166</v>
      </c>
      <c r="M157" s="94">
        <v>2.5000000000000001E-2</v>
      </c>
      <c r="N157" s="94">
        <v>4.399999999998002E-2</v>
      </c>
      <c r="O157" s="87">
        <v>102027.15384400001</v>
      </c>
      <c r="P157" s="89">
        <v>98.1</v>
      </c>
      <c r="Q157" s="80"/>
      <c r="R157" s="87">
        <v>100.08863598799999</v>
      </c>
      <c r="S157" s="88">
        <v>2.6194393920862021E-4</v>
      </c>
      <c r="T157" s="88">
        <f t="shared" si="2"/>
        <v>1.0887487372041472E-3</v>
      </c>
      <c r="U157" s="88">
        <f>R157/'סכום נכסי הקרן'!$C$42</f>
        <v>2.7534813624133539E-5</v>
      </c>
    </row>
    <row r="158" spans="2:21">
      <c r="B158" s="86" t="s">
        <v>645</v>
      </c>
      <c r="C158" s="80" t="s">
        <v>646</v>
      </c>
      <c r="D158" s="93" t="s">
        <v>122</v>
      </c>
      <c r="E158" s="93" t="s">
        <v>290</v>
      </c>
      <c r="F158" s="80" t="s">
        <v>647</v>
      </c>
      <c r="G158" s="93" t="s">
        <v>648</v>
      </c>
      <c r="H158" s="80" t="s">
        <v>649</v>
      </c>
      <c r="I158" s="80" t="s">
        <v>294</v>
      </c>
      <c r="J158" s="80"/>
      <c r="K158" s="87">
        <v>0.38000000000620721</v>
      </c>
      <c r="L158" s="93" t="s">
        <v>166</v>
      </c>
      <c r="M158" s="94">
        <v>4.9000000000000002E-2</v>
      </c>
      <c r="N158" s="94">
        <v>0</v>
      </c>
      <c r="O158" s="87">
        <v>158592.43918799999</v>
      </c>
      <c r="P158" s="89">
        <v>24.38</v>
      </c>
      <c r="Q158" s="80"/>
      <c r="R158" s="87">
        <v>38.664831802000002</v>
      </c>
      <c r="S158" s="88">
        <v>2.1863398874560008E-4</v>
      </c>
      <c r="T158" s="88">
        <f t="shared" si="2"/>
        <v>4.2059007381902309E-4</v>
      </c>
      <c r="U158" s="88">
        <f>R158/'סכום נכסי הקרן'!$C$42</f>
        <v>1.0636861287670898E-5</v>
      </c>
    </row>
    <row r="159" spans="2:21">
      <c r="B159" s="83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7"/>
      <c r="P159" s="89"/>
      <c r="Q159" s="80"/>
      <c r="R159" s="80"/>
      <c r="S159" s="80"/>
      <c r="T159" s="88"/>
      <c r="U159" s="80"/>
    </row>
    <row r="160" spans="2:21">
      <c r="B160" s="99" t="s">
        <v>45</v>
      </c>
      <c r="C160" s="82"/>
      <c r="D160" s="82"/>
      <c r="E160" s="82"/>
      <c r="F160" s="82"/>
      <c r="G160" s="82"/>
      <c r="H160" s="82"/>
      <c r="I160" s="82"/>
      <c r="J160" s="82"/>
      <c r="K160" s="90">
        <v>4.6942062532262296</v>
      </c>
      <c r="L160" s="82"/>
      <c r="M160" s="82"/>
      <c r="N160" s="104">
        <v>1.8673612760885538E-2</v>
      </c>
      <c r="O160" s="90"/>
      <c r="P160" s="92"/>
      <c r="Q160" s="90">
        <v>36.106401454999997</v>
      </c>
      <c r="R160" s="90">
        <f>SUM(R161:R241)</f>
        <v>18805.359175945006</v>
      </c>
      <c r="S160" s="82"/>
      <c r="T160" s="91">
        <f t="shared" ref="T160:T222" si="3">R160/$R$11</f>
        <v>0.20456179518657133</v>
      </c>
      <c r="U160" s="91">
        <f>R160/'סכום נכסי הקרן'!$C$42</f>
        <v>5.1734350751529521E-3</v>
      </c>
    </row>
    <row r="161" spans="2:21">
      <c r="B161" s="86" t="s">
        <v>650</v>
      </c>
      <c r="C161" s="80" t="s">
        <v>651</v>
      </c>
      <c r="D161" s="93" t="s">
        <v>122</v>
      </c>
      <c r="E161" s="93" t="s">
        <v>290</v>
      </c>
      <c r="F161" s="80" t="s">
        <v>305</v>
      </c>
      <c r="G161" s="93" t="s">
        <v>298</v>
      </c>
      <c r="H161" s="80" t="s">
        <v>306</v>
      </c>
      <c r="I161" s="80" t="s">
        <v>162</v>
      </c>
      <c r="J161" s="80"/>
      <c r="K161" s="87">
        <v>0.52988438173623353</v>
      </c>
      <c r="L161" s="93" t="s">
        <v>166</v>
      </c>
      <c r="M161" s="94">
        <v>1.95E-2</v>
      </c>
      <c r="N161" s="94">
        <v>4.0995492847344696E-3</v>
      </c>
      <c r="O161" s="87">
        <v>4.9610000000000001E-3</v>
      </c>
      <c r="P161" s="89">
        <v>102.7</v>
      </c>
      <c r="Q161" s="80"/>
      <c r="R161" s="87">
        <v>5.1030000000000001E-6</v>
      </c>
      <c r="S161" s="88">
        <v>1.0863498217885928E-11</v>
      </c>
      <c r="T161" s="88">
        <f t="shared" si="3"/>
        <v>5.5509646535885244E-11</v>
      </c>
      <c r="U161" s="88">
        <f>R161/'סכום נכסי הקרן'!$C$42</f>
        <v>1.4038572165255579E-12</v>
      </c>
    </row>
    <row r="162" spans="2:21">
      <c r="B162" s="86" t="s">
        <v>652</v>
      </c>
      <c r="C162" s="80" t="s">
        <v>653</v>
      </c>
      <c r="D162" s="93" t="s">
        <v>122</v>
      </c>
      <c r="E162" s="93" t="s">
        <v>290</v>
      </c>
      <c r="F162" s="80" t="s">
        <v>354</v>
      </c>
      <c r="G162" s="93" t="s">
        <v>298</v>
      </c>
      <c r="H162" s="80" t="s">
        <v>306</v>
      </c>
      <c r="I162" s="80" t="s">
        <v>162</v>
      </c>
      <c r="J162" s="80"/>
      <c r="K162" s="87">
        <v>2.8799999999924415</v>
      </c>
      <c r="L162" s="93" t="s">
        <v>166</v>
      </c>
      <c r="M162" s="94">
        <v>1.8700000000000001E-2</v>
      </c>
      <c r="N162" s="94">
        <v>6.7999999999901403E-3</v>
      </c>
      <c r="O162" s="87">
        <v>117526.72864299999</v>
      </c>
      <c r="P162" s="89">
        <v>103.56</v>
      </c>
      <c r="Q162" s="80"/>
      <c r="R162" s="87">
        <v>121.71068148400001</v>
      </c>
      <c r="S162" s="88">
        <v>8.4985999801416611E-5</v>
      </c>
      <c r="T162" s="88">
        <f t="shared" si="3"/>
        <v>1.3239500115262695E-3</v>
      </c>
      <c r="U162" s="88">
        <f>R162/'סכום נכסי הקרן'!$C$42</f>
        <v>3.3483131203126981E-5</v>
      </c>
    </row>
    <row r="163" spans="2:21">
      <c r="B163" s="86" t="s">
        <v>654</v>
      </c>
      <c r="C163" s="80" t="s">
        <v>655</v>
      </c>
      <c r="D163" s="93" t="s">
        <v>122</v>
      </c>
      <c r="E163" s="93" t="s">
        <v>290</v>
      </c>
      <c r="F163" s="80" t="s">
        <v>354</v>
      </c>
      <c r="G163" s="93" t="s">
        <v>298</v>
      </c>
      <c r="H163" s="80" t="s">
        <v>306</v>
      </c>
      <c r="I163" s="80" t="s">
        <v>162</v>
      </c>
      <c r="J163" s="80"/>
      <c r="K163" s="87">
        <v>5.6000000000021322</v>
      </c>
      <c r="L163" s="93" t="s">
        <v>166</v>
      </c>
      <c r="M163" s="94">
        <v>2.6800000000000001E-2</v>
      </c>
      <c r="N163" s="94">
        <v>1.0900000000001743E-2</v>
      </c>
      <c r="O163" s="87">
        <v>944702.50696300005</v>
      </c>
      <c r="P163" s="89">
        <v>109.2</v>
      </c>
      <c r="Q163" s="80"/>
      <c r="R163" s="87">
        <v>1031.615148098</v>
      </c>
      <c r="S163" s="88">
        <v>3.9225417090804122E-4</v>
      </c>
      <c r="T163" s="88">
        <f t="shared" si="3"/>
        <v>1.1221750388396019E-2</v>
      </c>
      <c r="U163" s="88">
        <f>R163/'סכום נכסי הקרן'!$C$42</f>
        <v>2.8380175785507728E-4</v>
      </c>
    </row>
    <row r="164" spans="2:21">
      <c r="B164" s="86" t="s">
        <v>656</v>
      </c>
      <c r="C164" s="80" t="s">
        <v>657</v>
      </c>
      <c r="D164" s="93" t="s">
        <v>122</v>
      </c>
      <c r="E164" s="93" t="s">
        <v>290</v>
      </c>
      <c r="F164" s="80" t="s">
        <v>297</v>
      </c>
      <c r="G164" s="93" t="s">
        <v>298</v>
      </c>
      <c r="H164" s="80" t="s">
        <v>293</v>
      </c>
      <c r="I164" s="80" t="s">
        <v>294</v>
      </c>
      <c r="J164" s="80"/>
      <c r="K164" s="87">
        <v>0.25</v>
      </c>
      <c r="L164" s="93" t="s">
        <v>166</v>
      </c>
      <c r="M164" s="94">
        <v>1.2E-2</v>
      </c>
      <c r="N164" s="94">
        <v>4.0000000000707057E-3</v>
      </c>
      <c r="O164" s="87">
        <v>56289.702768000003</v>
      </c>
      <c r="P164" s="89">
        <v>100.2</v>
      </c>
      <c r="Q164" s="87">
        <v>0.17025947099999997</v>
      </c>
      <c r="R164" s="87">
        <v>56.572541644000005</v>
      </c>
      <c r="S164" s="88">
        <v>1.8763234256E-4</v>
      </c>
      <c r="T164" s="88">
        <f t="shared" si="3"/>
        <v>6.1538737807076004E-4</v>
      </c>
      <c r="U164" s="88">
        <f>R164/'סכום נכסי הקרן'!$C$42</f>
        <v>1.5563349175802872E-5</v>
      </c>
    </row>
    <row r="165" spans="2:21">
      <c r="B165" s="86" t="s">
        <v>658</v>
      </c>
      <c r="C165" s="80" t="s">
        <v>659</v>
      </c>
      <c r="D165" s="93" t="s">
        <v>122</v>
      </c>
      <c r="E165" s="93" t="s">
        <v>290</v>
      </c>
      <c r="F165" s="80" t="s">
        <v>316</v>
      </c>
      <c r="G165" s="93" t="s">
        <v>298</v>
      </c>
      <c r="H165" s="80" t="s">
        <v>306</v>
      </c>
      <c r="I165" s="80" t="s">
        <v>162</v>
      </c>
      <c r="J165" s="80"/>
      <c r="K165" s="87">
        <v>5.0499999999927789</v>
      </c>
      <c r="L165" s="93" t="s">
        <v>166</v>
      </c>
      <c r="M165" s="94">
        <v>2.98E-2</v>
      </c>
      <c r="N165" s="94">
        <v>1.0199999999994536E-2</v>
      </c>
      <c r="O165" s="87">
        <v>228769.19063500001</v>
      </c>
      <c r="P165" s="89">
        <v>111.99</v>
      </c>
      <c r="Q165" s="80"/>
      <c r="R165" s="87">
        <v>256.19860895699998</v>
      </c>
      <c r="S165" s="88">
        <v>8.9991818073640377E-5</v>
      </c>
      <c r="T165" s="88">
        <f t="shared" si="3"/>
        <v>2.7868889332135121E-3</v>
      </c>
      <c r="U165" s="88">
        <f>R165/'סכום נכסי הקרן'!$C$42</f>
        <v>7.048133765394745E-5</v>
      </c>
    </row>
    <row r="166" spans="2:21">
      <c r="B166" s="86" t="s">
        <v>660</v>
      </c>
      <c r="C166" s="80" t="s">
        <v>661</v>
      </c>
      <c r="D166" s="93" t="s">
        <v>122</v>
      </c>
      <c r="E166" s="93" t="s">
        <v>290</v>
      </c>
      <c r="F166" s="80" t="s">
        <v>316</v>
      </c>
      <c r="G166" s="93" t="s">
        <v>298</v>
      </c>
      <c r="H166" s="80" t="s">
        <v>306</v>
      </c>
      <c r="I166" s="80" t="s">
        <v>162</v>
      </c>
      <c r="J166" s="80"/>
      <c r="K166" s="87">
        <v>2.360000000001099</v>
      </c>
      <c r="L166" s="93" t="s">
        <v>166</v>
      </c>
      <c r="M166" s="94">
        <v>2.4700000000000003E-2</v>
      </c>
      <c r="N166" s="94">
        <v>7.0000000000137331E-3</v>
      </c>
      <c r="O166" s="87">
        <v>275702.55502899998</v>
      </c>
      <c r="P166" s="89">
        <v>105.65</v>
      </c>
      <c r="Q166" s="80"/>
      <c r="R166" s="87">
        <v>291.27975388799996</v>
      </c>
      <c r="S166" s="88">
        <v>8.2762989955361831E-5</v>
      </c>
      <c r="T166" s="88">
        <f t="shared" si="3"/>
        <v>3.1684962142626929E-3</v>
      </c>
      <c r="U166" s="88">
        <f>R166/'סכום נכסי הקרן'!$C$42</f>
        <v>8.0132311292074689E-5</v>
      </c>
    </row>
    <row r="167" spans="2:21">
      <c r="B167" s="86" t="s">
        <v>662</v>
      </c>
      <c r="C167" s="80" t="s">
        <v>663</v>
      </c>
      <c r="D167" s="93" t="s">
        <v>122</v>
      </c>
      <c r="E167" s="93" t="s">
        <v>290</v>
      </c>
      <c r="F167" s="80" t="s">
        <v>664</v>
      </c>
      <c r="G167" s="93" t="s">
        <v>298</v>
      </c>
      <c r="H167" s="80" t="s">
        <v>293</v>
      </c>
      <c r="I167" s="80" t="s">
        <v>294</v>
      </c>
      <c r="J167" s="80"/>
      <c r="K167" s="87">
        <v>2.1899999999903517</v>
      </c>
      <c r="L167" s="93" t="s">
        <v>166</v>
      </c>
      <c r="M167" s="94">
        <v>2.07E-2</v>
      </c>
      <c r="N167" s="94">
        <v>6.8000000000089742E-3</v>
      </c>
      <c r="O167" s="87">
        <v>85175.441132000007</v>
      </c>
      <c r="P167" s="89">
        <v>104.65</v>
      </c>
      <c r="Q167" s="80"/>
      <c r="R167" s="87">
        <v>89.136099393999999</v>
      </c>
      <c r="S167" s="88">
        <v>3.3604684364976349E-4</v>
      </c>
      <c r="T167" s="88">
        <f t="shared" si="3"/>
        <v>9.6960873426385941E-4</v>
      </c>
      <c r="U167" s="88">
        <f>R167/'סכום נכסי הקרן'!$C$42</f>
        <v>2.4521723767824083E-5</v>
      </c>
    </row>
    <row r="168" spans="2:21">
      <c r="B168" s="86" t="s">
        <v>665</v>
      </c>
      <c r="C168" s="80" t="s">
        <v>666</v>
      </c>
      <c r="D168" s="93" t="s">
        <v>122</v>
      </c>
      <c r="E168" s="93" t="s">
        <v>290</v>
      </c>
      <c r="F168" s="80" t="s">
        <v>667</v>
      </c>
      <c r="G168" s="93" t="s">
        <v>360</v>
      </c>
      <c r="H168" s="80" t="s">
        <v>306</v>
      </c>
      <c r="I168" s="80" t="s">
        <v>162</v>
      </c>
      <c r="J168" s="80"/>
      <c r="K168" s="87">
        <v>4.1200000000006076</v>
      </c>
      <c r="L168" s="93" t="s">
        <v>166</v>
      </c>
      <c r="M168" s="94">
        <v>1.44E-2</v>
      </c>
      <c r="N168" s="94">
        <v>8.7999999999939255E-3</v>
      </c>
      <c r="O168" s="87">
        <v>320594.63990900002</v>
      </c>
      <c r="P168" s="89">
        <v>102.7</v>
      </c>
      <c r="Q168" s="80"/>
      <c r="R168" s="87">
        <v>329.25069518999999</v>
      </c>
      <c r="S168" s="88">
        <v>3.7717016459882353E-4</v>
      </c>
      <c r="T168" s="88">
        <f t="shared" si="3"/>
        <v>3.5815382542997041E-3</v>
      </c>
      <c r="U168" s="88">
        <f>R168/'סכום נכסי הקרן'!$C$42</f>
        <v>9.057828032305276E-5</v>
      </c>
    </row>
    <row r="169" spans="2:21">
      <c r="B169" s="86" t="s">
        <v>668</v>
      </c>
      <c r="C169" s="80" t="s">
        <v>669</v>
      </c>
      <c r="D169" s="93" t="s">
        <v>122</v>
      </c>
      <c r="E169" s="93" t="s">
        <v>290</v>
      </c>
      <c r="F169" s="80" t="s">
        <v>670</v>
      </c>
      <c r="G169" s="93" t="s">
        <v>671</v>
      </c>
      <c r="H169" s="80" t="s">
        <v>349</v>
      </c>
      <c r="I169" s="80" t="s">
        <v>162</v>
      </c>
      <c r="J169" s="80"/>
      <c r="K169" s="87">
        <v>0.5</v>
      </c>
      <c r="L169" s="93" t="s">
        <v>166</v>
      </c>
      <c r="M169" s="94">
        <v>4.8399999999999999E-2</v>
      </c>
      <c r="N169" s="94">
        <v>2.8000000000965169E-3</v>
      </c>
      <c r="O169" s="87">
        <v>28363.704216999999</v>
      </c>
      <c r="P169" s="89">
        <v>102.28</v>
      </c>
      <c r="Q169" s="80"/>
      <c r="R169" s="87">
        <v>29.010397923999999</v>
      </c>
      <c r="S169" s="88">
        <v>1.3506525817619046E-4</v>
      </c>
      <c r="T169" s="88">
        <f t="shared" si="3"/>
        <v>3.1557063190801863E-4</v>
      </c>
      <c r="U169" s="88">
        <f>R169/'סכום נכסי הקרן'!$C$42</f>
        <v>7.9808850636655805E-6</v>
      </c>
    </row>
    <row r="170" spans="2:21">
      <c r="B170" s="86" t="s">
        <v>672</v>
      </c>
      <c r="C170" s="80" t="s">
        <v>673</v>
      </c>
      <c r="D170" s="93" t="s">
        <v>122</v>
      </c>
      <c r="E170" s="93" t="s">
        <v>290</v>
      </c>
      <c r="F170" s="80" t="s">
        <v>354</v>
      </c>
      <c r="G170" s="93" t="s">
        <v>298</v>
      </c>
      <c r="H170" s="80" t="s">
        <v>349</v>
      </c>
      <c r="I170" s="80" t="s">
        <v>162</v>
      </c>
      <c r="J170" s="80"/>
      <c r="K170" s="87">
        <v>1.4100000000070334</v>
      </c>
      <c r="L170" s="93" t="s">
        <v>166</v>
      </c>
      <c r="M170" s="94">
        <v>6.4000000000000001E-2</v>
      </c>
      <c r="N170" s="94">
        <v>5.9000000000330975E-3</v>
      </c>
      <c r="O170" s="87">
        <v>88949.505804</v>
      </c>
      <c r="P170" s="89">
        <v>108.69</v>
      </c>
      <c r="Q170" s="80"/>
      <c r="R170" s="87">
        <v>96.679217352000009</v>
      </c>
      <c r="S170" s="88">
        <v>3.6445454763133959E-4</v>
      </c>
      <c r="T170" s="88">
        <f t="shared" si="3"/>
        <v>1.0516616074026149E-3</v>
      </c>
      <c r="U170" s="88">
        <f>R170/'סכום נכסי הקרן'!$C$42</f>
        <v>2.6596867914491111E-5</v>
      </c>
    </row>
    <row r="171" spans="2:21">
      <c r="B171" s="86" t="s">
        <v>674</v>
      </c>
      <c r="C171" s="80" t="s">
        <v>675</v>
      </c>
      <c r="D171" s="93" t="s">
        <v>122</v>
      </c>
      <c r="E171" s="93" t="s">
        <v>290</v>
      </c>
      <c r="F171" s="80" t="s">
        <v>366</v>
      </c>
      <c r="G171" s="93" t="s">
        <v>360</v>
      </c>
      <c r="H171" s="80" t="s">
        <v>349</v>
      </c>
      <c r="I171" s="80" t="s">
        <v>162</v>
      </c>
      <c r="J171" s="80"/>
      <c r="K171" s="87">
        <v>3.4200000000046731</v>
      </c>
      <c r="L171" s="93" t="s">
        <v>166</v>
      </c>
      <c r="M171" s="94">
        <v>1.6299999999999999E-2</v>
      </c>
      <c r="N171" s="94">
        <v>7.000000000000001E-3</v>
      </c>
      <c r="O171" s="87">
        <v>331777.04768600001</v>
      </c>
      <c r="P171" s="89">
        <v>103.2</v>
      </c>
      <c r="Q171" s="80"/>
      <c r="R171" s="87">
        <v>342.39391322</v>
      </c>
      <c r="S171" s="88">
        <v>3.9817753091970012E-4</v>
      </c>
      <c r="T171" s="88">
        <f t="shared" si="3"/>
        <v>3.7245081518480824E-3</v>
      </c>
      <c r="U171" s="88">
        <f>R171/'סכום נכסי הקרן'!$C$42</f>
        <v>9.4194036051013642E-5</v>
      </c>
    </row>
    <row r="172" spans="2:21">
      <c r="B172" s="86" t="s">
        <v>676</v>
      </c>
      <c r="C172" s="80" t="s">
        <v>677</v>
      </c>
      <c r="D172" s="93" t="s">
        <v>122</v>
      </c>
      <c r="E172" s="93" t="s">
        <v>290</v>
      </c>
      <c r="F172" s="80" t="s">
        <v>338</v>
      </c>
      <c r="G172" s="93" t="s">
        <v>298</v>
      </c>
      <c r="H172" s="80" t="s">
        <v>349</v>
      </c>
      <c r="I172" s="80" t="s">
        <v>162</v>
      </c>
      <c r="J172" s="80"/>
      <c r="K172" s="87">
        <v>0.72999999999580079</v>
      </c>
      <c r="L172" s="93" t="s">
        <v>166</v>
      </c>
      <c r="M172" s="94">
        <v>6.0999999999999999E-2</v>
      </c>
      <c r="N172" s="94">
        <v>4.3000000000127806E-3</v>
      </c>
      <c r="O172" s="87">
        <v>100674.147535</v>
      </c>
      <c r="P172" s="89">
        <v>108.81</v>
      </c>
      <c r="Q172" s="80"/>
      <c r="R172" s="87">
        <v>109.54354330199999</v>
      </c>
      <c r="S172" s="88">
        <v>1.4692582817102553E-4</v>
      </c>
      <c r="T172" s="88">
        <f t="shared" si="3"/>
        <v>1.1915977599416929E-3</v>
      </c>
      <c r="U172" s="88">
        <f>R172/'סכום נכסי הקרן'!$C$42</f>
        <v>3.0135899233449464E-5</v>
      </c>
    </row>
    <row r="173" spans="2:21">
      <c r="B173" s="86" t="s">
        <v>678</v>
      </c>
      <c r="C173" s="80" t="s">
        <v>679</v>
      </c>
      <c r="D173" s="93" t="s">
        <v>122</v>
      </c>
      <c r="E173" s="93" t="s">
        <v>290</v>
      </c>
      <c r="F173" s="80" t="s">
        <v>680</v>
      </c>
      <c r="G173" s="93" t="s">
        <v>681</v>
      </c>
      <c r="H173" s="80" t="s">
        <v>349</v>
      </c>
      <c r="I173" s="80" t="s">
        <v>162</v>
      </c>
      <c r="J173" s="80"/>
      <c r="K173" s="87">
        <v>4.9200000000077866</v>
      </c>
      <c r="L173" s="93" t="s">
        <v>166</v>
      </c>
      <c r="M173" s="94">
        <v>2.6099999999999998E-2</v>
      </c>
      <c r="N173" s="94">
        <v>1.0200000000006149E-2</v>
      </c>
      <c r="O173" s="87">
        <v>271054.01687599998</v>
      </c>
      <c r="P173" s="89">
        <v>108.02</v>
      </c>
      <c r="Q173" s="80"/>
      <c r="R173" s="87">
        <v>292.79254904100003</v>
      </c>
      <c r="S173" s="88">
        <v>4.4942567363275807E-4</v>
      </c>
      <c r="T173" s="88">
        <f t="shared" si="3"/>
        <v>3.1849521664916239E-3</v>
      </c>
      <c r="U173" s="88">
        <f>R173/'סכום נכסי הקרן'!$C$42</f>
        <v>8.054848773586541E-5</v>
      </c>
    </row>
    <row r="174" spans="2:21">
      <c r="B174" s="86" t="s">
        <v>682</v>
      </c>
      <c r="C174" s="80" t="s">
        <v>683</v>
      </c>
      <c r="D174" s="93" t="s">
        <v>122</v>
      </c>
      <c r="E174" s="93" t="s">
        <v>290</v>
      </c>
      <c r="F174" s="80" t="s">
        <v>397</v>
      </c>
      <c r="G174" s="93" t="s">
        <v>360</v>
      </c>
      <c r="H174" s="80" t="s">
        <v>398</v>
      </c>
      <c r="I174" s="80" t="s">
        <v>162</v>
      </c>
      <c r="J174" s="80"/>
      <c r="K174" s="87">
        <v>3.7500000000022178</v>
      </c>
      <c r="L174" s="93" t="s">
        <v>166</v>
      </c>
      <c r="M174" s="94">
        <v>3.39E-2</v>
      </c>
      <c r="N174" s="94">
        <v>1.1300000000010649E-2</v>
      </c>
      <c r="O174" s="87">
        <v>402672.75170600007</v>
      </c>
      <c r="P174" s="89">
        <v>108.55</v>
      </c>
      <c r="Q174" s="87">
        <v>13.650606265</v>
      </c>
      <c r="R174" s="87">
        <v>450.75187820400004</v>
      </c>
      <c r="S174" s="88">
        <v>3.7105415140752573E-4</v>
      </c>
      <c r="T174" s="88">
        <f t="shared" si="3"/>
        <v>4.9032093737978516E-3</v>
      </c>
      <c r="U174" s="88">
        <f>R174/'סכום נכסי הקרן'!$C$42</f>
        <v>1.2400377759732212E-4</v>
      </c>
    </row>
    <row r="175" spans="2:21">
      <c r="B175" s="86" t="s">
        <v>684</v>
      </c>
      <c r="C175" s="80" t="s">
        <v>685</v>
      </c>
      <c r="D175" s="93" t="s">
        <v>122</v>
      </c>
      <c r="E175" s="93" t="s">
        <v>290</v>
      </c>
      <c r="F175" s="80" t="s">
        <v>311</v>
      </c>
      <c r="G175" s="93" t="s">
        <v>298</v>
      </c>
      <c r="H175" s="80" t="s">
        <v>398</v>
      </c>
      <c r="I175" s="80" t="s">
        <v>162</v>
      </c>
      <c r="J175" s="80"/>
      <c r="K175" s="87">
        <v>1.0899999999984158</v>
      </c>
      <c r="L175" s="93" t="s">
        <v>166</v>
      </c>
      <c r="M175" s="94">
        <v>1.55E-2</v>
      </c>
      <c r="N175" s="94">
        <v>5.5999999999849634E-3</v>
      </c>
      <c r="O175" s="87">
        <v>367567.72719399998</v>
      </c>
      <c r="P175" s="89">
        <v>101.32</v>
      </c>
      <c r="Q175" s="80"/>
      <c r="R175" s="87">
        <v>372.41963845099997</v>
      </c>
      <c r="S175" s="88">
        <v>4.5370599660493936E-4</v>
      </c>
      <c r="T175" s="88">
        <f t="shared" si="3"/>
        <v>4.0511233575224737E-3</v>
      </c>
      <c r="U175" s="88">
        <f>R175/'סכום נכסי הקרן'!$C$42</f>
        <v>1.024542420174947E-4</v>
      </c>
    </row>
    <row r="176" spans="2:21">
      <c r="B176" s="86" t="s">
        <v>686</v>
      </c>
      <c r="C176" s="80" t="s">
        <v>687</v>
      </c>
      <c r="D176" s="93" t="s">
        <v>122</v>
      </c>
      <c r="E176" s="93" t="s">
        <v>290</v>
      </c>
      <c r="F176" s="80" t="s">
        <v>416</v>
      </c>
      <c r="G176" s="93" t="s">
        <v>360</v>
      </c>
      <c r="H176" s="80" t="s">
        <v>390</v>
      </c>
      <c r="I176" s="80" t="s">
        <v>294</v>
      </c>
      <c r="J176" s="80"/>
      <c r="K176" s="87">
        <v>6.6799999999995601</v>
      </c>
      <c r="L176" s="93" t="s">
        <v>166</v>
      </c>
      <c r="M176" s="94">
        <v>2.5499999999999998E-2</v>
      </c>
      <c r="N176" s="94">
        <v>1.6300000000000314E-2</v>
      </c>
      <c r="O176" s="87">
        <v>1195988.484156</v>
      </c>
      <c r="P176" s="89">
        <v>106.19</v>
      </c>
      <c r="Q176" s="80"/>
      <c r="R176" s="87">
        <v>1270.020211192</v>
      </c>
      <c r="S176" s="88">
        <v>9.1829892864810048E-4</v>
      </c>
      <c r="T176" s="88">
        <f t="shared" si="3"/>
        <v>1.3815083875504262E-2</v>
      </c>
      <c r="U176" s="88">
        <f>R176/'סכום נכסי הקרן'!$C$42</f>
        <v>3.4938801462183072E-4</v>
      </c>
    </row>
    <row r="177" spans="2:21">
      <c r="B177" s="86" t="s">
        <v>689</v>
      </c>
      <c r="C177" s="80" t="s">
        <v>690</v>
      </c>
      <c r="D177" s="93" t="s">
        <v>122</v>
      </c>
      <c r="E177" s="93" t="s">
        <v>290</v>
      </c>
      <c r="F177" s="80" t="s">
        <v>423</v>
      </c>
      <c r="G177" s="93" t="s">
        <v>424</v>
      </c>
      <c r="H177" s="80" t="s">
        <v>398</v>
      </c>
      <c r="I177" s="80" t="s">
        <v>162</v>
      </c>
      <c r="J177" s="80"/>
      <c r="K177" s="87">
        <v>2.6200000000004469</v>
      </c>
      <c r="L177" s="93" t="s">
        <v>166</v>
      </c>
      <c r="M177" s="94">
        <v>4.8000000000000001E-2</v>
      </c>
      <c r="N177" s="94">
        <v>7.8999999999961688E-3</v>
      </c>
      <c r="O177" s="87">
        <v>559215.23859399999</v>
      </c>
      <c r="P177" s="89">
        <v>112</v>
      </c>
      <c r="Q177" s="80"/>
      <c r="R177" s="87">
        <v>626.32108585599997</v>
      </c>
      <c r="S177" s="88">
        <v>2.8125715849948327E-4</v>
      </c>
      <c r="T177" s="88">
        <f t="shared" si="3"/>
        <v>6.8130241218574156E-3</v>
      </c>
      <c r="U177" s="88">
        <f>R177/'סכום נכסי הקרן'!$C$42</f>
        <v>1.7230362066256497E-4</v>
      </c>
    </row>
    <row r="178" spans="2:21">
      <c r="B178" s="86" t="s">
        <v>691</v>
      </c>
      <c r="C178" s="80" t="s">
        <v>692</v>
      </c>
      <c r="D178" s="93" t="s">
        <v>122</v>
      </c>
      <c r="E178" s="93" t="s">
        <v>290</v>
      </c>
      <c r="F178" s="80" t="s">
        <v>423</v>
      </c>
      <c r="G178" s="93" t="s">
        <v>424</v>
      </c>
      <c r="H178" s="80" t="s">
        <v>398</v>
      </c>
      <c r="I178" s="80" t="s">
        <v>162</v>
      </c>
      <c r="J178" s="80"/>
      <c r="K178" s="87">
        <v>1.1299999999849262</v>
      </c>
      <c r="L178" s="93" t="s">
        <v>166</v>
      </c>
      <c r="M178" s="94">
        <v>4.4999999999999998E-2</v>
      </c>
      <c r="N178" s="94">
        <v>5.0999999996985236E-3</v>
      </c>
      <c r="O178" s="87">
        <v>17500.712665999999</v>
      </c>
      <c r="P178" s="89">
        <v>106.14</v>
      </c>
      <c r="Q178" s="80"/>
      <c r="R178" s="87">
        <v>18.575256455999998</v>
      </c>
      <c r="S178" s="88">
        <v>2.9143179884364571E-5</v>
      </c>
      <c r="T178" s="88">
        <f t="shared" si="3"/>
        <v>2.0205877330707042E-4</v>
      </c>
      <c r="U178" s="88">
        <f>R178/'סכום נכסי הקרן'!$C$42</f>
        <v>5.1101328286436515E-6</v>
      </c>
    </row>
    <row r="179" spans="2:21">
      <c r="B179" s="86" t="s">
        <v>693</v>
      </c>
      <c r="C179" s="80" t="s">
        <v>694</v>
      </c>
      <c r="D179" s="93" t="s">
        <v>122</v>
      </c>
      <c r="E179" s="93" t="s">
        <v>290</v>
      </c>
      <c r="F179" s="80" t="s">
        <v>695</v>
      </c>
      <c r="G179" s="93" t="s">
        <v>159</v>
      </c>
      <c r="H179" s="80" t="s">
        <v>398</v>
      </c>
      <c r="I179" s="80" t="s">
        <v>162</v>
      </c>
      <c r="J179" s="80"/>
      <c r="K179" s="87">
        <v>2.3799999999996824</v>
      </c>
      <c r="L179" s="93" t="s">
        <v>166</v>
      </c>
      <c r="M179" s="94">
        <v>1.49E-2</v>
      </c>
      <c r="N179" s="94">
        <v>8.4999999999960298E-3</v>
      </c>
      <c r="O179" s="87">
        <v>247655.85231799996</v>
      </c>
      <c r="P179" s="89">
        <v>101.65</v>
      </c>
      <c r="Q179" s="80"/>
      <c r="R179" s="87">
        <v>251.74216566599998</v>
      </c>
      <c r="S179" s="88">
        <v>2.297080715625994E-4</v>
      </c>
      <c r="T179" s="88">
        <f t="shared" si="3"/>
        <v>2.7384124307854056E-3</v>
      </c>
      <c r="U179" s="88">
        <f>R179/'סכום נכסי הקרן'!$C$42</f>
        <v>6.9255350964919968E-5</v>
      </c>
    </row>
    <row r="180" spans="2:21">
      <c r="B180" s="86" t="s">
        <v>696</v>
      </c>
      <c r="C180" s="80" t="s">
        <v>697</v>
      </c>
      <c r="D180" s="93" t="s">
        <v>122</v>
      </c>
      <c r="E180" s="93" t="s">
        <v>290</v>
      </c>
      <c r="F180" s="80" t="s">
        <v>311</v>
      </c>
      <c r="G180" s="93" t="s">
        <v>298</v>
      </c>
      <c r="H180" s="80" t="s">
        <v>390</v>
      </c>
      <c r="I180" s="80" t="s">
        <v>294</v>
      </c>
      <c r="J180" s="80"/>
      <c r="K180" s="87">
        <v>1.0399999999748153</v>
      </c>
      <c r="L180" s="93" t="s">
        <v>166</v>
      </c>
      <c r="M180" s="94">
        <v>3.2500000000000001E-2</v>
      </c>
      <c r="N180" s="94">
        <v>9.7999999997761354E-3</v>
      </c>
      <c r="O180" s="87">
        <f>27922.92775/50000</f>
        <v>0.55845855499999997</v>
      </c>
      <c r="P180" s="89">
        <v>5119199</v>
      </c>
      <c r="Q180" s="80"/>
      <c r="R180" s="87">
        <v>28.588604168000003</v>
      </c>
      <c r="S180" s="88">
        <f>150.812464218201%/50000</f>
        <v>3.01624928436402E-5</v>
      </c>
      <c r="T180" s="88">
        <f t="shared" si="3"/>
        <v>3.1098242451891352E-4</v>
      </c>
      <c r="U180" s="88">
        <f>R180/'סכום נכסי הקרן'!$C$42</f>
        <v>7.8648477898568375E-6</v>
      </c>
    </row>
    <row r="181" spans="2:21">
      <c r="B181" s="86" t="s">
        <v>698</v>
      </c>
      <c r="C181" s="80" t="s">
        <v>699</v>
      </c>
      <c r="D181" s="93" t="s">
        <v>122</v>
      </c>
      <c r="E181" s="93" t="s">
        <v>290</v>
      </c>
      <c r="F181" s="80" t="s">
        <v>700</v>
      </c>
      <c r="G181" s="93" t="s">
        <v>360</v>
      </c>
      <c r="H181" s="80" t="s">
        <v>390</v>
      </c>
      <c r="I181" s="80" t="s">
        <v>294</v>
      </c>
      <c r="J181" s="80"/>
      <c r="K181" s="87">
        <v>3.3300000000053411</v>
      </c>
      <c r="L181" s="93" t="s">
        <v>166</v>
      </c>
      <c r="M181" s="94">
        <v>3.3799999999999997E-2</v>
      </c>
      <c r="N181" s="94">
        <v>1.9700000000049098E-2</v>
      </c>
      <c r="O181" s="87">
        <v>176920.78152200003</v>
      </c>
      <c r="P181" s="89">
        <v>104.77</v>
      </c>
      <c r="Q181" s="80"/>
      <c r="R181" s="87">
        <v>185.35990279699999</v>
      </c>
      <c r="S181" s="88">
        <v>2.1614479330848391E-4</v>
      </c>
      <c r="T181" s="88">
        <f t="shared" si="3"/>
        <v>2.0163164190059799E-3</v>
      </c>
      <c r="U181" s="88">
        <f>R181/'סכום נכסי הקרן'!$C$42</f>
        <v>5.0993305349019078E-5</v>
      </c>
    </row>
    <row r="182" spans="2:21">
      <c r="B182" s="86" t="s">
        <v>701</v>
      </c>
      <c r="C182" s="80" t="s">
        <v>702</v>
      </c>
      <c r="D182" s="93" t="s">
        <v>122</v>
      </c>
      <c r="E182" s="93" t="s">
        <v>290</v>
      </c>
      <c r="F182" s="80" t="s">
        <v>564</v>
      </c>
      <c r="G182" s="93" t="s">
        <v>420</v>
      </c>
      <c r="H182" s="80" t="s">
        <v>398</v>
      </c>
      <c r="I182" s="80" t="s">
        <v>162</v>
      </c>
      <c r="J182" s="80"/>
      <c r="K182" s="87">
        <v>3.7799999999722322</v>
      </c>
      <c r="L182" s="93" t="s">
        <v>166</v>
      </c>
      <c r="M182" s="94">
        <v>3.85E-2</v>
      </c>
      <c r="N182" s="94">
        <v>1.1199999999830568E-2</v>
      </c>
      <c r="O182" s="87">
        <v>37773.027448000001</v>
      </c>
      <c r="P182" s="89">
        <v>112.5</v>
      </c>
      <c r="Q182" s="80"/>
      <c r="R182" s="87">
        <v>42.494654630999989</v>
      </c>
      <c r="S182" s="88">
        <v>9.4709356714999584E-5</v>
      </c>
      <c r="T182" s="88">
        <f t="shared" si="3"/>
        <v>4.6225029555777551E-4</v>
      </c>
      <c r="U182" s="88">
        <f>R182/'סכום נכסי הקרן'!$C$42</f>
        <v>1.1690461996372829E-5</v>
      </c>
    </row>
    <row r="183" spans="2:21">
      <c r="B183" s="86" t="s">
        <v>703</v>
      </c>
      <c r="C183" s="80" t="s">
        <v>704</v>
      </c>
      <c r="D183" s="93" t="s">
        <v>122</v>
      </c>
      <c r="E183" s="93" t="s">
        <v>290</v>
      </c>
      <c r="F183" s="80" t="s">
        <v>469</v>
      </c>
      <c r="G183" s="93" t="s">
        <v>153</v>
      </c>
      <c r="H183" s="80" t="s">
        <v>390</v>
      </c>
      <c r="I183" s="80" t="s">
        <v>294</v>
      </c>
      <c r="J183" s="80"/>
      <c r="K183" s="87">
        <v>4.830000000001041</v>
      </c>
      <c r="L183" s="93" t="s">
        <v>166</v>
      </c>
      <c r="M183" s="94">
        <v>5.0900000000000001E-2</v>
      </c>
      <c r="N183" s="94">
        <v>1.3700000000003019E-2</v>
      </c>
      <c r="O183" s="87">
        <v>248741.09583799998</v>
      </c>
      <c r="P183" s="89">
        <v>119.75</v>
      </c>
      <c r="Q183" s="80"/>
      <c r="R183" s="87">
        <v>297.86745674299999</v>
      </c>
      <c r="S183" s="88">
        <v>2.4092752795703006E-4</v>
      </c>
      <c r="T183" s="88">
        <f t="shared" si="3"/>
        <v>3.2401562293448982E-3</v>
      </c>
      <c r="U183" s="88">
        <f>R183/'סכום נכסי הקרן'!$C$42</f>
        <v>8.1944616640559469E-5</v>
      </c>
    </row>
    <row r="184" spans="2:21">
      <c r="B184" s="86" t="s">
        <v>705</v>
      </c>
      <c r="C184" s="80" t="s">
        <v>706</v>
      </c>
      <c r="D184" s="93" t="s">
        <v>122</v>
      </c>
      <c r="E184" s="93" t="s">
        <v>290</v>
      </c>
      <c r="F184" s="80" t="s">
        <v>707</v>
      </c>
      <c r="G184" s="93" t="s">
        <v>671</v>
      </c>
      <c r="H184" s="80" t="s">
        <v>390</v>
      </c>
      <c r="I184" s="80" t="s">
        <v>294</v>
      </c>
      <c r="J184" s="80"/>
      <c r="K184" s="87">
        <v>0.99000000064462657</v>
      </c>
      <c r="L184" s="93" t="s">
        <v>166</v>
      </c>
      <c r="M184" s="94">
        <v>4.0999999999999995E-2</v>
      </c>
      <c r="N184" s="94">
        <v>4.0000000000000001E-3</v>
      </c>
      <c r="O184" s="87">
        <v>634.57950000000005</v>
      </c>
      <c r="P184" s="89">
        <v>103.69</v>
      </c>
      <c r="Q184" s="87">
        <v>0.66059730199999989</v>
      </c>
      <c r="R184" s="87">
        <v>1.3185927850000001</v>
      </c>
      <c r="S184" s="88">
        <v>4.23053014E-6</v>
      </c>
      <c r="T184" s="88">
        <f t="shared" si="3"/>
        <v>1.4343448837961696E-5</v>
      </c>
      <c r="U184" s="88">
        <f>R184/'סכום נכסי הקרן'!$C$42</f>
        <v>3.6275053828743553E-7</v>
      </c>
    </row>
    <row r="185" spans="2:21">
      <c r="B185" s="86" t="s">
        <v>708</v>
      </c>
      <c r="C185" s="80" t="s">
        <v>709</v>
      </c>
      <c r="D185" s="93" t="s">
        <v>122</v>
      </c>
      <c r="E185" s="93" t="s">
        <v>290</v>
      </c>
      <c r="F185" s="80" t="s">
        <v>707</v>
      </c>
      <c r="G185" s="93" t="s">
        <v>671</v>
      </c>
      <c r="H185" s="80" t="s">
        <v>390</v>
      </c>
      <c r="I185" s="80" t="s">
        <v>294</v>
      </c>
      <c r="J185" s="80"/>
      <c r="K185" s="87">
        <v>2.8699999999745245</v>
      </c>
      <c r="L185" s="93" t="s">
        <v>166</v>
      </c>
      <c r="M185" s="94">
        <v>1.2E-2</v>
      </c>
      <c r="N185" s="94">
        <v>8.3999999999177198E-3</v>
      </c>
      <c r="O185" s="87">
        <v>62491.997316000008</v>
      </c>
      <c r="P185" s="89">
        <v>101.13</v>
      </c>
      <c r="Q185" s="80"/>
      <c r="R185" s="87">
        <v>63.198154802999994</v>
      </c>
      <c r="S185" s="88">
        <v>1.34872291560014E-4</v>
      </c>
      <c r="T185" s="88">
        <f t="shared" si="3"/>
        <v>6.87459775589788E-4</v>
      </c>
      <c r="U185" s="88">
        <f>R185/'סכום נכסי הקרן'!$C$42</f>
        <v>1.7386083811736406E-5</v>
      </c>
    </row>
    <row r="186" spans="2:21">
      <c r="B186" s="86" t="s">
        <v>710</v>
      </c>
      <c r="C186" s="80" t="s">
        <v>711</v>
      </c>
      <c r="D186" s="93" t="s">
        <v>122</v>
      </c>
      <c r="E186" s="93" t="s">
        <v>290</v>
      </c>
      <c r="F186" s="80" t="s">
        <v>477</v>
      </c>
      <c r="G186" s="93" t="s">
        <v>193</v>
      </c>
      <c r="H186" s="80" t="s">
        <v>474</v>
      </c>
      <c r="I186" s="80" t="s">
        <v>294</v>
      </c>
      <c r="J186" s="80"/>
      <c r="K186" s="87">
        <v>4.3800000000008668</v>
      </c>
      <c r="L186" s="93" t="s">
        <v>166</v>
      </c>
      <c r="M186" s="94">
        <v>3.6499999999999998E-2</v>
      </c>
      <c r="N186" s="94">
        <v>1.7600000000003793E-2</v>
      </c>
      <c r="O186" s="87">
        <v>678430.37336900015</v>
      </c>
      <c r="P186" s="89">
        <v>108.86</v>
      </c>
      <c r="Q186" s="80"/>
      <c r="R186" s="87">
        <v>738.53928187199995</v>
      </c>
      <c r="S186" s="88">
        <v>3.162892748838212E-4</v>
      </c>
      <c r="T186" s="88">
        <f t="shared" si="3"/>
        <v>8.0337163412857598E-3</v>
      </c>
      <c r="U186" s="88">
        <f>R186/'סכום נכסי הקרן'!$C$42</f>
        <v>2.0317532834481877E-4</v>
      </c>
    </row>
    <row r="187" spans="2:21">
      <c r="B187" s="86" t="s">
        <v>712</v>
      </c>
      <c r="C187" s="80" t="s">
        <v>713</v>
      </c>
      <c r="D187" s="93" t="s">
        <v>122</v>
      </c>
      <c r="E187" s="93" t="s">
        <v>290</v>
      </c>
      <c r="F187" s="80" t="s">
        <v>407</v>
      </c>
      <c r="G187" s="93" t="s">
        <v>360</v>
      </c>
      <c r="H187" s="80" t="s">
        <v>482</v>
      </c>
      <c r="I187" s="80" t="s">
        <v>162</v>
      </c>
      <c r="J187" s="80"/>
      <c r="K187" s="87">
        <v>2.9800000000041451</v>
      </c>
      <c r="L187" s="93" t="s">
        <v>166</v>
      </c>
      <c r="M187" s="94">
        <v>3.5000000000000003E-2</v>
      </c>
      <c r="N187" s="94">
        <v>6.5000000000045056E-3</v>
      </c>
      <c r="O187" s="87">
        <v>100440.99463200002</v>
      </c>
      <c r="P187" s="89">
        <v>108.73</v>
      </c>
      <c r="Q187" s="87">
        <v>1.7577174</v>
      </c>
      <c r="R187" s="87">
        <v>110.96720642300001</v>
      </c>
      <c r="S187" s="88">
        <v>7.0480580758725355E-4</v>
      </c>
      <c r="T187" s="88">
        <f t="shared" si="3"/>
        <v>1.2070841476808437E-3</v>
      </c>
      <c r="U187" s="88">
        <f>R187/'סכום נכסי הקרן'!$C$42</f>
        <v>3.0527555072429902E-5</v>
      </c>
    </row>
    <row r="188" spans="2:21">
      <c r="B188" s="86" t="s">
        <v>714</v>
      </c>
      <c r="C188" s="80" t="s">
        <v>715</v>
      </c>
      <c r="D188" s="93" t="s">
        <v>122</v>
      </c>
      <c r="E188" s="93" t="s">
        <v>290</v>
      </c>
      <c r="F188" s="80" t="s">
        <v>688</v>
      </c>
      <c r="G188" s="93" t="s">
        <v>360</v>
      </c>
      <c r="H188" s="80" t="s">
        <v>482</v>
      </c>
      <c r="I188" s="80" t="s">
        <v>162</v>
      </c>
      <c r="J188" s="80"/>
      <c r="K188" s="87">
        <v>3.4899999999969471</v>
      </c>
      <c r="L188" s="93" t="s">
        <v>166</v>
      </c>
      <c r="M188" s="94">
        <v>4.3499999999999997E-2</v>
      </c>
      <c r="N188" s="94">
        <v>8.6799999999934985E-2</v>
      </c>
      <c r="O188" s="87">
        <v>289897.62151899998</v>
      </c>
      <c r="P188" s="89">
        <v>87</v>
      </c>
      <c r="Q188" s="80"/>
      <c r="R188" s="87">
        <v>252.210940373</v>
      </c>
      <c r="S188" s="88">
        <v>1.7384730231275765E-4</v>
      </c>
      <c r="T188" s="88">
        <f t="shared" si="3"/>
        <v>2.7435116897096723E-3</v>
      </c>
      <c r="U188" s="88">
        <f>R188/'סכום נכסי הקרן'!$C$42</f>
        <v>6.938431290012409E-5</v>
      </c>
    </row>
    <row r="189" spans="2:21">
      <c r="B189" s="86" t="s">
        <v>716</v>
      </c>
      <c r="C189" s="80" t="s">
        <v>717</v>
      </c>
      <c r="D189" s="93" t="s">
        <v>122</v>
      </c>
      <c r="E189" s="93" t="s">
        <v>290</v>
      </c>
      <c r="F189" s="80" t="s">
        <v>354</v>
      </c>
      <c r="G189" s="93" t="s">
        <v>298</v>
      </c>
      <c r="H189" s="80" t="s">
        <v>482</v>
      </c>
      <c r="I189" s="80" t="s">
        <v>162</v>
      </c>
      <c r="J189" s="80"/>
      <c r="K189" s="87">
        <v>1.9299999999993283</v>
      </c>
      <c r="L189" s="93" t="s">
        <v>166</v>
      </c>
      <c r="M189" s="94">
        <v>3.6000000000000004E-2</v>
      </c>
      <c r="N189" s="94">
        <v>1.2999999999991232E-2</v>
      </c>
      <c r="O189" s="87">
        <f>316507.09475/50000</f>
        <v>6.3301418949999997</v>
      </c>
      <c r="P189" s="89">
        <v>5403933</v>
      </c>
      <c r="Q189" s="80"/>
      <c r="R189" s="87">
        <v>342.07662681099993</v>
      </c>
      <c r="S189" s="88">
        <f>2018.41141987118%/50000</f>
        <v>4.0368228397423599E-4</v>
      </c>
      <c r="T189" s="88">
        <f t="shared" si="3"/>
        <v>3.7210567592527006E-3</v>
      </c>
      <c r="U189" s="88">
        <f>R189/'סכום נכסי הקרן'!$C$42</f>
        <v>9.4106749197206033E-5</v>
      </c>
    </row>
    <row r="190" spans="2:21">
      <c r="B190" s="86" t="s">
        <v>718</v>
      </c>
      <c r="C190" s="80" t="s">
        <v>719</v>
      </c>
      <c r="D190" s="93" t="s">
        <v>122</v>
      </c>
      <c r="E190" s="93" t="s">
        <v>290</v>
      </c>
      <c r="F190" s="80" t="s">
        <v>419</v>
      </c>
      <c r="G190" s="93" t="s">
        <v>420</v>
      </c>
      <c r="H190" s="80" t="s">
        <v>474</v>
      </c>
      <c r="I190" s="80" t="s">
        <v>294</v>
      </c>
      <c r="J190" s="80"/>
      <c r="K190" s="87">
        <v>10.229999999982301</v>
      </c>
      <c r="L190" s="93" t="s">
        <v>166</v>
      </c>
      <c r="M190" s="94">
        <v>3.0499999999999999E-2</v>
      </c>
      <c r="N190" s="94">
        <v>2.2699999999949184E-2</v>
      </c>
      <c r="O190" s="87">
        <v>263573.30182400002</v>
      </c>
      <c r="P190" s="89">
        <v>108.25</v>
      </c>
      <c r="Q190" s="80"/>
      <c r="R190" s="87">
        <v>285.31809923499998</v>
      </c>
      <c r="S190" s="88">
        <v>8.3402014642396636E-4</v>
      </c>
      <c r="T190" s="88">
        <f t="shared" si="3"/>
        <v>3.1036462549138698E-3</v>
      </c>
      <c r="U190" s="88">
        <f>R190/'סכום נכסי הקרן'!$C$42</f>
        <v>7.8492234492731717E-5</v>
      </c>
    </row>
    <row r="191" spans="2:21">
      <c r="B191" s="86" t="s">
        <v>720</v>
      </c>
      <c r="C191" s="80" t="s">
        <v>721</v>
      </c>
      <c r="D191" s="93" t="s">
        <v>122</v>
      </c>
      <c r="E191" s="93" t="s">
        <v>290</v>
      </c>
      <c r="F191" s="80" t="s">
        <v>419</v>
      </c>
      <c r="G191" s="93" t="s">
        <v>420</v>
      </c>
      <c r="H191" s="80" t="s">
        <v>474</v>
      </c>
      <c r="I191" s="80" t="s">
        <v>294</v>
      </c>
      <c r="J191" s="80"/>
      <c r="K191" s="87">
        <v>9.5099999999917131</v>
      </c>
      <c r="L191" s="93" t="s">
        <v>166</v>
      </c>
      <c r="M191" s="94">
        <v>3.0499999999999999E-2</v>
      </c>
      <c r="N191" s="94">
        <v>2.2199999999977491E-2</v>
      </c>
      <c r="O191" s="87">
        <v>451662.76715600002</v>
      </c>
      <c r="P191" s="89">
        <v>108.2</v>
      </c>
      <c r="Q191" s="80"/>
      <c r="R191" s="87">
        <v>488.699114055</v>
      </c>
      <c r="S191" s="88">
        <v>6.1967406759078937E-4</v>
      </c>
      <c r="T191" s="88">
        <f t="shared" si="3"/>
        <v>5.3159935495969658E-3</v>
      </c>
      <c r="U191" s="88">
        <f>R191/'סכום נכסי הקרן'!$C$42</f>
        <v>1.3444322515691914E-4</v>
      </c>
    </row>
    <row r="192" spans="2:21">
      <c r="B192" s="86" t="s">
        <v>722</v>
      </c>
      <c r="C192" s="80" t="s">
        <v>723</v>
      </c>
      <c r="D192" s="93" t="s">
        <v>122</v>
      </c>
      <c r="E192" s="93" t="s">
        <v>290</v>
      </c>
      <c r="F192" s="80" t="s">
        <v>419</v>
      </c>
      <c r="G192" s="93" t="s">
        <v>420</v>
      </c>
      <c r="H192" s="80" t="s">
        <v>474</v>
      </c>
      <c r="I192" s="80" t="s">
        <v>294</v>
      </c>
      <c r="J192" s="80"/>
      <c r="K192" s="87">
        <v>5.9900000000068649</v>
      </c>
      <c r="L192" s="93" t="s">
        <v>166</v>
      </c>
      <c r="M192" s="94">
        <v>2.9100000000000001E-2</v>
      </c>
      <c r="N192" s="94">
        <v>1.6000000000008424E-2</v>
      </c>
      <c r="O192" s="87">
        <v>219653.34813</v>
      </c>
      <c r="P192" s="89">
        <v>108.11</v>
      </c>
      <c r="Q192" s="80"/>
      <c r="R192" s="87">
        <v>237.46723466299997</v>
      </c>
      <c r="S192" s="88">
        <v>3.6608891355000001E-4</v>
      </c>
      <c r="T192" s="88">
        <f t="shared" si="3"/>
        <v>2.5831319341558384E-3</v>
      </c>
      <c r="U192" s="88">
        <f>R192/'סכום נכסי הקרן'!$C$42</f>
        <v>6.5328256137570174E-5</v>
      </c>
    </row>
    <row r="193" spans="2:21">
      <c r="B193" s="86" t="s">
        <v>724</v>
      </c>
      <c r="C193" s="80" t="s">
        <v>725</v>
      </c>
      <c r="D193" s="93" t="s">
        <v>122</v>
      </c>
      <c r="E193" s="93" t="s">
        <v>290</v>
      </c>
      <c r="F193" s="80" t="s">
        <v>419</v>
      </c>
      <c r="G193" s="93" t="s">
        <v>420</v>
      </c>
      <c r="H193" s="80" t="s">
        <v>474</v>
      </c>
      <c r="I193" s="80" t="s">
        <v>294</v>
      </c>
      <c r="J193" s="80"/>
      <c r="K193" s="87">
        <v>7.7899999999944516</v>
      </c>
      <c r="L193" s="93" t="s">
        <v>166</v>
      </c>
      <c r="M193" s="94">
        <v>3.95E-2</v>
      </c>
      <c r="N193" s="94">
        <v>1.8699999999965657E-2</v>
      </c>
      <c r="O193" s="87">
        <v>161441.41185999999</v>
      </c>
      <c r="P193" s="89">
        <v>117.25</v>
      </c>
      <c r="Q193" s="80"/>
      <c r="R193" s="87">
        <v>189.29005539500002</v>
      </c>
      <c r="S193" s="88">
        <v>6.7264459823092434E-4</v>
      </c>
      <c r="T193" s="88">
        <f t="shared" si="3"/>
        <v>2.0590680124896311E-3</v>
      </c>
      <c r="U193" s="88">
        <f>R193/'סכום נכסי הקרן'!$C$42</f>
        <v>5.2074507208072387E-5</v>
      </c>
    </row>
    <row r="194" spans="2:21">
      <c r="B194" s="86" t="s">
        <v>726</v>
      </c>
      <c r="C194" s="80" t="s">
        <v>727</v>
      </c>
      <c r="D194" s="93" t="s">
        <v>122</v>
      </c>
      <c r="E194" s="93" t="s">
        <v>290</v>
      </c>
      <c r="F194" s="80" t="s">
        <v>419</v>
      </c>
      <c r="G194" s="93" t="s">
        <v>420</v>
      </c>
      <c r="H194" s="80" t="s">
        <v>474</v>
      </c>
      <c r="I194" s="80" t="s">
        <v>294</v>
      </c>
      <c r="J194" s="80"/>
      <c r="K194" s="87">
        <v>8.5099999999729423</v>
      </c>
      <c r="L194" s="93" t="s">
        <v>166</v>
      </c>
      <c r="M194" s="94">
        <v>3.95E-2</v>
      </c>
      <c r="N194" s="94">
        <v>2.0399999999991404E-2</v>
      </c>
      <c r="O194" s="87">
        <v>39694.555326000002</v>
      </c>
      <c r="P194" s="89">
        <v>117.32</v>
      </c>
      <c r="Q194" s="80"/>
      <c r="R194" s="87">
        <v>46.569652326000011</v>
      </c>
      <c r="S194" s="88">
        <v>1.6538710800154959E-4</v>
      </c>
      <c r="T194" s="88">
        <f t="shared" si="3"/>
        <v>5.0657749165497284E-4</v>
      </c>
      <c r="U194" s="88">
        <f>R194/'סכום נכסי הקרן'!$C$42</f>
        <v>1.2811511363696128E-5</v>
      </c>
    </row>
    <row r="195" spans="2:21">
      <c r="B195" s="86" t="s">
        <v>728</v>
      </c>
      <c r="C195" s="80" t="s">
        <v>729</v>
      </c>
      <c r="D195" s="93" t="s">
        <v>122</v>
      </c>
      <c r="E195" s="93" t="s">
        <v>290</v>
      </c>
      <c r="F195" s="80" t="s">
        <v>730</v>
      </c>
      <c r="G195" s="93" t="s">
        <v>360</v>
      </c>
      <c r="H195" s="80" t="s">
        <v>474</v>
      </c>
      <c r="I195" s="80" t="s">
        <v>294</v>
      </c>
      <c r="J195" s="80"/>
      <c r="K195" s="87">
        <v>2.8799999999999994</v>
      </c>
      <c r="L195" s="93" t="s">
        <v>166</v>
      </c>
      <c r="M195" s="94">
        <v>3.9E-2</v>
      </c>
      <c r="N195" s="94">
        <v>3.6090909090909083E-2</v>
      </c>
      <c r="O195" s="87">
        <v>5.5000000000000003E-4</v>
      </c>
      <c r="P195" s="89">
        <v>101.3</v>
      </c>
      <c r="Q195" s="80"/>
      <c r="R195" s="87">
        <v>5.5000000000000003E-7</v>
      </c>
      <c r="S195" s="88">
        <v>8.3509243276771044E-13</v>
      </c>
      <c r="T195" s="88">
        <f t="shared" si="3"/>
        <v>5.9828151273244928E-12</v>
      </c>
      <c r="U195" s="88">
        <f>R195/'סכום נכסי הקרן'!$C$42</f>
        <v>1.5130736215736957E-13</v>
      </c>
    </row>
    <row r="196" spans="2:21">
      <c r="B196" s="86" t="s">
        <v>731</v>
      </c>
      <c r="C196" s="80" t="s">
        <v>732</v>
      </c>
      <c r="D196" s="93" t="s">
        <v>122</v>
      </c>
      <c r="E196" s="93" t="s">
        <v>290</v>
      </c>
      <c r="F196" s="80" t="s">
        <v>431</v>
      </c>
      <c r="G196" s="93" t="s">
        <v>360</v>
      </c>
      <c r="H196" s="80" t="s">
        <v>482</v>
      </c>
      <c r="I196" s="80" t="s">
        <v>162</v>
      </c>
      <c r="J196" s="80"/>
      <c r="K196" s="87">
        <v>3.4099999999759163</v>
      </c>
      <c r="L196" s="93" t="s">
        <v>166</v>
      </c>
      <c r="M196" s="94">
        <v>5.0499999999999996E-2</v>
      </c>
      <c r="N196" s="94">
        <v>1.4599999999915641E-2</v>
      </c>
      <c r="O196" s="87">
        <v>64270.28418699999</v>
      </c>
      <c r="P196" s="89">
        <v>114.35</v>
      </c>
      <c r="Q196" s="80"/>
      <c r="R196" s="87">
        <v>73.493072096999995</v>
      </c>
      <c r="S196" s="88">
        <v>8.6684576365015107E-5</v>
      </c>
      <c r="T196" s="88">
        <f t="shared" si="3"/>
        <v>7.9944629726451106E-4</v>
      </c>
      <c r="U196" s="88">
        <f>R196/'סכום נכסי הקרן'!$C$42</f>
        <v>2.0218259774251726E-5</v>
      </c>
    </row>
    <row r="197" spans="2:21">
      <c r="B197" s="86" t="s">
        <v>733</v>
      </c>
      <c r="C197" s="80" t="s">
        <v>734</v>
      </c>
      <c r="D197" s="93" t="s">
        <v>122</v>
      </c>
      <c r="E197" s="93" t="s">
        <v>290</v>
      </c>
      <c r="F197" s="80" t="s">
        <v>436</v>
      </c>
      <c r="G197" s="93" t="s">
        <v>420</v>
      </c>
      <c r="H197" s="80" t="s">
        <v>482</v>
      </c>
      <c r="I197" s="80" t="s">
        <v>162</v>
      </c>
      <c r="J197" s="80"/>
      <c r="K197" s="87">
        <v>4.1999999999968685</v>
      </c>
      <c r="L197" s="93" t="s">
        <v>166</v>
      </c>
      <c r="M197" s="94">
        <v>3.9199999999999999E-2</v>
      </c>
      <c r="N197" s="94">
        <v>1.2599999999981215E-2</v>
      </c>
      <c r="O197" s="87">
        <v>281460.957758</v>
      </c>
      <c r="P197" s="89">
        <v>113.47</v>
      </c>
      <c r="Q197" s="80"/>
      <c r="R197" s="87">
        <v>319.37375810999998</v>
      </c>
      <c r="S197" s="88">
        <v>2.9323309353089115E-4</v>
      </c>
      <c r="T197" s="88">
        <f t="shared" si="3"/>
        <v>3.4740984568926931E-3</v>
      </c>
      <c r="U197" s="88">
        <f>R197/'סכום נכסי הקרן'!$C$42</f>
        <v>8.7861092512563465E-5</v>
      </c>
    </row>
    <row r="198" spans="2:21">
      <c r="B198" s="86" t="s">
        <v>735</v>
      </c>
      <c r="C198" s="80" t="s">
        <v>736</v>
      </c>
      <c r="D198" s="93" t="s">
        <v>122</v>
      </c>
      <c r="E198" s="93" t="s">
        <v>290</v>
      </c>
      <c r="F198" s="80" t="s">
        <v>436</v>
      </c>
      <c r="G198" s="93" t="s">
        <v>420</v>
      </c>
      <c r="H198" s="80" t="s">
        <v>482</v>
      </c>
      <c r="I198" s="80" t="s">
        <v>162</v>
      </c>
      <c r="J198" s="80"/>
      <c r="K198" s="87">
        <v>9.0100000000032097</v>
      </c>
      <c r="L198" s="93" t="s">
        <v>166</v>
      </c>
      <c r="M198" s="94">
        <v>2.64E-2</v>
      </c>
      <c r="N198" s="94">
        <v>2.3000000000009856E-2</v>
      </c>
      <c r="O198" s="87">
        <v>878648.91188100015</v>
      </c>
      <c r="P198" s="89">
        <v>103.89</v>
      </c>
      <c r="Q198" s="80"/>
      <c r="R198" s="87">
        <v>912.82833410700005</v>
      </c>
      <c r="S198" s="88">
        <v>5.370149192170388E-4</v>
      </c>
      <c r="T198" s="88">
        <f t="shared" si="3"/>
        <v>9.9296057562650464E-3</v>
      </c>
      <c r="U198" s="88">
        <f>R198/'סכום נכסי הקרן'!$C$42</f>
        <v>2.5112299515679307E-4</v>
      </c>
    </row>
    <row r="199" spans="2:21">
      <c r="B199" s="86" t="s">
        <v>737</v>
      </c>
      <c r="C199" s="80" t="s">
        <v>738</v>
      </c>
      <c r="D199" s="93" t="s">
        <v>122</v>
      </c>
      <c r="E199" s="93" t="s">
        <v>290</v>
      </c>
      <c r="F199" s="80" t="s">
        <v>547</v>
      </c>
      <c r="G199" s="93" t="s">
        <v>420</v>
      </c>
      <c r="H199" s="80" t="s">
        <v>482</v>
      </c>
      <c r="I199" s="80" t="s">
        <v>162</v>
      </c>
      <c r="J199" s="80"/>
      <c r="K199" s="87">
        <v>4.1799999999979347</v>
      </c>
      <c r="L199" s="93" t="s">
        <v>166</v>
      </c>
      <c r="M199" s="94">
        <v>4.0999999999999995E-2</v>
      </c>
      <c r="N199" s="94">
        <v>1.2600000000027541E-2</v>
      </c>
      <c r="O199" s="87">
        <v>101532.72</v>
      </c>
      <c r="P199" s="89">
        <v>112.39</v>
      </c>
      <c r="Q199" s="87">
        <v>2.0814207599999999</v>
      </c>
      <c r="R199" s="87">
        <v>116.19404476800001</v>
      </c>
      <c r="S199" s="88">
        <v>3.3844240000000002E-4</v>
      </c>
      <c r="T199" s="88">
        <f t="shared" si="3"/>
        <v>1.2639408886236541E-3</v>
      </c>
      <c r="U199" s="88">
        <f>R199/'סכום נכסי הקרן'!$C$42</f>
        <v>3.1965480749529795E-5</v>
      </c>
    </row>
    <row r="200" spans="2:21">
      <c r="B200" s="86" t="s">
        <v>739</v>
      </c>
      <c r="C200" s="80" t="s">
        <v>740</v>
      </c>
      <c r="D200" s="93" t="s">
        <v>122</v>
      </c>
      <c r="E200" s="93" t="s">
        <v>290</v>
      </c>
      <c r="F200" s="80" t="s">
        <v>559</v>
      </c>
      <c r="G200" s="93" t="s">
        <v>424</v>
      </c>
      <c r="H200" s="80" t="s">
        <v>474</v>
      </c>
      <c r="I200" s="80" t="s">
        <v>294</v>
      </c>
      <c r="J200" s="80"/>
      <c r="K200" s="87">
        <v>4.2399999999994114</v>
      </c>
      <c r="L200" s="93" t="s">
        <v>166</v>
      </c>
      <c r="M200" s="94">
        <v>1.9E-2</v>
      </c>
      <c r="N200" s="94">
        <v>1.3299999999994962E-2</v>
      </c>
      <c r="O200" s="87">
        <v>793442.86072200001</v>
      </c>
      <c r="P200" s="89">
        <v>102.62</v>
      </c>
      <c r="Q200" s="80"/>
      <c r="R200" s="87">
        <v>814.23106367699995</v>
      </c>
      <c r="S200" s="88">
        <v>5.492482065751164E-4</v>
      </c>
      <c r="T200" s="88">
        <f t="shared" si="3"/>
        <v>8.8570798634623037E-3</v>
      </c>
      <c r="U200" s="88">
        <f>R200/'סכום נכסי הקרן'!$C$42</f>
        <v>2.2399846260282919E-4</v>
      </c>
    </row>
    <row r="201" spans="2:21">
      <c r="B201" s="86" t="s">
        <v>741</v>
      </c>
      <c r="C201" s="80" t="s">
        <v>742</v>
      </c>
      <c r="D201" s="93" t="s">
        <v>122</v>
      </c>
      <c r="E201" s="93" t="s">
        <v>290</v>
      </c>
      <c r="F201" s="80" t="s">
        <v>559</v>
      </c>
      <c r="G201" s="93" t="s">
        <v>424</v>
      </c>
      <c r="H201" s="80" t="s">
        <v>474</v>
      </c>
      <c r="I201" s="80" t="s">
        <v>294</v>
      </c>
      <c r="J201" s="80"/>
      <c r="K201" s="87">
        <v>2.8099999999994645</v>
      </c>
      <c r="L201" s="93" t="s">
        <v>166</v>
      </c>
      <c r="M201" s="94">
        <v>2.9600000000000001E-2</v>
      </c>
      <c r="N201" s="94">
        <v>9.5999999999908207E-3</v>
      </c>
      <c r="O201" s="87">
        <v>123320.076416</v>
      </c>
      <c r="P201" s="89">
        <v>106</v>
      </c>
      <c r="Q201" s="80"/>
      <c r="R201" s="87">
        <v>130.71927964700001</v>
      </c>
      <c r="S201" s="88">
        <v>3.0196348725985202E-4</v>
      </c>
      <c r="T201" s="88">
        <f t="shared" si="3"/>
        <v>1.4219441521909678E-3</v>
      </c>
      <c r="U201" s="88">
        <f>R201/'סכום נכסי הקרן'!$C$42</f>
        <v>3.5961435248180172E-5</v>
      </c>
    </row>
    <row r="202" spans="2:21">
      <c r="B202" s="86" t="s">
        <v>743</v>
      </c>
      <c r="C202" s="80" t="s">
        <v>744</v>
      </c>
      <c r="D202" s="93" t="s">
        <v>122</v>
      </c>
      <c r="E202" s="93" t="s">
        <v>290</v>
      </c>
      <c r="F202" s="80" t="s">
        <v>564</v>
      </c>
      <c r="G202" s="93" t="s">
        <v>420</v>
      </c>
      <c r="H202" s="80" t="s">
        <v>482</v>
      </c>
      <c r="I202" s="80" t="s">
        <v>162</v>
      </c>
      <c r="J202" s="80"/>
      <c r="K202" s="87">
        <v>5.0699999999974965</v>
      </c>
      <c r="L202" s="93" t="s">
        <v>166</v>
      </c>
      <c r="M202" s="94">
        <v>3.61E-2</v>
      </c>
      <c r="N202" s="94">
        <v>1.3400000000000635E-2</v>
      </c>
      <c r="O202" s="87">
        <v>555007.02548499999</v>
      </c>
      <c r="P202" s="89">
        <v>113.7</v>
      </c>
      <c r="Q202" s="80"/>
      <c r="R202" s="87">
        <v>631.04296949399998</v>
      </c>
      <c r="S202" s="88">
        <v>7.2313618955700321E-4</v>
      </c>
      <c r="T202" s="88">
        <f t="shared" si="3"/>
        <v>6.8643880434190382E-3</v>
      </c>
      <c r="U202" s="88">
        <f>R202/'סכום נכסי הקרן'!$C$42</f>
        <v>1.7360263113107375E-4</v>
      </c>
    </row>
    <row r="203" spans="2:21">
      <c r="B203" s="86" t="s">
        <v>745</v>
      </c>
      <c r="C203" s="80" t="s">
        <v>746</v>
      </c>
      <c r="D203" s="93" t="s">
        <v>122</v>
      </c>
      <c r="E203" s="93" t="s">
        <v>290</v>
      </c>
      <c r="F203" s="80" t="s">
        <v>564</v>
      </c>
      <c r="G203" s="93" t="s">
        <v>420</v>
      </c>
      <c r="H203" s="80" t="s">
        <v>482</v>
      </c>
      <c r="I203" s="80" t="s">
        <v>162</v>
      </c>
      <c r="J203" s="80"/>
      <c r="K203" s="87">
        <v>6.0199999999956297</v>
      </c>
      <c r="L203" s="93" t="s">
        <v>166</v>
      </c>
      <c r="M203" s="94">
        <v>3.3000000000000002E-2</v>
      </c>
      <c r="N203" s="94">
        <v>1.6399999999996282E-2</v>
      </c>
      <c r="O203" s="87">
        <v>192765.49129400001</v>
      </c>
      <c r="P203" s="89">
        <v>111.61</v>
      </c>
      <c r="Q203" s="80"/>
      <c r="R203" s="87">
        <v>215.14556484700003</v>
      </c>
      <c r="S203" s="88">
        <v>6.2516172240185508E-4</v>
      </c>
      <c r="T203" s="88">
        <f t="shared" si="3"/>
        <v>2.3403202544425533E-3</v>
      </c>
      <c r="U203" s="88">
        <f>R203/'סכום נכסי הקרן'!$C$42</f>
        <v>5.9187468903376123E-5</v>
      </c>
    </row>
    <row r="204" spans="2:21">
      <c r="B204" s="86" t="s">
        <v>747</v>
      </c>
      <c r="C204" s="80" t="s">
        <v>748</v>
      </c>
      <c r="D204" s="93" t="s">
        <v>122</v>
      </c>
      <c r="E204" s="93" t="s">
        <v>290</v>
      </c>
      <c r="F204" s="80" t="s">
        <v>564</v>
      </c>
      <c r="G204" s="93" t="s">
        <v>420</v>
      </c>
      <c r="H204" s="80" t="s">
        <v>482</v>
      </c>
      <c r="I204" s="80" t="s">
        <v>162</v>
      </c>
      <c r="J204" s="80"/>
      <c r="K204" s="87">
        <v>8.3299999999959802</v>
      </c>
      <c r="L204" s="93" t="s">
        <v>166</v>
      </c>
      <c r="M204" s="94">
        <v>2.6200000000000001E-2</v>
      </c>
      <c r="N204" s="94">
        <v>2.1299999999982222E-2</v>
      </c>
      <c r="O204" s="87">
        <v>596352.43091999996</v>
      </c>
      <c r="P204" s="89">
        <v>104.69</v>
      </c>
      <c r="Q204" s="80"/>
      <c r="R204" s="87">
        <v>624.32134004699992</v>
      </c>
      <c r="S204" s="88">
        <v>7.4544053864999992E-4</v>
      </c>
      <c r="T204" s="88">
        <f t="shared" si="3"/>
        <v>6.7912711955357991E-3</v>
      </c>
      <c r="U204" s="88">
        <f>R204/'סכום נכסי הקרן'!$C$42</f>
        <v>1.717534820019376E-4</v>
      </c>
    </row>
    <row r="205" spans="2:21">
      <c r="B205" s="86" t="s">
        <v>749</v>
      </c>
      <c r="C205" s="80" t="s">
        <v>750</v>
      </c>
      <c r="D205" s="93" t="s">
        <v>122</v>
      </c>
      <c r="E205" s="93" t="s">
        <v>290</v>
      </c>
      <c r="F205" s="80" t="s">
        <v>751</v>
      </c>
      <c r="G205" s="93" t="s">
        <v>153</v>
      </c>
      <c r="H205" s="80" t="s">
        <v>482</v>
      </c>
      <c r="I205" s="80" t="s">
        <v>162</v>
      </c>
      <c r="J205" s="80"/>
      <c r="K205" s="87">
        <v>3.2600000000016967</v>
      </c>
      <c r="L205" s="93" t="s">
        <v>166</v>
      </c>
      <c r="M205" s="94">
        <v>2.75E-2</v>
      </c>
      <c r="N205" s="94">
        <v>1.6600000000016962E-2</v>
      </c>
      <c r="O205" s="87">
        <v>169162.960747</v>
      </c>
      <c r="P205" s="89">
        <v>104.53</v>
      </c>
      <c r="Q205" s="80"/>
      <c r="R205" s="87">
        <v>176.826037195</v>
      </c>
      <c r="S205" s="88">
        <v>3.8909118718871466E-4</v>
      </c>
      <c r="T205" s="88">
        <f t="shared" si="3"/>
        <v>1.9234863458819805E-3</v>
      </c>
      <c r="U205" s="88">
        <f>R205/'סכום נכסי הקרן'!$C$42</f>
        <v>4.8645602270393387E-5</v>
      </c>
    </row>
    <row r="206" spans="2:21">
      <c r="B206" s="86" t="s">
        <v>752</v>
      </c>
      <c r="C206" s="80" t="s">
        <v>753</v>
      </c>
      <c r="D206" s="93" t="s">
        <v>122</v>
      </c>
      <c r="E206" s="93" t="s">
        <v>290</v>
      </c>
      <c r="F206" s="80" t="s">
        <v>751</v>
      </c>
      <c r="G206" s="93" t="s">
        <v>153</v>
      </c>
      <c r="H206" s="80" t="s">
        <v>482</v>
      </c>
      <c r="I206" s="80" t="s">
        <v>162</v>
      </c>
      <c r="J206" s="80"/>
      <c r="K206" s="87">
        <v>4.3100000000027379</v>
      </c>
      <c r="L206" s="93" t="s">
        <v>166</v>
      </c>
      <c r="M206" s="94">
        <v>2.3E-2</v>
      </c>
      <c r="N206" s="94">
        <v>1.6100000000018152E-2</v>
      </c>
      <c r="O206" s="87">
        <v>313191.42101699999</v>
      </c>
      <c r="P206" s="89">
        <v>103.78</v>
      </c>
      <c r="Q206" s="80"/>
      <c r="R206" s="87">
        <v>325.030049781</v>
      </c>
      <c r="S206" s="88">
        <v>1.0373250886594441E-3</v>
      </c>
      <c r="T206" s="88">
        <f t="shared" si="3"/>
        <v>3.5356267248450902E-3</v>
      </c>
      <c r="U206" s="88">
        <f>R206/'סכום נכסי הקרן'!$C$42</f>
        <v>8.9417162644075672E-5</v>
      </c>
    </row>
    <row r="207" spans="2:21">
      <c r="B207" s="86" t="s">
        <v>754</v>
      </c>
      <c r="C207" s="80" t="s">
        <v>755</v>
      </c>
      <c r="D207" s="93" t="s">
        <v>122</v>
      </c>
      <c r="E207" s="93" t="s">
        <v>290</v>
      </c>
      <c r="F207" s="80" t="s">
        <v>756</v>
      </c>
      <c r="G207" s="93" t="s">
        <v>158</v>
      </c>
      <c r="H207" s="80" t="s">
        <v>577</v>
      </c>
      <c r="I207" s="80" t="s">
        <v>294</v>
      </c>
      <c r="J207" s="80"/>
      <c r="K207" s="87">
        <v>0.97999999999487553</v>
      </c>
      <c r="L207" s="93" t="s">
        <v>166</v>
      </c>
      <c r="M207" s="94">
        <v>3.3000000000000002E-2</v>
      </c>
      <c r="N207" s="94">
        <v>1.8399999999956073E-2</v>
      </c>
      <c r="O207" s="87">
        <v>53637.785617000001</v>
      </c>
      <c r="P207" s="89">
        <v>101.87</v>
      </c>
      <c r="Q207" s="80"/>
      <c r="R207" s="87">
        <v>54.64081043600001</v>
      </c>
      <c r="S207" s="88">
        <v>1.7655308811587606E-4</v>
      </c>
      <c r="T207" s="88">
        <f t="shared" si="3"/>
        <v>5.943743040832197E-4</v>
      </c>
      <c r="U207" s="88">
        <f>R207/'סכום נכסי הקרן'!$C$42</f>
        <v>1.5031921624021874E-5</v>
      </c>
    </row>
    <row r="208" spans="2:21">
      <c r="B208" s="86" t="s">
        <v>757</v>
      </c>
      <c r="C208" s="80" t="s">
        <v>758</v>
      </c>
      <c r="D208" s="93" t="s">
        <v>122</v>
      </c>
      <c r="E208" s="93" t="s">
        <v>290</v>
      </c>
      <c r="F208" s="80" t="s">
        <v>576</v>
      </c>
      <c r="G208" s="93" t="s">
        <v>158</v>
      </c>
      <c r="H208" s="80" t="s">
        <v>577</v>
      </c>
      <c r="I208" s="80" t="s">
        <v>294</v>
      </c>
      <c r="J208" s="80"/>
      <c r="K208" s="87">
        <v>3.7500000000000004</v>
      </c>
      <c r="L208" s="93" t="s">
        <v>166</v>
      </c>
      <c r="M208" s="94">
        <v>2.7999999999999997E-2</v>
      </c>
      <c r="N208" s="94">
        <v>2.9500000000018973E-2</v>
      </c>
      <c r="O208" s="87">
        <v>211526.5</v>
      </c>
      <c r="P208" s="89">
        <v>99.68</v>
      </c>
      <c r="Q208" s="80"/>
      <c r="R208" s="87">
        <v>210.84960910799998</v>
      </c>
      <c r="S208" s="88">
        <v>7.9431656027037175E-4</v>
      </c>
      <c r="T208" s="88">
        <f t="shared" si="3"/>
        <v>2.2935895108396331E-3</v>
      </c>
      <c r="U208" s="88">
        <f>R208/'סכום נכסי הקרן'!$C$42</f>
        <v>5.8005633029170835E-5</v>
      </c>
    </row>
    <row r="209" spans="2:21">
      <c r="B209" s="86" t="s">
        <v>759</v>
      </c>
      <c r="C209" s="80" t="s">
        <v>760</v>
      </c>
      <c r="D209" s="93" t="s">
        <v>122</v>
      </c>
      <c r="E209" s="93" t="s">
        <v>290</v>
      </c>
      <c r="F209" s="80" t="s">
        <v>576</v>
      </c>
      <c r="G209" s="93" t="s">
        <v>158</v>
      </c>
      <c r="H209" s="80" t="s">
        <v>577</v>
      </c>
      <c r="I209" s="80" t="s">
        <v>294</v>
      </c>
      <c r="J209" s="80"/>
      <c r="K209" s="87">
        <v>0.66000000000080827</v>
      </c>
      <c r="L209" s="93" t="s">
        <v>166</v>
      </c>
      <c r="M209" s="94">
        <v>4.2999999999999997E-2</v>
      </c>
      <c r="N209" s="94">
        <v>2.2400000000012125E-2</v>
      </c>
      <c r="O209" s="87">
        <v>97294.396645000001</v>
      </c>
      <c r="P209" s="89">
        <v>101.73</v>
      </c>
      <c r="Q209" s="80"/>
      <c r="R209" s="87">
        <v>98.977592961999989</v>
      </c>
      <c r="S209" s="88">
        <v>4.4928667704884979E-4</v>
      </c>
      <c r="T209" s="88">
        <f t="shared" si="3"/>
        <v>1.0766629826167631E-3</v>
      </c>
      <c r="U209" s="88">
        <f>R209/'סכום נכסי הקרן'!$C$42</f>
        <v>2.7229160915938262E-5</v>
      </c>
    </row>
    <row r="210" spans="2:21">
      <c r="B210" s="86" t="s">
        <v>761</v>
      </c>
      <c r="C210" s="80" t="s">
        <v>762</v>
      </c>
      <c r="D210" s="93" t="s">
        <v>122</v>
      </c>
      <c r="E210" s="93" t="s">
        <v>290</v>
      </c>
      <c r="F210" s="80" t="s">
        <v>576</v>
      </c>
      <c r="G210" s="93" t="s">
        <v>158</v>
      </c>
      <c r="H210" s="80" t="s">
        <v>577</v>
      </c>
      <c r="I210" s="80" t="s">
        <v>294</v>
      </c>
      <c r="J210" s="80"/>
      <c r="K210" s="87">
        <v>1.3800000000011645</v>
      </c>
      <c r="L210" s="93" t="s">
        <v>166</v>
      </c>
      <c r="M210" s="94">
        <v>4.2500000000000003E-2</v>
      </c>
      <c r="N210" s="94">
        <v>2.5099999999994176E-2</v>
      </c>
      <c r="O210" s="87">
        <v>83312.420368000006</v>
      </c>
      <c r="P210" s="89">
        <v>103.08</v>
      </c>
      <c r="Q210" s="80"/>
      <c r="R210" s="87">
        <v>85.878443855</v>
      </c>
      <c r="S210" s="88">
        <v>2.2176939838380034E-4</v>
      </c>
      <c r="T210" s="88">
        <f t="shared" si="3"/>
        <v>9.3417246001232927E-4</v>
      </c>
      <c r="U210" s="88">
        <f>R210/'סכום נכסי הקרן'!$C$42</f>
        <v>2.3625528737963296E-5</v>
      </c>
    </row>
    <row r="211" spans="2:21">
      <c r="B211" s="86" t="s">
        <v>763</v>
      </c>
      <c r="C211" s="80" t="s">
        <v>764</v>
      </c>
      <c r="D211" s="93" t="s">
        <v>122</v>
      </c>
      <c r="E211" s="93" t="s">
        <v>290</v>
      </c>
      <c r="F211" s="80" t="s">
        <v>576</v>
      </c>
      <c r="G211" s="93" t="s">
        <v>158</v>
      </c>
      <c r="H211" s="80" t="s">
        <v>577</v>
      </c>
      <c r="I211" s="80" t="s">
        <v>294</v>
      </c>
      <c r="J211" s="80"/>
      <c r="K211" s="87">
        <v>1.7800000000019369</v>
      </c>
      <c r="L211" s="93" t="s">
        <v>166</v>
      </c>
      <c r="M211" s="94">
        <v>3.7000000000000005E-2</v>
      </c>
      <c r="N211" s="94">
        <v>2.6900000000009684E-2</v>
      </c>
      <c r="O211" s="87">
        <v>151203.15612699999</v>
      </c>
      <c r="P211" s="89">
        <v>102.43</v>
      </c>
      <c r="Q211" s="80"/>
      <c r="R211" s="87">
        <v>154.87739956499999</v>
      </c>
      <c r="S211" s="88">
        <v>7.6430508970060237E-4</v>
      </c>
      <c r="T211" s="88">
        <f t="shared" si="3"/>
        <v>1.6847324527239304E-3</v>
      </c>
      <c r="U211" s="88">
        <f>R211/'סכום נכסי הקרן'!$C$42</f>
        <v>4.2607437792678331E-5</v>
      </c>
    </row>
    <row r="212" spans="2:21">
      <c r="B212" s="86" t="s">
        <v>765</v>
      </c>
      <c r="C212" s="80" t="s">
        <v>766</v>
      </c>
      <c r="D212" s="93" t="s">
        <v>122</v>
      </c>
      <c r="E212" s="93" t="s">
        <v>290</v>
      </c>
      <c r="F212" s="80" t="s">
        <v>767</v>
      </c>
      <c r="G212" s="93" t="s">
        <v>648</v>
      </c>
      <c r="H212" s="80" t="s">
        <v>573</v>
      </c>
      <c r="I212" s="80" t="s">
        <v>162</v>
      </c>
      <c r="J212" s="80"/>
      <c r="K212" s="87">
        <v>3.3400000001588719</v>
      </c>
      <c r="L212" s="93" t="s">
        <v>166</v>
      </c>
      <c r="M212" s="94">
        <v>3.7499999999999999E-2</v>
      </c>
      <c r="N212" s="94">
        <v>1.2799999999750789E-2</v>
      </c>
      <c r="O212" s="87">
        <v>5922.7426769999993</v>
      </c>
      <c r="P212" s="89">
        <v>108.4</v>
      </c>
      <c r="Q212" s="80"/>
      <c r="R212" s="87">
        <v>6.4202530470000001</v>
      </c>
      <c r="S212" s="88">
        <v>1.2843381106274127E-5</v>
      </c>
      <c r="T212" s="88">
        <f t="shared" si="3"/>
        <v>6.9838521910623203E-5</v>
      </c>
      <c r="U212" s="88">
        <f>R212/'סכום נכסי הקרן'!$C$42</f>
        <v>1.7662391871352444E-6</v>
      </c>
    </row>
    <row r="213" spans="2:21">
      <c r="B213" s="86" t="s">
        <v>768</v>
      </c>
      <c r="C213" s="80" t="s">
        <v>769</v>
      </c>
      <c r="D213" s="93" t="s">
        <v>122</v>
      </c>
      <c r="E213" s="93" t="s">
        <v>290</v>
      </c>
      <c r="F213" s="80" t="s">
        <v>767</v>
      </c>
      <c r="G213" s="93" t="s">
        <v>648</v>
      </c>
      <c r="H213" s="80" t="s">
        <v>577</v>
      </c>
      <c r="I213" s="80" t="s">
        <v>294</v>
      </c>
      <c r="J213" s="80"/>
      <c r="K213" s="87">
        <v>6.1899999999911275</v>
      </c>
      <c r="L213" s="93" t="s">
        <v>166</v>
      </c>
      <c r="M213" s="94">
        <v>3.7499999999999999E-2</v>
      </c>
      <c r="N213" s="94">
        <v>1.9699999999969003E-2</v>
      </c>
      <c r="O213" s="87">
        <v>165041.43635999999</v>
      </c>
      <c r="P213" s="89">
        <v>113.35</v>
      </c>
      <c r="Q213" s="80"/>
      <c r="R213" s="87">
        <v>187.07447361399997</v>
      </c>
      <c r="S213" s="88">
        <v>4.460579361081081E-4</v>
      </c>
      <c r="T213" s="88">
        <f t="shared" si="3"/>
        <v>2.0349672557711009E-3</v>
      </c>
      <c r="U213" s="88">
        <f>R213/'סכום נכסי הקרן'!$C$42</f>
        <v>5.1464991144568668E-5</v>
      </c>
    </row>
    <row r="214" spans="2:21">
      <c r="B214" s="86" t="s">
        <v>770</v>
      </c>
      <c r="C214" s="80" t="s">
        <v>771</v>
      </c>
      <c r="D214" s="93" t="s">
        <v>122</v>
      </c>
      <c r="E214" s="93" t="s">
        <v>290</v>
      </c>
      <c r="F214" s="80" t="s">
        <v>772</v>
      </c>
      <c r="G214" s="93" t="s">
        <v>681</v>
      </c>
      <c r="H214" s="80" t="s">
        <v>573</v>
      </c>
      <c r="I214" s="80" t="s">
        <v>162</v>
      </c>
      <c r="J214" s="80"/>
      <c r="K214" s="87">
        <v>0.15999999996208231</v>
      </c>
      <c r="L214" s="93" t="s">
        <v>166</v>
      </c>
      <c r="M214" s="94">
        <v>5.5500000000000001E-2</v>
      </c>
      <c r="N214" s="94">
        <v>1.1799999999178452E-2</v>
      </c>
      <c r="O214" s="87">
        <v>3085.1519499999999</v>
      </c>
      <c r="P214" s="89">
        <v>102.58</v>
      </c>
      <c r="Q214" s="80"/>
      <c r="R214" s="87">
        <v>3.1647489069999999</v>
      </c>
      <c r="S214" s="88">
        <v>2.5709599583333332E-4</v>
      </c>
      <c r="T214" s="88">
        <f t="shared" si="3"/>
        <v>3.4425650245424091E-5</v>
      </c>
      <c r="U214" s="88">
        <f>R214/'סכום נכסי הקרן'!$C$42</f>
        <v>8.7063601637925166E-7</v>
      </c>
    </row>
    <row r="215" spans="2:21">
      <c r="B215" s="86" t="s">
        <v>773</v>
      </c>
      <c r="C215" s="80" t="s">
        <v>774</v>
      </c>
      <c r="D215" s="93" t="s">
        <v>122</v>
      </c>
      <c r="E215" s="93" t="s">
        <v>290</v>
      </c>
      <c r="F215" s="80" t="s">
        <v>775</v>
      </c>
      <c r="G215" s="93" t="s">
        <v>153</v>
      </c>
      <c r="H215" s="80" t="s">
        <v>577</v>
      </c>
      <c r="I215" s="80" t="s">
        <v>294</v>
      </c>
      <c r="J215" s="80"/>
      <c r="K215" s="87">
        <v>1.7999999999471596</v>
      </c>
      <c r="L215" s="93" t="s">
        <v>166</v>
      </c>
      <c r="M215" s="94">
        <v>3.4000000000000002E-2</v>
      </c>
      <c r="N215" s="94">
        <v>1.5799999999616909E-2</v>
      </c>
      <c r="O215" s="87">
        <v>14585.725408</v>
      </c>
      <c r="P215" s="89">
        <v>103.8</v>
      </c>
      <c r="Q215" s="80"/>
      <c r="R215" s="87">
        <v>15.139982501</v>
      </c>
      <c r="S215" s="88">
        <v>2.7594668916841823E-5</v>
      </c>
      <c r="T215" s="88">
        <f t="shared" si="3"/>
        <v>1.6469039333529256E-4</v>
      </c>
      <c r="U215" s="88">
        <f>R215/'סכום נכסי הקרן'!$C$42</f>
        <v>4.1650742097000813E-6</v>
      </c>
    </row>
    <row r="216" spans="2:21">
      <c r="B216" s="86" t="s">
        <v>776</v>
      </c>
      <c r="C216" s="80" t="s">
        <v>777</v>
      </c>
      <c r="D216" s="93" t="s">
        <v>122</v>
      </c>
      <c r="E216" s="93" t="s">
        <v>290</v>
      </c>
      <c r="F216" s="80" t="s">
        <v>778</v>
      </c>
      <c r="G216" s="93" t="s">
        <v>360</v>
      </c>
      <c r="H216" s="80" t="s">
        <v>573</v>
      </c>
      <c r="I216" s="80" t="s">
        <v>162</v>
      </c>
      <c r="J216" s="80"/>
      <c r="K216" s="87">
        <v>2.2799999990583601</v>
      </c>
      <c r="L216" s="93" t="s">
        <v>166</v>
      </c>
      <c r="M216" s="94">
        <v>6.7500000000000004E-2</v>
      </c>
      <c r="N216" s="94">
        <v>2.689999998138121E-2</v>
      </c>
      <c r="O216" s="87">
        <v>430.66342700000001</v>
      </c>
      <c r="P216" s="89">
        <v>108.5</v>
      </c>
      <c r="Q216" s="80"/>
      <c r="R216" s="87">
        <v>0.46726982299999997</v>
      </c>
      <c r="S216" s="88">
        <v>6.4623907539443055E-7</v>
      </c>
      <c r="T216" s="88">
        <f t="shared" si="3"/>
        <v>5.0828890283393414E-6</v>
      </c>
      <c r="U216" s="88">
        <f>R216/'סכום נכסי הקרן'!$C$42</f>
        <v>1.2854793515249266E-7</v>
      </c>
    </row>
    <row r="217" spans="2:21">
      <c r="B217" s="86" t="s">
        <v>779</v>
      </c>
      <c r="C217" s="80" t="s">
        <v>780</v>
      </c>
      <c r="D217" s="93" t="s">
        <v>122</v>
      </c>
      <c r="E217" s="93" t="s">
        <v>290</v>
      </c>
      <c r="F217" s="80" t="s">
        <v>527</v>
      </c>
      <c r="G217" s="93" t="s">
        <v>360</v>
      </c>
      <c r="H217" s="80" t="s">
        <v>577</v>
      </c>
      <c r="I217" s="80" t="s">
        <v>294</v>
      </c>
      <c r="J217" s="80"/>
      <c r="K217" s="87">
        <v>2.1500000043267518</v>
      </c>
      <c r="L217" s="93" t="s">
        <v>166</v>
      </c>
      <c r="M217" s="94">
        <v>5.74E-2</v>
      </c>
      <c r="N217" s="94">
        <v>1.1099999998763786E-2</v>
      </c>
      <c r="O217" s="87">
        <v>72.451464999999999</v>
      </c>
      <c r="P217" s="89">
        <v>111.65</v>
      </c>
      <c r="Q217" s="80"/>
      <c r="R217" s="87">
        <v>8.0892090999999999E-2</v>
      </c>
      <c r="S217" s="88">
        <v>4.6941966066018183E-7</v>
      </c>
      <c r="T217" s="88">
        <f t="shared" si="3"/>
        <v>8.7993168311947165E-7</v>
      </c>
      <c r="U217" s="88">
        <f>R217/'סכום נכסי הקרן'!$C$42</f>
        <v>2.2253761652007081E-8</v>
      </c>
    </row>
    <row r="218" spans="2:21">
      <c r="B218" s="86" t="s">
        <v>781</v>
      </c>
      <c r="C218" s="80" t="s">
        <v>782</v>
      </c>
      <c r="D218" s="93" t="s">
        <v>122</v>
      </c>
      <c r="E218" s="93" t="s">
        <v>290</v>
      </c>
      <c r="F218" s="80" t="s">
        <v>527</v>
      </c>
      <c r="G218" s="93" t="s">
        <v>360</v>
      </c>
      <c r="H218" s="80" t="s">
        <v>577</v>
      </c>
      <c r="I218" s="80" t="s">
        <v>294</v>
      </c>
      <c r="J218" s="80"/>
      <c r="K218" s="87">
        <v>4.3300000001833254</v>
      </c>
      <c r="L218" s="93" t="s">
        <v>166</v>
      </c>
      <c r="M218" s="94">
        <v>5.6500000000000002E-2</v>
      </c>
      <c r="N218" s="94">
        <v>1.5900000000642425E-2</v>
      </c>
      <c r="O218" s="87">
        <v>10787.851500000001</v>
      </c>
      <c r="P218" s="89">
        <v>118.32</v>
      </c>
      <c r="Q218" s="80"/>
      <c r="R218" s="87">
        <v>12.764186402</v>
      </c>
      <c r="S218" s="88">
        <v>1.2296026817287852E-4</v>
      </c>
      <c r="T218" s="88">
        <f t="shared" si="3"/>
        <v>1.3884684998886397E-4</v>
      </c>
      <c r="U218" s="88">
        <f>R218/'סכום נכסי הקרן'!$C$42</f>
        <v>3.5114824992210649E-6</v>
      </c>
    </row>
    <row r="219" spans="2:21">
      <c r="B219" s="86" t="s">
        <v>783</v>
      </c>
      <c r="C219" s="80" t="s">
        <v>784</v>
      </c>
      <c r="D219" s="93" t="s">
        <v>122</v>
      </c>
      <c r="E219" s="93" t="s">
        <v>290</v>
      </c>
      <c r="F219" s="80" t="s">
        <v>530</v>
      </c>
      <c r="G219" s="93" t="s">
        <v>360</v>
      </c>
      <c r="H219" s="80" t="s">
        <v>577</v>
      </c>
      <c r="I219" s="80" t="s">
        <v>294</v>
      </c>
      <c r="J219" s="80"/>
      <c r="K219" s="87">
        <v>2.7800000000159057</v>
      </c>
      <c r="L219" s="93" t="s">
        <v>166</v>
      </c>
      <c r="M219" s="94">
        <v>3.7000000000000005E-2</v>
      </c>
      <c r="N219" s="94">
        <v>9.8000000001244782E-3</v>
      </c>
      <c r="O219" s="87">
        <v>53690.808964999997</v>
      </c>
      <c r="P219" s="89">
        <v>107.73</v>
      </c>
      <c r="Q219" s="80"/>
      <c r="R219" s="87">
        <v>57.841108486000003</v>
      </c>
      <c r="S219" s="88">
        <v>2.4998732256516166E-4</v>
      </c>
      <c r="T219" s="88">
        <f t="shared" si="3"/>
        <v>6.2918665242046889E-4</v>
      </c>
      <c r="U219" s="88">
        <f>R219/'סכום נכסי הקרן'!$C$42</f>
        <v>1.5912337362318006E-5</v>
      </c>
    </row>
    <row r="220" spans="2:21">
      <c r="B220" s="86" t="s">
        <v>785</v>
      </c>
      <c r="C220" s="80" t="s">
        <v>786</v>
      </c>
      <c r="D220" s="93" t="s">
        <v>122</v>
      </c>
      <c r="E220" s="93" t="s">
        <v>290</v>
      </c>
      <c r="F220" s="80" t="s">
        <v>787</v>
      </c>
      <c r="G220" s="93" t="s">
        <v>158</v>
      </c>
      <c r="H220" s="80" t="s">
        <v>577</v>
      </c>
      <c r="I220" s="80" t="s">
        <v>294</v>
      </c>
      <c r="J220" s="80"/>
      <c r="K220" s="87">
        <v>2.6700000000024215</v>
      </c>
      <c r="L220" s="93" t="s">
        <v>166</v>
      </c>
      <c r="M220" s="94">
        <v>2.9500000000000002E-2</v>
      </c>
      <c r="N220" s="94">
        <v>1.1499999999977095E-2</v>
      </c>
      <c r="O220" s="87">
        <v>145751.73722000001</v>
      </c>
      <c r="P220" s="89">
        <v>104.84</v>
      </c>
      <c r="Q220" s="80"/>
      <c r="R220" s="87">
        <v>152.806121289</v>
      </c>
      <c r="S220" s="88">
        <v>8.1516996740013366E-4</v>
      </c>
      <c r="T220" s="88">
        <f t="shared" si="3"/>
        <v>1.6622014072647461E-3</v>
      </c>
      <c r="U220" s="88">
        <f>R220/'סכום נכסי הקרן'!$C$42</f>
        <v>4.2037620243159381E-5</v>
      </c>
    </row>
    <row r="221" spans="2:21">
      <c r="B221" s="86" t="s">
        <v>788</v>
      </c>
      <c r="C221" s="80" t="s">
        <v>789</v>
      </c>
      <c r="D221" s="93" t="s">
        <v>122</v>
      </c>
      <c r="E221" s="93" t="s">
        <v>290</v>
      </c>
      <c r="F221" s="80" t="s">
        <v>547</v>
      </c>
      <c r="G221" s="93" t="s">
        <v>420</v>
      </c>
      <c r="H221" s="80" t="s">
        <v>573</v>
      </c>
      <c r="I221" s="80" t="s">
        <v>162</v>
      </c>
      <c r="J221" s="80"/>
      <c r="K221" s="87">
        <v>8.2800000000106913</v>
      </c>
      <c r="L221" s="93" t="s">
        <v>166</v>
      </c>
      <c r="M221" s="94">
        <v>3.4300000000000004E-2</v>
      </c>
      <c r="N221" s="94">
        <v>2.0400000000039747E-2</v>
      </c>
      <c r="O221" s="87">
        <v>260498.32417099999</v>
      </c>
      <c r="P221" s="89">
        <v>112.04</v>
      </c>
      <c r="Q221" s="80"/>
      <c r="R221" s="87">
        <v>291.86232242099999</v>
      </c>
      <c r="S221" s="88">
        <v>1.0260687103001418E-3</v>
      </c>
      <c r="T221" s="88">
        <f t="shared" si="3"/>
        <v>3.1748333048662127E-3</v>
      </c>
      <c r="U221" s="88">
        <f>R221/'סכום נכסי הקרן'!$C$42</f>
        <v>8.0292578397536731E-5</v>
      </c>
    </row>
    <row r="222" spans="2:21">
      <c r="B222" s="86" t="s">
        <v>790</v>
      </c>
      <c r="C222" s="80" t="s">
        <v>791</v>
      </c>
      <c r="D222" s="93" t="s">
        <v>122</v>
      </c>
      <c r="E222" s="93" t="s">
        <v>290</v>
      </c>
      <c r="F222" s="80" t="s">
        <v>792</v>
      </c>
      <c r="G222" s="93" t="s">
        <v>360</v>
      </c>
      <c r="H222" s="80" t="s">
        <v>577</v>
      </c>
      <c r="I222" s="80" t="s">
        <v>294</v>
      </c>
      <c r="J222" s="80"/>
      <c r="K222" s="87">
        <v>4.3699999999972903</v>
      </c>
      <c r="L222" s="93" t="s">
        <v>166</v>
      </c>
      <c r="M222" s="94">
        <v>3.9E-2</v>
      </c>
      <c r="N222" s="94">
        <v>3.7099999999982473E-2</v>
      </c>
      <c r="O222" s="87">
        <v>247815.98634</v>
      </c>
      <c r="P222" s="89">
        <v>101.29</v>
      </c>
      <c r="Q222" s="80"/>
      <c r="R222" s="87">
        <v>251.012812564</v>
      </c>
      <c r="S222" s="88">
        <v>5.8879038784480505E-4</v>
      </c>
      <c r="T222" s="88">
        <f t="shared" si="3"/>
        <v>2.7304786402912117E-3</v>
      </c>
      <c r="U222" s="88">
        <f>R222/'סכום נכסי הקרן'!$C$42</f>
        <v>6.905470279411104E-5</v>
      </c>
    </row>
    <row r="223" spans="2:21">
      <c r="B223" s="86" t="s">
        <v>793</v>
      </c>
      <c r="C223" s="80" t="s">
        <v>794</v>
      </c>
      <c r="D223" s="93" t="s">
        <v>122</v>
      </c>
      <c r="E223" s="93" t="s">
        <v>290</v>
      </c>
      <c r="F223" s="80" t="s">
        <v>795</v>
      </c>
      <c r="G223" s="93" t="s">
        <v>193</v>
      </c>
      <c r="H223" s="80" t="s">
        <v>577</v>
      </c>
      <c r="I223" s="80" t="s">
        <v>294</v>
      </c>
      <c r="J223" s="80"/>
      <c r="K223" s="87">
        <v>1.4799999999947939</v>
      </c>
      <c r="L223" s="93" t="s">
        <v>166</v>
      </c>
      <c r="M223" s="94">
        <v>1.3300000000000001E-2</v>
      </c>
      <c r="N223" s="94">
        <v>1.3399999999955375E-2</v>
      </c>
      <c r="O223" s="87">
        <v>107542.86910700001</v>
      </c>
      <c r="P223" s="89">
        <v>100.02</v>
      </c>
      <c r="Q223" s="80"/>
      <c r="R223" s="87">
        <v>107.56437767200001</v>
      </c>
      <c r="S223" s="88">
        <v>4.9228437433396449E-4</v>
      </c>
      <c r="T223" s="88">
        <f t="shared" ref="T223:T241" si="4">R223/$R$11</f>
        <v>1.1700687016314301E-3</v>
      </c>
      <c r="U223" s="88">
        <f>R223/'סכום נכסי הקרן'!$C$42</f>
        <v>2.9591422268453418E-5</v>
      </c>
    </row>
    <row r="224" spans="2:21">
      <c r="B224" s="86" t="s">
        <v>796</v>
      </c>
      <c r="C224" s="80" t="s">
        <v>797</v>
      </c>
      <c r="D224" s="93" t="s">
        <v>122</v>
      </c>
      <c r="E224" s="93" t="s">
        <v>290</v>
      </c>
      <c r="F224" s="80" t="s">
        <v>795</v>
      </c>
      <c r="G224" s="93" t="s">
        <v>193</v>
      </c>
      <c r="H224" s="80" t="s">
        <v>577</v>
      </c>
      <c r="I224" s="80" t="s">
        <v>294</v>
      </c>
      <c r="J224" s="80"/>
      <c r="K224" s="87">
        <v>2.4299999999992257</v>
      </c>
      <c r="L224" s="93" t="s">
        <v>166</v>
      </c>
      <c r="M224" s="94">
        <v>2.1600000000000001E-2</v>
      </c>
      <c r="N224" s="94">
        <v>1.3900000000006265E-2</v>
      </c>
      <c r="O224" s="87">
        <v>532397.66862899996</v>
      </c>
      <c r="P224" s="89">
        <v>101.91</v>
      </c>
      <c r="Q224" s="80"/>
      <c r="R224" s="87">
        <v>542.56646409400003</v>
      </c>
      <c r="S224" s="88">
        <v>5.2155812609438047E-4</v>
      </c>
      <c r="T224" s="88">
        <f t="shared" si="4"/>
        <v>5.9019542708373535E-3</v>
      </c>
      <c r="U224" s="88">
        <f>R224/'סכום נכסי הקרן'!$C$42</f>
        <v>1.4926236450384418E-4</v>
      </c>
    </row>
    <row r="225" spans="2:21">
      <c r="B225" s="86" t="s">
        <v>798</v>
      </c>
      <c r="C225" s="80" t="s">
        <v>799</v>
      </c>
      <c r="D225" s="93" t="s">
        <v>122</v>
      </c>
      <c r="E225" s="93" t="s">
        <v>290</v>
      </c>
      <c r="F225" s="80" t="s">
        <v>800</v>
      </c>
      <c r="G225" s="93" t="s">
        <v>801</v>
      </c>
      <c r="H225" s="80" t="s">
        <v>573</v>
      </c>
      <c r="I225" s="80" t="s">
        <v>162</v>
      </c>
      <c r="J225" s="80"/>
      <c r="K225" s="87">
        <v>5.9700000000117015</v>
      </c>
      <c r="L225" s="93" t="s">
        <v>166</v>
      </c>
      <c r="M225" s="94">
        <v>2.1600000000000001E-2</v>
      </c>
      <c r="N225" s="94">
        <v>2.2200000000057795E-2</v>
      </c>
      <c r="O225" s="87">
        <v>211526.5</v>
      </c>
      <c r="P225" s="89">
        <v>99.8</v>
      </c>
      <c r="Q225" s="80"/>
      <c r="R225" s="87">
        <v>211.10345744899999</v>
      </c>
      <c r="S225" s="88">
        <v>9.2361180852410917E-4</v>
      </c>
      <c r="T225" s="88">
        <f t="shared" si="4"/>
        <v>2.2963508339206898E-3</v>
      </c>
      <c r="U225" s="88">
        <f>R225/'סכום נכסי הקרן'!$C$42</f>
        <v>5.8075467798015807E-5</v>
      </c>
    </row>
    <row r="226" spans="2:21">
      <c r="B226" s="86" t="s">
        <v>802</v>
      </c>
      <c r="C226" s="80" t="s">
        <v>803</v>
      </c>
      <c r="D226" s="93" t="s">
        <v>122</v>
      </c>
      <c r="E226" s="93" t="s">
        <v>290</v>
      </c>
      <c r="F226" s="80" t="s">
        <v>751</v>
      </c>
      <c r="G226" s="93" t="s">
        <v>153</v>
      </c>
      <c r="H226" s="80" t="s">
        <v>573</v>
      </c>
      <c r="I226" s="80" t="s">
        <v>162</v>
      </c>
      <c r="J226" s="80"/>
      <c r="K226" s="87">
        <v>2.229999999999047</v>
      </c>
      <c r="L226" s="93" t="s">
        <v>166</v>
      </c>
      <c r="M226" s="94">
        <v>2.4E-2</v>
      </c>
      <c r="N226" s="94">
        <v>1.509999999996506E-2</v>
      </c>
      <c r="O226" s="87">
        <v>92394.568285000001</v>
      </c>
      <c r="P226" s="89">
        <v>102.22</v>
      </c>
      <c r="Q226" s="80"/>
      <c r="R226" s="87">
        <v>94.445727683000001</v>
      </c>
      <c r="S226" s="88">
        <v>2.9178578082449797E-4</v>
      </c>
      <c r="T226" s="88">
        <f t="shared" si="4"/>
        <v>1.0273660514418582E-3</v>
      </c>
      <c r="U226" s="88">
        <f>R226/'סכום נכסי הקרן'!$C$42</f>
        <v>2.5982425314087242E-5</v>
      </c>
    </row>
    <row r="227" spans="2:21">
      <c r="B227" s="86" t="s">
        <v>804</v>
      </c>
      <c r="C227" s="80" t="s">
        <v>805</v>
      </c>
      <c r="D227" s="93" t="s">
        <v>122</v>
      </c>
      <c r="E227" s="93" t="s">
        <v>290</v>
      </c>
      <c r="F227" s="80" t="s">
        <v>806</v>
      </c>
      <c r="G227" s="93" t="s">
        <v>360</v>
      </c>
      <c r="H227" s="80" t="s">
        <v>577</v>
      </c>
      <c r="I227" s="80" t="s">
        <v>294</v>
      </c>
      <c r="J227" s="80"/>
      <c r="K227" s="87">
        <v>0.71000000000004315</v>
      </c>
      <c r="L227" s="93" t="s">
        <v>166</v>
      </c>
      <c r="M227" s="94">
        <v>5.0999999999999997E-2</v>
      </c>
      <c r="N227" s="94">
        <v>1.9899999999986633E-2</v>
      </c>
      <c r="O227" s="87">
        <v>448109.210036</v>
      </c>
      <c r="P227" s="89">
        <v>103.5</v>
      </c>
      <c r="Q227" s="80"/>
      <c r="R227" s="87">
        <v>463.79301743799999</v>
      </c>
      <c r="S227" s="88">
        <v>6.2241712623932216E-4</v>
      </c>
      <c r="T227" s="88">
        <f t="shared" si="4"/>
        <v>5.045068873955524E-3</v>
      </c>
      <c r="U227" s="88">
        <f>R227/'סכום נכסי הקרן'!$C$42</f>
        <v>1.2759145101009213E-4</v>
      </c>
    </row>
    <row r="228" spans="2:21">
      <c r="B228" s="86" t="s">
        <v>807</v>
      </c>
      <c r="C228" s="80" t="s">
        <v>808</v>
      </c>
      <c r="D228" s="93" t="s">
        <v>122</v>
      </c>
      <c r="E228" s="93" t="s">
        <v>290</v>
      </c>
      <c r="F228" s="80" t="s">
        <v>809</v>
      </c>
      <c r="G228" s="93" t="s">
        <v>810</v>
      </c>
      <c r="H228" s="80" t="s">
        <v>577</v>
      </c>
      <c r="I228" s="80" t="s">
        <v>294</v>
      </c>
      <c r="J228" s="80"/>
      <c r="K228" s="87">
        <v>5.1800000000187625</v>
      </c>
      <c r="L228" s="93" t="s">
        <v>166</v>
      </c>
      <c r="M228" s="94">
        <v>2.6200000000000001E-2</v>
      </c>
      <c r="N228" s="94">
        <v>1.5600000000034113E-2</v>
      </c>
      <c r="O228" s="87">
        <v>109752.58136599998</v>
      </c>
      <c r="P228" s="89">
        <v>105.52</v>
      </c>
      <c r="Q228" s="87">
        <v>1.43775882</v>
      </c>
      <c r="R228" s="87">
        <v>117.24868146000003</v>
      </c>
      <c r="S228" s="88">
        <v>2.276595328939503E-4</v>
      </c>
      <c r="T228" s="88">
        <f t="shared" si="4"/>
        <v>1.2754130638140708E-3</v>
      </c>
      <c r="U228" s="88">
        <f>R228/'סכום נכסי הקרן'!$C$42</f>
        <v>3.2255615832985974E-5</v>
      </c>
    </row>
    <row r="229" spans="2:21">
      <c r="B229" s="86" t="s">
        <v>811</v>
      </c>
      <c r="C229" s="80" t="s">
        <v>812</v>
      </c>
      <c r="D229" s="93" t="s">
        <v>122</v>
      </c>
      <c r="E229" s="93" t="s">
        <v>290</v>
      </c>
      <c r="F229" s="80" t="s">
        <v>809</v>
      </c>
      <c r="G229" s="93" t="s">
        <v>810</v>
      </c>
      <c r="H229" s="80" t="s">
        <v>577</v>
      </c>
      <c r="I229" s="80" t="s">
        <v>294</v>
      </c>
      <c r="J229" s="80"/>
      <c r="K229" s="87">
        <v>3.0999999999966703</v>
      </c>
      <c r="L229" s="93" t="s">
        <v>166</v>
      </c>
      <c r="M229" s="94">
        <v>3.3500000000000002E-2</v>
      </c>
      <c r="N229" s="94">
        <v>1.299999999998335E-2</v>
      </c>
      <c r="O229" s="87">
        <v>111938.743196</v>
      </c>
      <c r="P229" s="89">
        <v>107.3</v>
      </c>
      <c r="Q229" s="80"/>
      <c r="R229" s="87">
        <v>120.11027143399998</v>
      </c>
      <c r="S229" s="88">
        <v>2.7149617853075114E-4</v>
      </c>
      <c r="T229" s="88">
        <f t="shared" si="4"/>
        <v>1.3065409979679744E-3</v>
      </c>
      <c r="U229" s="88">
        <f>R229/'סכום נכסי הקרן'!$C$42</f>
        <v>3.3042851524880352E-5</v>
      </c>
    </row>
    <row r="230" spans="2:21">
      <c r="B230" s="86" t="s">
        <v>813</v>
      </c>
      <c r="C230" s="80" t="s">
        <v>814</v>
      </c>
      <c r="D230" s="93" t="s">
        <v>122</v>
      </c>
      <c r="E230" s="93" t="s">
        <v>290</v>
      </c>
      <c r="F230" s="80" t="s">
        <v>572</v>
      </c>
      <c r="G230" s="93" t="s">
        <v>298</v>
      </c>
      <c r="H230" s="80" t="s">
        <v>602</v>
      </c>
      <c r="I230" s="80" t="s">
        <v>162</v>
      </c>
      <c r="J230" s="80"/>
      <c r="K230" s="87">
        <v>0.69000000005105155</v>
      </c>
      <c r="L230" s="93" t="s">
        <v>166</v>
      </c>
      <c r="M230" s="94">
        <v>2.63E-2</v>
      </c>
      <c r="N230" s="94">
        <v>7.9000000001914431E-3</v>
      </c>
      <c r="O230" s="87">
        <v>12359.606302</v>
      </c>
      <c r="P230" s="89">
        <v>101.43</v>
      </c>
      <c r="Q230" s="80"/>
      <c r="R230" s="87">
        <v>12.536348144</v>
      </c>
      <c r="S230" s="88">
        <v>1.2804166979529257E-4</v>
      </c>
      <c r="T230" s="88">
        <f t="shared" si="4"/>
        <v>1.3636846057696276E-4</v>
      </c>
      <c r="U230" s="88">
        <f>R230/'סכום נכסי הקרן'!$C$42</f>
        <v>3.4488032159183191E-6</v>
      </c>
    </row>
    <row r="231" spans="2:21">
      <c r="B231" s="86" t="s">
        <v>815</v>
      </c>
      <c r="C231" s="80" t="s">
        <v>816</v>
      </c>
      <c r="D231" s="93" t="s">
        <v>122</v>
      </c>
      <c r="E231" s="93" t="s">
        <v>290</v>
      </c>
      <c r="F231" s="80" t="s">
        <v>817</v>
      </c>
      <c r="G231" s="93" t="s">
        <v>420</v>
      </c>
      <c r="H231" s="80" t="s">
        <v>602</v>
      </c>
      <c r="I231" s="80" t="s">
        <v>162</v>
      </c>
      <c r="J231" s="80"/>
      <c r="K231" s="87">
        <v>5.4000000000100394</v>
      </c>
      <c r="L231" s="93" t="s">
        <v>166</v>
      </c>
      <c r="M231" s="94">
        <v>3.27E-2</v>
      </c>
      <c r="N231" s="94">
        <v>1.6400000000026772E-2</v>
      </c>
      <c r="O231" s="87">
        <v>109100.567048</v>
      </c>
      <c r="P231" s="89">
        <v>109.55</v>
      </c>
      <c r="Q231" s="80"/>
      <c r="R231" s="87">
        <v>119.51967121200002</v>
      </c>
      <c r="S231" s="88">
        <v>4.8924021097757845E-4</v>
      </c>
      <c r="T231" s="88">
        <f t="shared" si="4"/>
        <v>1.3001165398909152E-3</v>
      </c>
      <c r="U231" s="88">
        <f>R231/'סכום נכסי הקרן'!$C$42</f>
        <v>3.2880374867279677E-5</v>
      </c>
    </row>
    <row r="232" spans="2:21">
      <c r="B232" s="86" t="s">
        <v>818</v>
      </c>
      <c r="C232" s="80" t="s">
        <v>819</v>
      </c>
      <c r="D232" s="93" t="s">
        <v>122</v>
      </c>
      <c r="E232" s="93" t="s">
        <v>290</v>
      </c>
      <c r="F232" s="80" t="s">
        <v>616</v>
      </c>
      <c r="G232" s="93" t="s">
        <v>424</v>
      </c>
      <c r="H232" s="80" t="s">
        <v>610</v>
      </c>
      <c r="I232" s="80" t="s">
        <v>294</v>
      </c>
      <c r="J232" s="80"/>
      <c r="K232" s="87">
        <v>1.4599999999932269</v>
      </c>
      <c r="L232" s="93" t="s">
        <v>166</v>
      </c>
      <c r="M232" s="94">
        <v>0.06</v>
      </c>
      <c r="N232" s="94">
        <v>1.3999999999956769E-2</v>
      </c>
      <c r="O232" s="87">
        <v>129945.306553</v>
      </c>
      <c r="P232" s="89">
        <v>106.8</v>
      </c>
      <c r="Q232" s="80"/>
      <c r="R232" s="87">
        <v>138.78158308899998</v>
      </c>
      <c r="S232" s="88">
        <v>4.7503477458008995E-4</v>
      </c>
      <c r="T232" s="88">
        <f t="shared" si="4"/>
        <v>1.5096446449071091E-3</v>
      </c>
      <c r="U232" s="88">
        <f>R232/'סכום נכסי הקרן'!$C$42</f>
        <v>3.8179409551309805E-5</v>
      </c>
    </row>
    <row r="233" spans="2:21">
      <c r="B233" s="86" t="s">
        <v>820</v>
      </c>
      <c r="C233" s="80" t="s">
        <v>821</v>
      </c>
      <c r="D233" s="93" t="s">
        <v>122</v>
      </c>
      <c r="E233" s="93" t="s">
        <v>290</v>
      </c>
      <c r="F233" s="80" t="s">
        <v>616</v>
      </c>
      <c r="G233" s="93" t="s">
        <v>424</v>
      </c>
      <c r="H233" s="80" t="s">
        <v>610</v>
      </c>
      <c r="I233" s="80" t="s">
        <v>294</v>
      </c>
      <c r="J233" s="80"/>
      <c r="K233" s="87">
        <v>2.8000000000599958</v>
      </c>
      <c r="L233" s="93" t="s">
        <v>166</v>
      </c>
      <c r="M233" s="94">
        <v>5.9000000000000004E-2</v>
      </c>
      <c r="N233" s="94">
        <v>1.7000000000899941E-2</v>
      </c>
      <c r="O233" s="87">
        <v>2973.4677769999998</v>
      </c>
      <c r="P233" s="89">
        <v>112.11</v>
      </c>
      <c r="Q233" s="80"/>
      <c r="R233" s="87">
        <v>3.3335547110000001</v>
      </c>
      <c r="S233" s="88">
        <v>3.5193901168749629E-6</v>
      </c>
      <c r="T233" s="88">
        <f t="shared" si="4"/>
        <v>3.6261893732244777E-5</v>
      </c>
      <c r="U233" s="88">
        <f>R233/'סכום נכסי הקרן'!$C$42</f>
        <v>9.1707521805214978E-7</v>
      </c>
    </row>
    <row r="234" spans="2:21">
      <c r="B234" s="86" t="s">
        <v>822</v>
      </c>
      <c r="C234" s="80" t="s">
        <v>823</v>
      </c>
      <c r="D234" s="93" t="s">
        <v>122</v>
      </c>
      <c r="E234" s="93" t="s">
        <v>290</v>
      </c>
      <c r="F234" s="80" t="s">
        <v>627</v>
      </c>
      <c r="G234" s="93" t="s">
        <v>193</v>
      </c>
      <c r="H234" s="80" t="s">
        <v>610</v>
      </c>
      <c r="I234" s="80" t="s">
        <v>294</v>
      </c>
      <c r="J234" s="80"/>
      <c r="K234" s="87">
        <v>2.949999999998528</v>
      </c>
      <c r="L234" s="93" t="s">
        <v>166</v>
      </c>
      <c r="M234" s="94">
        <v>4.1399999999999999E-2</v>
      </c>
      <c r="N234" s="94">
        <v>3.0499999999941126E-2</v>
      </c>
      <c r="O234" s="87">
        <v>129075.908947</v>
      </c>
      <c r="P234" s="89">
        <v>103.21</v>
      </c>
      <c r="Q234" s="87">
        <v>2.6718713480000003</v>
      </c>
      <c r="R234" s="87">
        <v>135.89111695600002</v>
      </c>
      <c r="S234" s="88">
        <v>2.0067524314096771E-4</v>
      </c>
      <c r="T234" s="88">
        <f t="shared" si="4"/>
        <v>1.4782026003515977E-3</v>
      </c>
      <c r="U234" s="88">
        <f>R234/'סכום נכסי הקרן'!$C$42</f>
        <v>3.7384229904056282E-5</v>
      </c>
    </row>
    <row r="235" spans="2:21">
      <c r="B235" s="86" t="s">
        <v>824</v>
      </c>
      <c r="C235" s="80" t="s">
        <v>825</v>
      </c>
      <c r="D235" s="93" t="s">
        <v>122</v>
      </c>
      <c r="E235" s="93" t="s">
        <v>290</v>
      </c>
      <c r="F235" s="80" t="s">
        <v>627</v>
      </c>
      <c r="G235" s="93" t="s">
        <v>193</v>
      </c>
      <c r="H235" s="80" t="s">
        <v>610</v>
      </c>
      <c r="I235" s="80" t="s">
        <v>294</v>
      </c>
      <c r="J235" s="80"/>
      <c r="K235" s="87">
        <v>5.2899999999970175</v>
      </c>
      <c r="L235" s="93" t="s">
        <v>166</v>
      </c>
      <c r="M235" s="94">
        <v>2.5000000000000001E-2</v>
      </c>
      <c r="N235" s="94">
        <v>4.7099999999953353E-2</v>
      </c>
      <c r="O235" s="87">
        <v>427785.29201099998</v>
      </c>
      <c r="P235" s="89">
        <v>89.22</v>
      </c>
      <c r="Q235" s="87">
        <v>10.694632363999997</v>
      </c>
      <c r="R235" s="87">
        <v>392.36466037300011</v>
      </c>
      <c r="S235" s="88">
        <v>7.0249251058365249E-4</v>
      </c>
      <c r="T235" s="88">
        <f t="shared" si="4"/>
        <v>4.2680822281947672E-3</v>
      </c>
      <c r="U235" s="88">
        <f>R235/'סכום נכסי הקרן'!$C$42</f>
        <v>1.0794120320874696E-4</v>
      </c>
    </row>
    <row r="236" spans="2:21">
      <c r="B236" s="86" t="s">
        <v>826</v>
      </c>
      <c r="C236" s="80" t="s">
        <v>827</v>
      </c>
      <c r="D236" s="93" t="s">
        <v>122</v>
      </c>
      <c r="E236" s="93" t="s">
        <v>290</v>
      </c>
      <c r="F236" s="80" t="s">
        <v>627</v>
      </c>
      <c r="G236" s="93" t="s">
        <v>193</v>
      </c>
      <c r="H236" s="80" t="s">
        <v>610</v>
      </c>
      <c r="I236" s="80" t="s">
        <v>294</v>
      </c>
      <c r="J236" s="80"/>
      <c r="K236" s="87">
        <v>3.8799999999922794</v>
      </c>
      <c r="L236" s="93" t="s">
        <v>166</v>
      </c>
      <c r="M236" s="94">
        <v>3.5499999999999997E-2</v>
      </c>
      <c r="N236" s="94">
        <v>4.409999999992701E-2</v>
      </c>
      <c r="O236" s="87">
        <v>167973.95514499999</v>
      </c>
      <c r="P236" s="89">
        <v>96.92</v>
      </c>
      <c r="Q236" s="87">
        <v>2.9815377249999999</v>
      </c>
      <c r="R236" s="87">
        <v>165.78188758099998</v>
      </c>
      <c r="S236" s="88">
        <v>2.3637196523808315E-4</v>
      </c>
      <c r="T236" s="88">
        <f t="shared" si="4"/>
        <v>1.8033497906473001E-3</v>
      </c>
      <c r="U236" s="88">
        <f>R236/'סכום נכסי הקרן'!$C$42</f>
        <v>4.5607309278819432E-5</v>
      </c>
    </row>
    <row r="237" spans="2:21">
      <c r="B237" s="86" t="s">
        <v>828</v>
      </c>
      <c r="C237" s="80" t="s">
        <v>829</v>
      </c>
      <c r="D237" s="93" t="s">
        <v>122</v>
      </c>
      <c r="E237" s="93" t="s">
        <v>290</v>
      </c>
      <c r="F237" s="80" t="s">
        <v>830</v>
      </c>
      <c r="G237" s="93" t="s">
        <v>424</v>
      </c>
      <c r="H237" s="80" t="s">
        <v>633</v>
      </c>
      <c r="I237" s="80" t="s">
        <v>162</v>
      </c>
      <c r="J237" s="80"/>
      <c r="K237" s="87">
        <v>5.4600000000107514</v>
      </c>
      <c r="L237" s="93" t="s">
        <v>166</v>
      </c>
      <c r="M237" s="94">
        <v>4.4500000000000005E-2</v>
      </c>
      <c r="N237" s="94">
        <v>2.0500000000039469E-2</v>
      </c>
      <c r="O237" s="87">
        <v>234484.24400499999</v>
      </c>
      <c r="P237" s="89">
        <v>113.46</v>
      </c>
      <c r="Q237" s="80"/>
      <c r="R237" s="87">
        <v>266.04582585899999</v>
      </c>
      <c r="S237" s="88">
        <v>8.195540348010569E-4</v>
      </c>
      <c r="T237" s="88">
        <f t="shared" si="4"/>
        <v>2.8940054391104774E-3</v>
      </c>
      <c r="U237" s="88">
        <f>R237/'סכום נכסי הקרן'!$C$42</f>
        <v>7.3190349315825786E-5</v>
      </c>
    </row>
    <row r="238" spans="2:21">
      <c r="B238" s="86" t="s">
        <v>831</v>
      </c>
      <c r="C238" s="80" t="s">
        <v>832</v>
      </c>
      <c r="D238" s="93" t="s">
        <v>122</v>
      </c>
      <c r="E238" s="93" t="s">
        <v>290</v>
      </c>
      <c r="F238" s="80" t="s">
        <v>833</v>
      </c>
      <c r="G238" s="93" t="s">
        <v>360</v>
      </c>
      <c r="H238" s="80" t="s">
        <v>633</v>
      </c>
      <c r="I238" s="80" t="s">
        <v>162</v>
      </c>
      <c r="J238" s="80"/>
      <c r="K238" s="87">
        <v>3.5600000000002097</v>
      </c>
      <c r="L238" s="93" t="s">
        <v>166</v>
      </c>
      <c r="M238" s="94">
        <v>4.2000000000000003E-2</v>
      </c>
      <c r="N238" s="94">
        <v>7.120000000000419E-2</v>
      </c>
      <c r="O238" s="87">
        <v>206898.29358</v>
      </c>
      <c r="P238" s="89">
        <v>92</v>
      </c>
      <c r="Q238" s="80"/>
      <c r="R238" s="87">
        <v>190.34643011599999</v>
      </c>
      <c r="S238" s="88">
        <v>3.4784741339732162E-4</v>
      </c>
      <c r="T238" s="88">
        <f t="shared" si="4"/>
        <v>2.0705590936913073E-3</v>
      </c>
      <c r="U238" s="88">
        <f>R238/'סכום נכסי הקרן'!$C$42</f>
        <v>5.2365120430770991E-5</v>
      </c>
    </row>
    <row r="239" spans="2:21">
      <c r="B239" s="86" t="s">
        <v>834</v>
      </c>
      <c r="C239" s="80" t="s">
        <v>835</v>
      </c>
      <c r="D239" s="93" t="s">
        <v>122</v>
      </c>
      <c r="E239" s="93" t="s">
        <v>290</v>
      </c>
      <c r="F239" s="80" t="s">
        <v>833</v>
      </c>
      <c r="G239" s="93" t="s">
        <v>360</v>
      </c>
      <c r="H239" s="80" t="s">
        <v>633</v>
      </c>
      <c r="I239" s="80" t="s">
        <v>162</v>
      </c>
      <c r="J239" s="80"/>
      <c r="K239" s="87">
        <v>4.0699999999979566</v>
      </c>
      <c r="L239" s="93" t="s">
        <v>166</v>
      </c>
      <c r="M239" s="94">
        <v>3.2500000000000001E-2</v>
      </c>
      <c r="N239" s="94">
        <v>4.9599999999946326E-2</v>
      </c>
      <c r="O239" s="87">
        <v>345583.13696999999</v>
      </c>
      <c r="P239" s="89">
        <v>94.88</v>
      </c>
      <c r="Q239" s="80"/>
      <c r="R239" s="87">
        <v>327.88926888100002</v>
      </c>
      <c r="S239" s="88">
        <v>4.2132005058281792E-4</v>
      </c>
      <c r="T239" s="88">
        <f t="shared" si="4"/>
        <v>3.5667288689974815E-3</v>
      </c>
      <c r="U239" s="88">
        <f>R239/'סכום נכסי הקרן'!$C$42</f>
        <v>9.0203746098350165E-5</v>
      </c>
    </row>
    <row r="240" spans="2:21">
      <c r="B240" s="86" t="s">
        <v>836</v>
      </c>
      <c r="C240" s="80" t="s">
        <v>837</v>
      </c>
      <c r="D240" s="93" t="s">
        <v>122</v>
      </c>
      <c r="E240" s="93" t="s">
        <v>290</v>
      </c>
      <c r="F240" s="80" t="s">
        <v>838</v>
      </c>
      <c r="G240" s="93" t="s">
        <v>360</v>
      </c>
      <c r="H240" s="80" t="s">
        <v>633</v>
      </c>
      <c r="I240" s="80" t="s">
        <v>162</v>
      </c>
      <c r="J240" s="80"/>
      <c r="K240" s="87">
        <v>3.1199999999927446</v>
      </c>
      <c r="L240" s="93" t="s">
        <v>166</v>
      </c>
      <c r="M240" s="94">
        <v>4.5999999999999999E-2</v>
      </c>
      <c r="N240" s="94">
        <v>5.7199999999823795E-2</v>
      </c>
      <c r="O240" s="87">
        <v>118149.498959</v>
      </c>
      <c r="P240" s="89">
        <v>97.99</v>
      </c>
      <c r="Q240" s="80"/>
      <c r="R240" s="87">
        <v>115.774694032</v>
      </c>
      <c r="S240" s="88">
        <v>4.9446430718849438E-4</v>
      </c>
      <c r="T240" s="88">
        <f t="shared" si="4"/>
        <v>1.2593792560291167E-3</v>
      </c>
      <c r="U240" s="88">
        <f>R240/'סכום נכסי הקרן'!$C$42</f>
        <v>3.1850115561015409E-5</v>
      </c>
    </row>
    <row r="241" spans="2:21">
      <c r="B241" s="86" t="s">
        <v>839</v>
      </c>
      <c r="C241" s="80" t="s">
        <v>840</v>
      </c>
      <c r="D241" s="93" t="s">
        <v>122</v>
      </c>
      <c r="E241" s="93" t="s">
        <v>290</v>
      </c>
      <c r="F241" s="80" t="s">
        <v>841</v>
      </c>
      <c r="G241" s="93" t="s">
        <v>424</v>
      </c>
      <c r="H241" s="80" t="s">
        <v>842</v>
      </c>
      <c r="I241" s="80" t="s">
        <v>294</v>
      </c>
      <c r="J241" s="80"/>
      <c r="K241" s="87">
        <v>0.91000000001069548</v>
      </c>
      <c r="L241" s="93" t="s">
        <v>166</v>
      </c>
      <c r="M241" s="94">
        <v>4.7E-2</v>
      </c>
      <c r="N241" s="94">
        <v>1.1900000000071303E-2</v>
      </c>
      <c r="O241" s="87">
        <v>10831.849011999999</v>
      </c>
      <c r="P241" s="89">
        <v>103.58</v>
      </c>
      <c r="Q241" s="80"/>
      <c r="R241" s="87">
        <v>11.219628867999999</v>
      </c>
      <c r="S241" s="88">
        <v>4.9171307615485181E-4</v>
      </c>
      <c r="T241" s="88">
        <f t="shared" si="4"/>
        <v>1.2204539148079448E-4</v>
      </c>
      <c r="U241" s="88">
        <f>R241/'סכום נכסי הקרן'!$C$42</f>
        <v>3.0865680880031892E-6</v>
      </c>
    </row>
    <row r="242" spans="2:21">
      <c r="B242" s="83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7"/>
      <c r="P242" s="89"/>
      <c r="Q242" s="80"/>
      <c r="R242" s="80"/>
      <c r="S242" s="80"/>
      <c r="T242" s="88"/>
      <c r="U242" s="80"/>
    </row>
    <row r="243" spans="2:21">
      <c r="B243" s="99" t="s">
        <v>46</v>
      </c>
      <c r="C243" s="82"/>
      <c r="D243" s="82"/>
      <c r="E243" s="82"/>
      <c r="F243" s="82"/>
      <c r="G243" s="82"/>
      <c r="H243" s="82"/>
      <c r="I243" s="82"/>
      <c r="J243" s="82"/>
      <c r="K243" s="90">
        <v>3.9922233318583777</v>
      </c>
      <c r="L243" s="82"/>
      <c r="M243" s="82"/>
      <c r="N243" s="104">
        <v>5.7877019273475654E-2</v>
      </c>
      <c r="O243" s="90"/>
      <c r="P243" s="92"/>
      <c r="Q243" s="82"/>
      <c r="R243" s="90">
        <f>SUM(R244:R247)</f>
        <v>3062.4573718830002</v>
      </c>
      <c r="S243" s="82"/>
      <c r="T243" s="91">
        <f t="shared" ref="T243:T247" si="5">R243/$R$11</f>
        <v>3.3312938711432767E-2</v>
      </c>
      <c r="U243" s="91">
        <f>R243/'סכום נכסי הקרן'!$C$42</f>
        <v>8.4249517574364952E-4</v>
      </c>
    </row>
    <row r="244" spans="2:21">
      <c r="B244" s="86" t="s">
        <v>843</v>
      </c>
      <c r="C244" s="80" t="s">
        <v>844</v>
      </c>
      <c r="D244" s="93" t="s">
        <v>122</v>
      </c>
      <c r="E244" s="93" t="s">
        <v>290</v>
      </c>
      <c r="F244" s="80" t="s">
        <v>845</v>
      </c>
      <c r="G244" s="93" t="s">
        <v>148</v>
      </c>
      <c r="H244" s="80" t="s">
        <v>390</v>
      </c>
      <c r="I244" s="80" t="s">
        <v>294</v>
      </c>
      <c r="J244" s="80"/>
      <c r="K244" s="87">
        <v>2.8200000000002285</v>
      </c>
      <c r="L244" s="93" t="s">
        <v>166</v>
      </c>
      <c r="M244" s="94">
        <v>3.49E-2</v>
      </c>
      <c r="N244" s="94">
        <v>3.8700000000004182E-2</v>
      </c>
      <c r="O244" s="87">
        <v>1377722.9877340002</v>
      </c>
      <c r="P244" s="89">
        <v>95.52</v>
      </c>
      <c r="Q244" s="80"/>
      <c r="R244" s="87">
        <v>1316.001025735</v>
      </c>
      <c r="S244" s="88">
        <v>6.8374143018041437E-4</v>
      </c>
      <c r="T244" s="88">
        <f t="shared" si="5"/>
        <v>1.4315256080621648E-2</v>
      </c>
      <c r="U244" s="88">
        <f>R244/'סכום נכסי הקרן'!$C$42</f>
        <v>3.6203753418246443E-4</v>
      </c>
    </row>
    <row r="245" spans="2:21">
      <c r="B245" s="86" t="s">
        <v>846</v>
      </c>
      <c r="C245" s="80" t="s">
        <v>847</v>
      </c>
      <c r="D245" s="93" t="s">
        <v>122</v>
      </c>
      <c r="E245" s="93" t="s">
        <v>290</v>
      </c>
      <c r="F245" s="80" t="s">
        <v>848</v>
      </c>
      <c r="G245" s="93" t="s">
        <v>148</v>
      </c>
      <c r="H245" s="80" t="s">
        <v>573</v>
      </c>
      <c r="I245" s="80" t="s">
        <v>162</v>
      </c>
      <c r="J245" s="80"/>
      <c r="K245" s="87">
        <v>4.8399999999986383</v>
      </c>
      <c r="L245" s="93" t="s">
        <v>166</v>
      </c>
      <c r="M245" s="94">
        <v>4.6900000000000004E-2</v>
      </c>
      <c r="N245" s="94">
        <v>7.3599999999963459E-2</v>
      </c>
      <c r="O245" s="87">
        <v>633214.11205300002</v>
      </c>
      <c r="P245" s="89">
        <v>88.16</v>
      </c>
      <c r="Q245" s="80"/>
      <c r="R245" s="87">
        <v>558.24155338900005</v>
      </c>
      <c r="S245" s="88">
        <v>3.0691425171906213E-4</v>
      </c>
      <c r="T245" s="88">
        <f t="shared" si="5"/>
        <v>6.0724654733033323E-3</v>
      </c>
      <c r="U245" s="88">
        <f>R245/'סכום נכסי הקרן'!$C$42</f>
        <v>1.5357464889076723E-4</v>
      </c>
    </row>
    <row r="246" spans="2:21">
      <c r="B246" s="86" t="s">
        <v>849</v>
      </c>
      <c r="C246" s="80" t="s">
        <v>850</v>
      </c>
      <c r="D246" s="93" t="s">
        <v>122</v>
      </c>
      <c r="E246" s="93" t="s">
        <v>290</v>
      </c>
      <c r="F246" s="80" t="s">
        <v>848</v>
      </c>
      <c r="G246" s="93" t="s">
        <v>148</v>
      </c>
      <c r="H246" s="80" t="s">
        <v>573</v>
      </c>
      <c r="I246" s="80" t="s">
        <v>162</v>
      </c>
      <c r="J246" s="80"/>
      <c r="K246" s="87">
        <v>5.0400000000004983</v>
      </c>
      <c r="L246" s="93" t="s">
        <v>166</v>
      </c>
      <c r="M246" s="94">
        <v>4.6900000000000004E-2</v>
      </c>
      <c r="N246" s="94">
        <v>7.3700000000010493E-2</v>
      </c>
      <c r="O246" s="87">
        <v>1258321.0452759999</v>
      </c>
      <c r="P246" s="89">
        <v>89.26</v>
      </c>
      <c r="Q246" s="80"/>
      <c r="R246" s="87">
        <v>1123.1774617860001</v>
      </c>
      <c r="S246" s="88">
        <v>7.3999299795674369E-4</v>
      </c>
      <c r="T246" s="88">
        <f t="shared" si="5"/>
        <v>1.2217751107351286E-2</v>
      </c>
      <c r="U246" s="88">
        <f>R246/'סכום נכסי הקרן'!$C$42</f>
        <v>3.0899094359536258E-4</v>
      </c>
    </row>
    <row r="247" spans="2:21">
      <c r="B247" s="86" t="s">
        <v>851</v>
      </c>
      <c r="C247" s="80" t="s">
        <v>852</v>
      </c>
      <c r="D247" s="93" t="s">
        <v>122</v>
      </c>
      <c r="E247" s="93" t="s">
        <v>290</v>
      </c>
      <c r="F247" s="80" t="s">
        <v>616</v>
      </c>
      <c r="G247" s="93" t="s">
        <v>424</v>
      </c>
      <c r="H247" s="80" t="s">
        <v>610</v>
      </c>
      <c r="I247" s="80" t="s">
        <v>294</v>
      </c>
      <c r="J247" s="80"/>
      <c r="K247" s="87">
        <v>2.3399999999873922</v>
      </c>
      <c r="L247" s="93" t="s">
        <v>166</v>
      </c>
      <c r="M247" s="94">
        <v>6.7000000000000004E-2</v>
      </c>
      <c r="N247" s="94">
        <v>3.7699999999813959E-2</v>
      </c>
      <c r="O247" s="87">
        <v>68216.206254000004</v>
      </c>
      <c r="P247" s="89">
        <v>95.34</v>
      </c>
      <c r="Q247" s="80"/>
      <c r="R247" s="87">
        <v>65.037330972999996</v>
      </c>
      <c r="S247" s="88">
        <v>5.9625269264099616E-5</v>
      </c>
      <c r="T247" s="88">
        <f t="shared" si="5"/>
        <v>7.0746605015649833E-4</v>
      </c>
      <c r="U247" s="88">
        <f>R247/'סכום נכסי הקרן'!$C$42</f>
        <v>1.7892049075055306E-5</v>
      </c>
    </row>
    <row r="248" spans="2:21">
      <c r="C248" s="1"/>
      <c r="D248" s="1"/>
      <c r="E248" s="1"/>
      <c r="F248" s="1"/>
    </row>
    <row r="249" spans="2:21">
      <c r="C249" s="1"/>
      <c r="D249" s="1"/>
      <c r="E249" s="1"/>
      <c r="F249" s="1"/>
    </row>
    <row r="250" spans="2:21">
      <c r="C250" s="1"/>
      <c r="D250" s="1"/>
      <c r="E250" s="1"/>
      <c r="F250" s="1"/>
    </row>
    <row r="251" spans="2:21">
      <c r="B251" s="95" t="s">
        <v>255</v>
      </c>
      <c r="C251" s="96"/>
      <c r="D251" s="96"/>
      <c r="E251" s="96"/>
      <c r="F251" s="96"/>
      <c r="G251" s="96"/>
      <c r="H251" s="96"/>
      <c r="I251" s="96"/>
      <c r="J251" s="96"/>
      <c r="K251" s="96"/>
    </row>
    <row r="252" spans="2:21">
      <c r="B252" s="95" t="s">
        <v>114</v>
      </c>
      <c r="C252" s="96"/>
      <c r="D252" s="96"/>
      <c r="E252" s="96"/>
      <c r="F252" s="96"/>
      <c r="G252" s="96"/>
      <c r="H252" s="96"/>
      <c r="I252" s="96"/>
      <c r="J252" s="96"/>
      <c r="K252" s="96"/>
    </row>
    <row r="253" spans="2:21">
      <c r="B253" s="95" t="s">
        <v>238</v>
      </c>
      <c r="C253" s="96"/>
      <c r="D253" s="96"/>
      <c r="E253" s="96"/>
      <c r="F253" s="96"/>
      <c r="G253" s="96"/>
      <c r="H253" s="96"/>
      <c r="I253" s="96"/>
      <c r="J253" s="96"/>
      <c r="K253" s="96"/>
    </row>
    <row r="254" spans="2:21">
      <c r="B254" s="95" t="s">
        <v>246</v>
      </c>
      <c r="C254" s="96"/>
      <c r="D254" s="96"/>
      <c r="E254" s="96"/>
      <c r="F254" s="96"/>
      <c r="G254" s="96"/>
      <c r="H254" s="96"/>
      <c r="I254" s="96"/>
      <c r="J254" s="96"/>
      <c r="K254" s="96"/>
    </row>
    <row r="255" spans="2:21">
      <c r="B255" s="154" t="s">
        <v>251</v>
      </c>
      <c r="C255" s="154"/>
      <c r="D255" s="154"/>
      <c r="E255" s="154"/>
      <c r="F255" s="154"/>
      <c r="G255" s="154"/>
      <c r="H255" s="154"/>
      <c r="I255" s="154"/>
      <c r="J255" s="154"/>
      <c r="K255" s="154"/>
    </row>
    <row r="256" spans="2:21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4"/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55:K255"/>
  </mergeCells>
  <phoneticPr fontId="3" type="noConversion"/>
  <conditionalFormatting sqref="B12:B247">
    <cfRule type="cellIs" dxfId="12" priority="2" operator="equal">
      <formula>"NR3"</formula>
    </cfRule>
  </conditionalFormatting>
  <conditionalFormatting sqref="B12:B247">
    <cfRule type="containsText" dxfId="11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$BK$7:$BK$24</formula1>
    </dataValidation>
    <dataValidation allowBlank="1" showInputMessage="1" showErrorMessage="1" sqref="H2 B34 Q9 B36 B253 B255"/>
    <dataValidation type="list" allowBlank="1" showInputMessage="1" showErrorMessage="1" sqref="I12:I35 I256:I827 I37:I254">
      <formula1>$BM$7:$BM$10</formula1>
    </dataValidation>
    <dataValidation type="list" allowBlank="1" showInputMessage="1" showErrorMessage="1" sqref="E12:E35 E256:E821 E37:E254">
      <formula1>$BI$7:$BI$24</formula1>
    </dataValidation>
    <dataValidation type="list" allowBlank="1" showInputMessage="1" showErrorMessage="1" sqref="G12:G35 G256:G554 G37:G254">
      <formula1>$BK$7:$BK$29</formula1>
    </dataValidation>
    <dataValidation type="list" allowBlank="1" showInputMessage="1" showErrorMessage="1" sqref="L12:L827">
      <formula1>$BN$7:$BN$20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164" zoomScale="90" zoomScaleNormal="90" workbookViewId="0">
      <selection activeCell="F193" sqref="F193"/>
    </sheetView>
  </sheetViews>
  <sheetFormatPr defaultColWidth="9.140625" defaultRowHeight="18"/>
  <cols>
    <col min="1" max="1" width="6.28515625" style="1" customWidth="1"/>
    <col min="2" max="2" width="43" style="2" bestFit="1" customWidth="1"/>
    <col min="3" max="3" width="69.28515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181</v>
      </c>
      <c r="C1" s="78" t="s" vm="1">
        <v>262</v>
      </c>
    </row>
    <row r="2" spans="2:62">
      <c r="B2" s="57" t="s">
        <v>180</v>
      </c>
      <c r="C2" s="78" t="s">
        <v>263</v>
      </c>
    </row>
    <row r="3" spans="2:62">
      <c r="B3" s="57" t="s">
        <v>182</v>
      </c>
      <c r="C3" s="78" t="s">
        <v>264</v>
      </c>
    </row>
    <row r="4" spans="2:62">
      <c r="B4" s="57" t="s">
        <v>183</v>
      </c>
      <c r="C4" s="78">
        <v>2207</v>
      </c>
    </row>
    <row r="6" spans="2:62" ht="26.25" customHeight="1">
      <c r="B6" s="157" t="s">
        <v>211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  <c r="BJ6" s="3"/>
    </row>
    <row r="7" spans="2:62" ht="26.25" customHeight="1">
      <c r="B7" s="157" t="s">
        <v>92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BF7" s="3"/>
      <c r="BJ7" s="3"/>
    </row>
    <row r="8" spans="2:62" s="3" customFormat="1" ht="78.75">
      <c r="B8" s="23" t="s">
        <v>117</v>
      </c>
      <c r="C8" s="31" t="s">
        <v>44</v>
      </c>
      <c r="D8" s="31" t="s">
        <v>121</v>
      </c>
      <c r="E8" s="31" t="s">
        <v>227</v>
      </c>
      <c r="F8" s="31" t="s">
        <v>119</v>
      </c>
      <c r="G8" s="31" t="s">
        <v>65</v>
      </c>
      <c r="H8" s="31" t="s">
        <v>103</v>
      </c>
      <c r="I8" s="14" t="s">
        <v>240</v>
      </c>
      <c r="J8" s="14" t="s">
        <v>239</v>
      </c>
      <c r="K8" s="31" t="s">
        <v>254</v>
      </c>
      <c r="L8" s="14" t="s">
        <v>62</v>
      </c>
      <c r="M8" s="14" t="s">
        <v>59</v>
      </c>
      <c r="N8" s="14" t="s">
        <v>184</v>
      </c>
      <c r="O8" s="15" t="s">
        <v>186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247</v>
      </c>
      <c r="J9" s="17"/>
      <c r="K9" s="17" t="s">
        <v>243</v>
      </c>
      <c r="L9" s="17" t="s">
        <v>243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97" t="s">
        <v>29</v>
      </c>
      <c r="C11" s="98"/>
      <c r="D11" s="98"/>
      <c r="E11" s="98"/>
      <c r="F11" s="98"/>
      <c r="G11" s="98"/>
      <c r="H11" s="98"/>
      <c r="I11" s="100"/>
      <c r="J11" s="102"/>
      <c r="K11" s="100">
        <v>58.21590080499999</v>
      </c>
      <c r="L11" s="100">
        <v>36121.474538132003</v>
      </c>
      <c r="M11" s="98"/>
      <c r="N11" s="103">
        <f>L11/$L$11</f>
        <v>1</v>
      </c>
      <c r="O11" s="103">
        <f>L11/'סכום נכסי הקרן'!$C$42</f>
        <v>9.9371727810897131E-3</v>
      </c>
      <c r="BF11" s="1"/>
      <c r="BG11" s="3"/>
      <c r="BH11" s="1"/>
      <c r="BJ11" s="1"/>
    </row>
    <row r="12" spans="2:62" ht="20.25">
      <c r="B12" s="81" t="s">
        <v>235</v>
      </c>
      <c r="C12" s="82"/>
      <c r="D12" s="82"/>
      <c r="E12" s="82"/>
      <c r="F12" s="82"/>
      <c r="G12" s="82"/>
      <c r="H12" s="82"/>
      <c r="I12" s="90"/>
      <c r="J12" s="92"/>
      <c r="K12" s="90">
        <v>54.443146501000001</v>
      </c>
      <c r="L12" s="90">
        <v>25509.794671742999</v>
      </c>
      <c r="M12" s="82"/>
      <c r="N12" s="91">
        <f t="shared" ref="N12:N40" si="0">L12/$L$11</f>
        <v>0.70622240641957523</v>
      </c>
      <c r="O12" s="91">
        <f>L12/'סכום נכסי הקרן'!$C$42</f>
        <v>7.0178540744682801E-3</v>
      </c>
      <c r="BG12" s="4"/>
    </row>
    <row r="13" spans="2:62">
      <c r="B13" s="99" t="s">
        <v>853</v>
      </c>
      <c r="C13" s="82"/>
      <c r="D13" s="82"/>
      <c r="E13" s="82"/>
      <c r="F13" s="82"/>
      <c r="G13" s="82"/>
      <c r="H13" s="82"/>
      <c r="I13" s="90"/>
      <c r="J13" s="92"/>
      <c r="K13" s="90">
        <v>10.443643137</v>
      </c>
      <c r="L13" s="90">
        <v>16606.461289528001</v>
      </c>
      <c r="M13" s="82"/>
      <c r="N13" s="91">
        <f t="shared" si="0"/>
        <v>0.45973929641208916</v>
      </c>
      <c r="O13" s="91">
        <f>L13/'סכום נכסי הקרן'!$C$42</f>
        <v>4.5685088227035474E-3</v>
      </c>
    </row>
    <row r="14" spans="2:62">
      <c r="B14" s="86" t="s">
        <v>854</v>
      </c>
      <c r="C14" s="80" t="s">
        <v>855</v>
      </c>
      <c r="D14" s="93" t="s">
        <v>122</v>
      </c>
      <c r="E14" s="93" t="s">
        <v>290</v>
      </c>
      <c r="F14" s="80" t="s">
        <v>856</v>
      </c>
      <c r="G14" s="93" t="s">
        <v>192</v>
      </c>
      <c r="H14" s="93" t="s">
        <v>166</v>
      </c>
      <c r="I14" s="87">
        <v>2112.9057670000002</v>
      </c>
      <c r="J14" s="89">
        <v>26040</v>
      </c>
      <c r="K14" s="80"/>
      <c r="L14" s="87">
        <v>550.20066258300005</v>
      </c>
      <c r="M14" s="88">
        <v>4.1434512421014762E-5</v>
      </c>
      <c r="N14" s="88">
        <f t="shared" si="0"/>
        <v>1.5231954664590869E-2</v>
      </c>
      <c r="O14" s="88">
        <f>L14/'סכום נכסי הקרן'!$C$42</f>
        <v>1.5136256529576486E-4</v>
      </c>
    </row>
    <row r="15" spans="2:62">
      <c r="B15" s="86" t="s">
        <v>857</v>
      </c>
      <c r="C15" s="80" t="s">
        <v>858</v>
      </c>
      <c r="D15" s="93" t="s">
        <v>122</v>
      </c>
      <c r="E15" s="93" t="s">
        <v>290</v>
      </c>
      <c r="F15" s="80">
        <v>1760</v>
      </c>
      <c r="G15" s="93" t="s">
        <v>681</v>
      </c>
      <c r="H15" s="93" t="s">
        <v>166</v>
      </c>
      <c r="I15" s="87">
        <v>162.05007900000001</v>
      </c>
      <c r="J15" s="89">
        <v>44270</v>
      </c>
      <c r="K15" s="87">
        <v>0.42003384899999996</v>
      </c>
      <c r="L15" s="87">
        <v>72.159603700999995</v>
      </c>
      <c r="M15" s="88">
        <v>1.517664993798883E-6</v>
      </c>
      <c r="N15" s="88">
        <f t="shared" si="0"/>
        <v>1.9976926364072977E-3</v>
      </c>
      <c r="O15" s="88">
        <f>L15/'סכום נכסי הקרן'!$C$42</f>
        <v>1.9851416891489947E-5</v>
      </c>
    </row>
    <row r="16" spans="2:62" ht="20.25">
      <c r="B16" s="86" t="s">
        <v>859</v>
      </c>
      <c r="C16" s="80" t="s">
        <v>860</v>
      </c>
      <c r="D16" s="93" t="s">
        <v>122</v>
      </c>
      <c r="E16" s="93" t="s">
        <v>290</v>
      </c>
      <c r="F16" s="80" t="s">
        <v>389</v>
      </c>
      <c r="G16" s="93" t="s">
        <v>360</v>
      </c>
      <c r="H16" s="93" t="s">
        <v>166</v>
      </c>
      <c r="I16" s="87">
        <v>5464.1437640000004</v>
      </c>
      <c r="J16" s="89">
        <v>6482</v>
      </c>
      <c r="K16" s="80"/>
      <c r="L16" s="87">
        <v>354.18579879499998</v>
      </c>
      <c r="M16" s="88">
        <v>4.1555776964209812E-5</v>
      </c>
      <c r="N16" s="88">
        <f t="shared" si="0"/>
        <v>9.8054080937670512E-3</v>
      </c>
      <c r="O16" s="88">
        <f>L16/'סכום נכסי הקרן'!$C$42</f>
        <v>9.7438034416858697E-5</v>
      </c>
      <c r="BF16" s="4"/>
    </row>
    <row r="17" spans="2:15">
      <c r="B17" s="86" t="s">
        <v>861</v>
      </c>
      <c r="C17" s="80" t="s">
        <v>862</v>
      </c>
      <c r="D17" s="93" t="s">
        <v>122</v>
      </c>
      <c r="E17" s="93" t="s">
        <v>290</v>
      </c>
      <c r="F17" s="80" t="s">
        <v>670</v>
      </c>
      <c r="G17" s="93" t="s">
        <v>671</v>
      </c>
      <c r="H17" s="93" t="s">
        <v>166</v>
      </c>
      <c r="I17" s="87">
        <v>1423.173033</v>
      </c>
      <c r="J17" s="89">
        <v>53760</v>
      </c>
      <c r="K17" s="87">
        <v>2.1641338660000002</v>
      </c>
      <c r="L17" s="87">
        <v>767.26195622499995</v>
      </c>
      <c r="M17" s="88">
        <v>3.2226115522623551E-5</v>
      </c>
      <c r="N17" s="88">
        <f t="shared" si="0"/>
        <v>2.1241158231650594E-2</v>
      </c>
      <c r="O17" s="88">
        <f>L17/'סכום נכסי הקרן'!$C$42</f>
        <v>2.1107705941837799E-4</v>
      </c>
    </row>
    <row r="18" spans="2:15">
      <c r="B18" s="86" t="s">
        <v>863</v>
      </c>
      <c r="C18" s="80" t="s">
        <v>864</v>
      </c>
      <c r="D18" s="93" t="s">
        <v>122</v>
      </c>
      <c r="E18" s="93" t="s">
        <v>290</v>
      </c>
      <c r="F18" s="80" t="s">
        <v>397</v>
      </c>
      <c r="G18" s="93" t="s">
        <v>360</v>
      </c>
      <c r="H18" s="93" t="s">
        <v>166</v>
      </c>
      <c r="I18" s="87">
        <v>12334.769786000001</v>
      </c>
      <c r="J18" s="89">
        <v>2507</v>
      </c>
      <c r="K18" s="80"/>
      <c r="L18" s="87">
        <v>309.23267853499999</v>
      </c>
      <c r="M18" s="88">
        <v>3.2589261694660824E-5</v>
      </c>
      <c r="N18" s="88">
        <f t="shared" si="0"/>
        <v>8.560909610945017E-3</v>
      </c>
      <c r="O18" s="88">
        <f>L18/'סכום נכסי הקרן'!$C$42</f>
        <v>8.5071237967252145E-5</v>
      </c>
    </row>
    <row r="19" spans="2:15">
      <c r="B19" s="86" t="s">
        <v>865</v>
      </c>
      <c r="C19" s="80" t="s">
        <v>866</v>
      </c>
      <c r="D19" s="93" t="s">
        <v>122</v>
      </c>
      <c r="E19" s="93" t="s">
        <v>290</v>
      </c>
      <c r="F19" s="80" t="s">
        <v>867</v>
      </c>
      <c r="G19" s="93" t="s">
        <v>148</v>
      </c>
      <c r="H19" s="93" t="s">
        <v>166</v>
      </c>
      <c r="I19" s="87">
        <v>596.72722599999997</v>
      </c>
      <c r="J19" s="89">
        <v>4225</v>
      </c>
      <c r="K19" s="80"/>
      <c r="L19" s="87">
        <v>25.211725295000001</v>
      </c>
      <c r="M19" s="88">
        <v>3.3757010935471407E-6</v>
      </c>
      <c r="N19" s="88">
        <f t="shared" si="0"/>
        <v>6.9797054570363637E-4</v>
      </c>
      <c r="O19" s="88">
        <f>L19/'סכום נכסי הקרן'!$C$42</f>
        <v>6.9358539087685088E-6</v>
      </c>
    </row>
    <row r="20" spans="2:15">
      <c r="B20" s="86" t="s">
        <v>868</v>
      </c>
      <c r="C20" s="80" t="s">
        <v>869</v>
      </c>
      <c r="D20" s="93" t="s">
        <v>122</v>
      </c>
      <c r="E20" s="93" t="s">
        <v>290</v>
      </c>
      <c r="F20" s="80" t="s">
        <v>477</v>
      </c>
      <c r="G20" s="93" t="s">
        <v>193</v>
      </c>
      <c r="H20" s="93" t="s">
        <v>166</v>
      </c>
      <c r="I20" s="87">
        <v>154763.380087</v>
      </c>
      <c r="J20" s="89">
        <v>277.5</v>
      </c>
      <c r="K20" s="80"/>
      <c r="L20" s="87">
        <v>429.46837974600004</v>
      </c>
      <c r="M20" s="88">
        <v>5.5962457922306279E-5</v>
      </c>
      <c r="N20" s="88">
        <f t="shared" si="0"/>
        <v>1.1889558364862081E-2</v>
      </c>
      <c r="O20" s="88">
        <f>L20/'סכום נכסי הקרן'!$C$42</f>
        <v>1.1814859576248498E-4</v>
      </c>
    </row>
    <row r="21" spans="2:15">
      <c r="B21" s="86" t="s">
        <v>870</v>
      </c>
      <c r="C21" s="80" t="s">
        <v>871</v>
      </c>
      <c r="D21" s="93" t="s">
        <v>122</v>
      </c>
      <c r="E21" s="93" t="s">
        <v>290</v>
      </c>
      <c r="F21" s="80" t="s">
        <v>305</v>
      </c>
      <c r="G21" s="93" t="s">
        <v>298</v>
      </c>
      <c r="H21" s="93" t="s">
        <v>166</v>
      </c>
      <c r="I21" s="87">
        <v>3699.0855259999998</v>
      </c>
      <c r="J21" s="89">
        <v>9989</v>
      </c>
      <c r="K21" s="80"/>
      <c r="L21" s="87">
        <v>369.501653159</v>
      </c>
      <c r="M21" s="88">
        <v>3.6869172243926142E-5</v>
      </c>
      <c r="N21" s="88">
        <f t="shared" si="0"/>
        <v>1.0229417760034458E-2</v>
      </c>
      <c r="O21" s="88">
        <f>L21/'סכום נכסי הקרן'!$C$42</f>
        <v>1.0165149173141011E-4</v>
      </c>
    </row>
    <row r="22" spans="2:15">
      <c r="B22" s="86" t="s">
        <v>872</v>
      </c>
      <c r="C22" s="80" t="s">
        <v>873</v>
      </c>
      <c r="D22" s="93" t="s">
        <v>122</v>
      </c>
      <c r="E22" s="93" t="s">
        <v>290</v>
      </c>
      <c r="F22" s="80" t="s">
        <v>616</v>
      </c>
      <c r="G22" s="93" t="s">
        <v>424</v>
      </c>
      <c r="H22" s="93" t="s">
        <v>166</v>
      </c>
      <c r="I22" s="87">
        <v>123286.52985799999</v>
      </c>
      <c r="J22" s="89">
        <v>173.4</v>
      </c>
      <c r="K22" s="80"/>
      <c r="L22" s="87">
        <v>213.77884277199996</v>
      </c>
      <c r="M22" s="88">
        <v>3.8458378505939146E-5</v>
      </c>
      <c r="N22" s="88">
        <f t="shared" si="0"/>
        <v>5.9183310068453088E-3</v>
      </c>
      <c r="O22" s="88">
        <f>L22/'סכום נכסי הקרן'!$C$42</f>
        <v>5.8811477790702473E-5</v>
      </c>
    </row>
    <row r="23" spans="2:15">
      <c r="B23" s="86" t="s">
        <v>874</v>
      </c>
      <c r="C23" s="80" t="s">
        <v>875</v>
      </c>
      <c r="D23" s="93" t="s">
        <v>122</v>
      </c>
      <c r="E23" s="93" t="s">
        <v>290</v>
      </c>
      <c r="F23" s="80" t="s">
        <v>354</v>
      </c>
      <c r="G23" s="93" t="s">
        <v>298</v>
      </c>
      <c r="H23" s="93" t="s">
        <v>166</v>
      </c>
      <c r="I23" s="87">
        <v>51363.041983000003</v>
      </c>
      <c r="J23" s="89">
        <v>1601</v>
      </c>
      <c r="K23" s="80"/>
      <c r="L23" s="87">
        <v>822.32230215499987</v>
      </c>
      <c r="M23" s="88">
        <v>4.412568054579939E-5</v>
      </c>
      <c r="N23" s="88">
        <f t="shared" si="0"/>
        <v>2.2765468815147814E-2</v>
      </c>
      <c r="O23" s="88">
        <f>L23/'סכום נכסי הקרן'!$C$42</f>
        <v>2.2622439705863353E-4</v>
      </c>
    </row>
    <row r="24" spans="2:15">
      <c r="B24" s="86" t="s">
        <v>876</v>
      </c>
      <c r="C24" s="80" t="s">
        <v>877</v>
      </c>
      <c r="D24" s="93" t="s">
        <v>122</v>
      </c>
      <c r="E24" s="93" t="s">
        <v>290</v>
      </c>
      <c r="F24" s="80" t="s">
        <v>878</v>
      </c>
      <c r="G24" s="93" t="s">
        <v>148</v>
      </c>
      <c r="H24" s="93" t="s">
        <v>166</v>
      </c>
      <c r="I24" s="87">
        <v>79312.532647999993</v>
      </c>
      <c r="J24" s="89">
        <v>876.1</v>
      </c>
      <c r="K24" s="87">
        <v>7.859475422</v>
      </c>
      <c r="L24" s="87">
        <v>702.71657400600009</v>
      </c>
      <c r="M24" s="88">
        <v>6.7568188791734918E-5</v>
      </c>
      <c r="N24" s="88">
        <f t="shared" si="0"/>
        <v>1.9454260463929018E-2</v>
      </c>
      <c r="O24" s="88">
        <f>L24/'סכום נכסי הקרן'!$C$42</f>
        <v>1.9332034755838515E-4</v>
      </c>
    </row>
    <row r="25" spans="2:15">
      <c r="B25" s="86" t="s">
        <v>879</v>
      </c>
      <c r="C25" s="80" t="s">
        <v>880</v>
      </c>
      <c r="D25" s="93" t="s">
        <v>122</v>
      </c>
      <c r="E25" s="93" t="s">
        <v>290</v>
      </c>
      <c r="F25" s="80" t="s">
        <v>564</v>
      </c>
      <c r="G25" s="93" t="s">
        <v>420</v>
      </c>
      <c r="H25" s="93" t="s">
        <v>166</v>
      </c>
      <c r="I25" s="87">
        <v>13210.971713000001</v>
      </c>
      <c r="J25" s="89">
        <v>2088</v>
      </c>
      <c r="K25" s="80"/>
      <c r="L25" s="87">
        <v>275.84508937599998</v>
      </c>
      <c r="M25" s="88">
        <v>5.157448347142404E-5</v>
      </c>
      <c r="N25" s="88">
        <f t="shared" si="0"/>
        <v>7.6365954851815724E-3</v>
      </c>
      <c r="O25" s="88">
        <f>L25/'סכום נכסי הקרן'!$C$42</f>
        <v>7.5886168795538905E-5</v>
      </c>
    </row>
    <row r="26" spans="2:15">
      <c r="B26" s="86" t="s">
        <v>881</v>
      </c>
      <c r="C26" s="80" t="s">
        <v>882</v>
      </c>
      <c r="D26" s="93" t="s">
        <v>122</v>
      </c>
      <c r="E26" s="93" t="s">
        <v>290</v>
      </c>
      <c r="F26" s="80" t="s">
        <v>419</v>
      </c>
      <c r="G26" s="93" t="s">
        <v>420</v>
      </c>
      <c r="H26" s="93" t="s">
        <v>166</v>
      </c>
      <c r="I26" s="87">
        <v>9959.8894739999996</v>
      </c>
      <c r="J26" s="89">
        <v>2695</v>
      </c>
      <c r="K26" s="80"/>
      <c r="L26" s="87">
        <v>268.41902131099999</v>
      </c>
      <c r="M26" s="88">
        <v>4.6459308142415762E-5</v>
      </c>
      <c r="N26" s="88">
        <f t="shared" si="0"/>
        <v>7.4310095239229707E-3</v>
      </c>
      <c r="O26" s="88">
        <f>L26/'סכום נכסי הקרן'!$C$42</f>
        <v>7.3843225577145766E-5</v>
      </c>
    </row>
    <row r="27" spans="2:15">
      <c r="B27" s="86" t="s">
        <v>883</v>
      </c>
      <c r="C27" s="80" t="s">
        <v>884</v>
      </c>
      <c r="D27" s="93" t="s">
        <v>122</v>
      </c>
      <c r="E27" s="93" t="s">
        <v>290</v>
      </c>
      <c r="F27" s="80" t="s">
        <v>885</v>
      </c>
      <c r="G27" s="93" t="s">
        <v>886</v>
      </c>
      <c r="H27" s="93" t="s">
        <v>166</v>
      </c>
      <c r="I27" s="87">
        <v>2618.2439020000002</v>
      </c>
      <c r="J27" s="89">
        <v>8257</v>
      </c>
      <c r="K27" s="80"/>
      <c r="L27" s="87">
        <v>216.18839884899998</v>
      </c>
      <c r="M27" s="88">
        <v>2.4542198718231066E-5</v>
      </c>
      <c r="N27" s="88">
        <f t="shared" si="0"/>
        <v>5.9850380310687065E-3</v>
      </c>
      <c r="O27" s="88">
        <f>L27/'סכום נכסי הקרן'!$C$42</f>
        <v>5.9474357016122713E-5</v>
      </c>
    </row>
    <row r="28" spans="2:15">
      <c r="B28" s="86" t="s">
        <v>887</v>
      </c>
      <c r="C28" s="80" t="s">
        <v>888</v>
      </c>
      <c r="D28" s="93" t="s">
        <v>122</v>
      </c>
      <c r="E28" s="93" t="s">
        <v>290</v>
      </c>
      <c r="F28" s="80" t="s">
        <v>889</v>
      </c>
      <c r="G28" s="93" t="s">
        <v>890</v>
      </c>
      <c r="H28" s="93" t="s">
        <v>166</v>
      </c>
      <c r="I28" s="87">
        <v>4824.3475170000002</v>
      </c>
      <c r="J28" s="89">
        <v>3421</v>
      </c>
      <c r="K28" s="80"/>
      <c r="L28" s="87">
        <v>165.04092856</v>
      </c>
      <c r="M28" s="88">
        <v>4.417538915982229E-6</v>
      </c>
      <c r="N28" s="88">
        <f t="shared" si="0"/>
        <v>4.5690529157599276E-3</v>
      </c>
      <c r="O28" s="88">
        <f>L28/'סכום נכסי הקרן'!$C$42</f>
        <v>4.5403468269848135E-5</v>
      </c>
    </row>
    <row r="29" spans="2:15">
      <c r="B29" s="86" t="s">
        <v>891</v>
      </c>
      <c r="C29" s="80" t="s">
        <v>892</v>
      </c>
      <c r="D29" s="93" t="s">
        <v>122</v>
      </c>
      <c r="E29" s="93" t="s">
        <v>290</v>
      </c>
      <c r="F29" s="80" t="s">
        <v>893</v>
      </c>
      <c r="G29" s="93" t="s">
        <v>473</v>
      </c>
      <c r="H29" s="93" t="s">
        <v>166</v>
      </c>
      <c r="I29" s="87">
        <v>67855.284664000006</v>
      </c>
      <c r="J29" s="89">
        <v>1625</v>
      </c>
      <c r="K29" s="80"/>
      <c r="L29" s="87">
        <v>1102.648375791</v>
      </c>
      <c r="M29" s="88">
        <v>5.2997402175951661E-5</v>
      </c>
      <c r="N29" s="88">
        <f t="shared" si="0"/>
        <v>3.0526117493541911E-2</v>
      </c>
      <c r="O29" s="88">
        <f>L29/'סכום נכסי הקרן'!$C$42</f>
        <v>3.0334330386917117E-4</v>
      </c>
    </row>
    <row r="30" spans="2:15">
      <c r="B30" s="86" t="s">
        <v>894</v>
      </c>
      <c r="C30" s="80" t="s">
        <v>895</v>
      </c>
      <c r="D30" s="93" t="s">
        <v>122</v>
      </c>
      <c r="E30" s="93" t="s">
        <v>290</v>
      </c>
      <c r="F30" s="80" t="s">
        <v>311</v>
      </c>
      <c r="G30" s="93" t="s">
        <v>298</v>
      </c>
      <c r="H30" s="93" t="s">
        <v>166</v>
      </c>
      <c r="I30" s="87">
        <v>82629.387573</v>
      </c>
      <c r="J30" s="89">
        <v>2514</v>
      </c>
      <c r="K30" s="80"/>
      <c r="L30" s="87">
        <v>2077.3028035789998</v>
      </c>
      <c r="M30" s="88">
        <v>5.6356495083045219E-5</v>
      </c>
      <c r="N30" s="88">
        <f t="shared" si="0"/>
        <v>5.7508804115570474E-2</v>
      </c>
      <c r="O30" s="88">
        <f>L30/'סכום נכסי הקרן'!$C$42</f>
        <v>5.7147492293026692E-4</v>
      </c>
    </row>
    <row r="31" spans="2:15">
      <c r="B31" s="86" t="s">
        <v>896</v>
      </c>
      <c r="C31" s="80" t="s">
        <v>897</v>
      </c>
      <c r="D31" s="93" t="s">
        <v>122</v>
      </c>
      <c r="E31" s="93" t="s">
        <v>290</v>
      </c>
      <c r="F31" s="80" t="s">
        <v>316</v>
      </c>
      <c r="G31" s="93" t="s">
        <v>298</v>
      </c>
      <c r="H31" s="93" t="s">
        <v>166</v>
      </c>
      <c r="I31" s="87">
        <v>13441.514954999999</v>
      </c>
      <c r="J31" s="89">
        <v>9200</v>
      </c>
      <c r="K31" s="80"/>
      <c r="L31" s="87">
        <v>1236.6193758429999</v>
      </c>
      <c r="M31" s="88">
        <v>5.7228705052876679E-5</v>
      </c>
      <c r="N31" s="88">
        <f t="shared" si="0"/>
        <v>3.4235019241463972E-2</v>
      </c>
      <c r="O31" s="88">
        <f>L31/'סכום נכסי הקרן'!$C$42</f>
        <v>3.4019930136635831E-4</v>
      </c>
    </row>
    <row r="32" spans="2:15">
      <c r="B32" s="86" t="s">
        <v>898</v>
      </c>
      <c r="C32" s="80" t="s">
        <v>899</v>
      </c>
      <c r="D32" s="93" t="s">
        <v>122</v>
      </c>
      <c r="E32" s="93" t="s">
        <v>290</v>
      </c>
      <c r="F32" s="80" t="s">
        <v>449</v>
      </c>
      <c r="G32" s="93" t="s">
        <v>360</v>
      </c>
      <c r="H32" s="93" t="s">
        <v>166</v>
      </c>
      <c r="I32" s="87">
        <v>2822.0912739999999</v>
      </c>
      <c r="J32" s="89">
        <v>22050</v>
      </c>
      <c r="K32" s="80"/>
      <c r="L32" s="87">
        <v>622.27112590700006</v>
      </c>
      <c r="M32" s="88">
        <v>5.9492337942484196E-5</v>
      </c>
      <c r="N32" s="88">
        <f t="shared" si="0"/>
        <v>1.722717950647594E-2</v>
      </c>
      <c r="O32" s="88">
        <f>L32/'סכום נכסי הקרן'!$C$42</f>
        <v>1.711894592866992E-4</v>
      </c>
    </row>
    <row r="33" spans="2:15">
      <c r="B33" s="86" t="s">
        <v>900</v>
      </c>
      <c r="C33" s="80" t="s">
        <v>901</v>
      </c>
      <c r="D33" s="93" t="s">
        <v>122</v>
      </c>
      <c r="E33" s="93" t="s">
        <v>290</v>
      </c>
      <c r="F33" s="80" t="s">
        <v>902</v>
      </c>
      <c r="G33" s="93" t="s">
        <v>194</v>
      </c>
      <c r="H33" s="93" t="s">
        <v>166</v>
      </c>
      <c r="I33" s="87">
        <v>413.23875700000002</v>
      </c>
      <c r="J33" s="89">
        <v>53560</v>
      </c>
      <c r="K33" s="80"/>
      <c r="L33" s="87">
        <v>221.33067812500002</v>
      </c>
      <c r="M33" s="88">
        <v>6.6507918367352199E-6</v>
      </c>
      <c r="N33" s="88">
        <f t="shared" si="0"/>
        <v>6.1273987553124402E-3</v>
      </c>
      <c r="O33" s="88">
        <f>L33/'סכום נכסי הקרן'!$C$42</f>
        <v>6.0889020130173759E-5</v>
      </c>
    </row>
    <row r="34" spans="2:15">
      <c r="B34" s="86" t="s">
        <v>903</v>
      </c>
      <c r="C34" s="80" t="s">
        <v>904</v>
      </c>
      <c r="D34" s="93" t="s">
        <v>122</v>
      </c>
      <c r="E34" s="93" t="s">
        <v>290</v>
      </c>
      <c r="F34" s="80" t="s">
        <v>338</v>
      </c>
      <c r="G34" s="93" t="s">
        <v>298</v>
      </c>
      <c r="H34" s="93" t="s">
        <v>166</v>
      </c>
      <c r="I34" s="87">
        <v>75251.664139</v>
      </c>
      <c r="J34" s="89">
        <v>2865</v>
      </c>
      <c r="K34" s="80"/>
      <c r="L34" s="87">
        <v>2155.9601775840001</v>
      </c>
      <c r="M34" s="88">
        <v>5.6361188387956457E-5</v>
      </c>
      <c r="N34" s="88">
        <f t="shared" si="0"/>
        <v>5.9686383381388229E-2</v>
      </c>
      <c r="O34" s="88">
        <f>L34/'סכום נכסי הקרן'!$C$42</f>
        <v>5.9311390433921651E-4</v>
      </c>
    </row>
    <row r="35" spans="2:15">
      <c r="B35" s="86" t="s">
        <v>905</v>
      </c>
      <c r="C35" s="80" t="s">
        <v>906</v>
      </c>
      <c r="D35" s="93" t="s">
        <v>122</v>
      </c>
      <c r="E35" s="93" t="s">
        <v>290</v>
      </c>
      <c r="F35" s="80" t="s">
        <v>559</v>
      </c>
      <c r="G35" s="93" t="s">
        <v>424</v>
      </c>
      <c r="H35" s="93" t="s">
        <v>166</v>
      </c>
      <c r="I35" s="87">
        <v>1136.2044800000001</v>
      </c>
      <c r="J35" s="89">
        <v>48890</v>
      </c>
      <c r="K35" s="80"/>
      <c r="L35" s="87">
        <v>555.49037005300011</v>
      </c>
      <c r="M35" s="88">
        <v>1.1162188055307335E-4</v>
      </c>
      <c r="N35" s="88">
        <f t="shared" si="0"/>
        <v>1.5378396844419821E-2</v>
      </c>
      <c r="O35" s="88">
        <f>L35/'סכום נכסי הקרן'!$C$42</f>
        <v>1.5281778653916458E-4</v>
      </c>
    </row>
    <row r="36" spans="2:15">
      <c r="B36" s="86" t="s">
        <v>907</v>
      </c>
      <c r="C36" s="80" t="s">
        <v>908</v>
      </c>
      <c r="D36" s="93" t="s">
        <v>122</v>
      </c>
      <c r="E36" s="93" t="s">
        <v>290</v>
      </c>
      <c r="F36" s="80" t="s">
        <v>909</v>
      </c>
      <c r="G36" s="93" t="s">
        <v>890</v>
      </c>
      <c r="H36" s="93" t="s">
        <v>166</v>
      </c>
      <c r="I36" s="87">
        <v>1202.6418960000001</v>
      </c>
      <c r="J36" s="89">
        <v>17810</v>
      </c>
      <c r="K36" s="80"/>
      <c r="L36" s="87">
        <v>214.19052171199999</v>
      </c>
      <c r="M36" s="88">
        <v>8.8478729085369808E-6</v>
      </c>
      <c r="N36" s="88">
        <f t="shared" si="0"/>
        <v>5.9297280759091821E-3</v>
      </c>
      <c r="O36" s="88">
        <f>L36/'סכום נכסי הקרן'!$C$42</f>
        <v>5.8924732435188197E-5</v>
      </c>
    </row>
    <row r="37" spans="2:15">
      <c r="B37" s="86" t="s">
        <v>910</v>
      </c>
      <c r="C37" s="80" t="s">
        <v>911</v>
      </c>
      <c r="D37" s="93" t="s">
        <v>122</v>
      </c>
      <c r="E37" s="93" t="s">
        <v>290</v>
      </c>
      <c r="F37" s="80" t="s">
        <v>374</v>
      </c>
      <c r="G37" s="93" t="s">
        <v>360</v>
      </c>
      <c r="H37" s="93" t="s">
        <v>166</v>
      </c>
      <c r="I37" s="87">
        <v>5402.9787850000002</v>
      </c>
      <c r="J37" s="89">
        <v>25250</v>
      </c>
      <c r="K37" s="80"/>
      <c r="L37" s="87">
        <v>1364.252143291</v>
      </c>
      <c r="M37" s="88">
        <v>4.4552286803730697E-5</v>
      </c>
      <c r="N37" s="88">
        <f t="shared" si="0"/>
        <v>3.7768451059516227E-2</v>
      </c>
      <c r="O37" s="88">
        <f>L37/'סכום נכסי הקרן'!$C$42</f>
        <v>3.7531162385254354E-4</v>
      </c>
    </row>
    <row r="38" spans="2:15">
      <c r="B38" s="86" t="s">
        <v>912</v>
      </c>
      <c r="C38" s="80" t="s">
        <v>913</v>
      </c>
      <c r="D38" s="93" t="s">
        <v>122</v>
      </c>
      <c r="E38" s="93" t="s">
        <v>290</v>
      </c>
      <c r="F38" s="80" t="s">
        <v>469</v>
      </c>
      <c r="G38" s="93" t="s">
        <v>153</v>
      </c>
      <c r="H38" s="93" t="s">
        <v>166</v>
      </c>
      <c r="I38" s="87">
        <v>17207.44094</v>
      </c>
      <c r="J38" s="89">
        <v>2198</v>
      </c>
      <c r="K38" s="80"/>
      <c r="L38" s="87">
        <v>378.21955186499997</v>
      </c>
      <c r="M38" s="88">
        <v>7.2252686822428506E-5</v>
      </c>
      <c r="N38" s="88">
        <f t="shared" si="0"/>
        <v>1.0470767229220631E-2</v>
      </c>
      <c r="O38" s="88">
        <f>L38/'סכום נכסי הקרן'!$C$42</f>
        <v>1.0404982310733739E-4</v>
      </c>
    </row>
    <row r="39" spans="2:15">
      <c r="B39" s="86" t="s">
        <v>914</v>
      </c>
      <c r="C39" s="80" t="s">
        <v>915</v>
      </c>
      <c r="D39" s="93" t="s">
        <v>122</v>
      </c>
      <c r="E39" s="93" t="s">
        <v>290</v>
      </c>
      <c r="F39" s="80" t="s">
        <v>680</v>
      </c>
      <c r="G39" s="93" t="s">
        <v>681</v>
      </c>
      <c r="H39" s="93" t="s">
        <v>166</v>
      </c>
      <c r="I39" s="87">
        <v>6367.4490219999998</v>
      </c>
      <c r="J39" s="89">
        <v>10590</v>
      </c>
      <c r="K39" s="80"/>
      <c r="L39" s="87">
        <v>674.31285147700021</v>
      </c>
      <c r="M39" s="88">
        <v>5.498715153065593E-5</v>
      </c>
      <c r="N39" s="88">
        <f t="shared" si="0"/>
        <v>1.8667921509271584E-2</v>
      </c>
      <c r="O39" s="88">
        <f>L39/'סכום נכסי הקרן'!$C$42</f>
        <v>1.8550636150145276E-4</v>
      </c>
    </row>
    <row r="40" spans="2:15">
      <c r="B40" s="86" t="s">
        <v>916</v>
      </c>
      <c r="C40" s="80" t="s">
        <v>917</v>
      </c>
      <c r="D40" s="93" t="s">
        <v>122</v>
      </c>
      <c r="E40" s="93" t="s">
        <v>290</v>
      </c>
      <c r="F40" s="80" t="s">
        <v>809</v>
      </c>
      <c r="G40" s="93" t="s">
        <v>810</v>
      </c>
      <c r="H40" s="93" t="s">
        <v>166</v>
      </c>
      <c r="I40" s="87">
        <v>21932.14892</v>
      </c>
      <c r="J40" s="89">
        <v>2108</v>
      </c>
      <c r="K40" s="80"/>
      <c r="L40" s="87">
        <v>462.32969923299999</v>
      </c>
      <c r="M40" s="88">
        <v>6.1731385457332159E-5</v>
      </c>
      <c r="N40" s="88">
        <f t="shared" si="0"/>
        <v>1.2799303050182433E-2</v>
      </c>
      <c r="O40" s="88">
        <f>L40/'סכום נכסי הקרן'!$C$42</f>
        <v>1.2718888588719141E-4</v>
      </c>
    </row>
    <row r="41" spans="2:15">
      <c r="B41" s="83"/>
      <c r="C41" s="80"/>
      <c r="D41" s="80"/>
      <c r="E41" s="80"/>
      <c r="F41" s="80"/>
      <c r="G41" s="80"/>
      <c r="H41" s="80"/>
      <c r="I41" s="87"/>
      <c r="J41" s="89"/>
      <c r="K41" s="80"/>
      <c r="L41" s="80"/>
      <c r="M41" s="80"/>
      <c r="N41" s="88"/>
      <c r="O41" s="80"/>
    </row>
    <row r="42" spans="2:15">
      <c r="B42" s="99" t="s">
        <v>918</v>
      </c>
      <c r="C42" s="82"/>
      <c r="D42" s="82"/>
      <c r="E42" s="82"/>
      <c r="F42" s="82"/>
      <c r="G42" s="82"/>
      <c r="H42" s="82"/>
      <c r="I42" s="90"/>
      <c r="J42" s="92"/>
      <c r="K42" s="90">
        <v>43.999503363999999</v>
      </c>
      <c r="L42" s="90">
        <v>7835.0132960760029</v>
      </c>
      <c r="M42" s="82"/>
      <c r="N42" s="91">
        <f t="shared" ref="N42:N84" si="1">L42/$L$11</f>
        <v>0.21690734933328626</v>
      </c>
      <c r="O42" s="91">
        <f>L42/'סכום נכסי הקרן'!$C$42</f>
        <v>2.1554458078130497E-3</v>
      </c>
    </row>
    <row r="43" spans="2:15">
      <c r="B43" s="86" t="s">
        <v>919</v>
      </c>
      <c r="C43" s="80" t="s">
        <v>920</v>
      </c>
      <c r="D43" s="93" t="s">
        <v>122</v>
      </c>
      <c r="E43" s="93" t="s">
        <v>290</v>
      </c>
      <c r="F43" s="80" t="s">
        <v>921</v>
      </c>
      <c r="G43" s="93" t="s">
        <v>922</v>
      </c>
      <c r="H43" s="93" t="s">
        <v>166</v>
      </c>
      <c r="I43" s="87">
        <v>29854.493046</v>
      </c>
      <c r="J43" s="89">
        <v>260.39999999999998</v>
      </c>
      <c r="K43" s="80"/>
      <c r="L43" s="87">
        <v>77.741099886000001</v>
      </c>
      <c r="M43" s="88">
        <v>1.0056992279248479E-4</v>
      </c>
      <c r="N43" s="88">
        <f t="shared" si="1"/>
        <v>2.1522128008349111E-3</v>
      </c>
      <c r="O43" s="88">
        <f>L43/'סכום נכסי הקרן'!$C$42</f>
        <v>2.1386910463569532E-5</v>
      </c>
    </row>
    <row r="44" spans="2:15">
      <c r="B44" s="86" t="s">
        <v>923</v>
      </c>
      <c r="C44" s="80" t="s">
        <v>924</v>
      </c>
      <c r="D44" s="93" t="s">
        <v>122</v>
      </c>
      <c r="E44" s="93" t="s">
        <v>290</v>
      </c>
      <c r="F44" s="80" t="s">
        <v>830</v>
      </c>
      <c r="G44" s="93" t="s">
        <v>424</v>
      </c>
      <c r="H44" s="93" t="s">
        <v>166</v>
      </c>
      <c r="I44" s="87">
        <v>13929.576337</v>
      </c>
      <c r="J44" s="89">
        <v>2933</v>
      </c>
      <c r="K44" s="80"/>
      <c r="L44" s="87">
        <v>408.55447397499989</v>
      </c>
      <c r="M44" s="88">
        <v>9.7165304275359475E-5</v>
      </c>
      <c r="N44" s="88">
        <f t="shared" si="1"/>
        <v>1.1310570213397717E-2</v>
      </c>
      <c r="O44" s="88">
        <f>L44/'סכום נכסי הקרן'!$C$42</f>
        <v>1.1239509046317986E-4</v>
      </c>
    </row>
    <row r="45" spans="2:15">
      <c r="B45" s="86" t="s">
        <v>925</v>
      </c>
      <c r="C45" s="80" t="s">
        <v>926</v>
      </c>
      <c r="D45" s="93" t="s">
        <v>122</v>
      </c>
      <c r="E45" s="93" t="s">
        <v>290</v>
      </c>
      <c r="F45" s="80" t="s">
        <v>605</v>
      </c>
      <c r="G45" s="93" t="s">
        <v>606</v>
      </c>
      <c r="H45" s="93" t="s">
        <v>166</v>
      </c>
      <c r="I45" s="87">
        <v>12828.315285000001</v>
      </c>
      <c r="J45" s="89">
        <v>700.4</v>
      </c>
      <c r="K45" s="80"/>
      <c r="L45" s="87">
        <v>89.849520256999995</v>
      </c>
      <c r="M45" s="88">
        <v>6.0872617346750159E-5</v>
      </c>
      <c r="N45" s="88">
        <f t="shared" si="1"/>
        <v>2.4874267013144614E-3</v>
      </c>
      <c r="O45" s="88">
        <f>L45/'סכום נכסי הקרן'!$C$42</f>
        <v>2.4717988911257835E-5</v>
      </c>
    </row>
    <row r="46" spans="2:15">
      <c r="B46" s="86" t="s">
        <v>927</v>
      </c>
      <c r="C46" s="80" t="s">
        <v>928</v>
      </c>
      <c r="D46" s="93" t="s">
        <v>122</v>
      </c>
      <c r="E46" s="93" t="s">
        <v>290</v>
      </c>
      <c r="F46" s="80" t="s">
        <v>817</v>
      </c>
      <c r="G46" s="93" t="s">
        <v>420</v>
      </c>
      <c r="H46" s="93" t="s">
        <v>166</v>
      </c>
      <c r="I46" s="87">
        <v>832.04502600000012</v>
      </c>
      <c r="J46" s="89">
        <v>12600</v>
      </c>
      <c r="K46" s="80"/>
      <c r="L46" s="87">
        <v>104.83767325399998</v>
      </c>
      <c r="M46" s="88">
        <v>5.6698463970450803E-5</v>
      </c>
      <c r="N46" s="88">
        <f t="shared" si="1"/>
        <v>2.902364164102078E-3</v>
      </c>
      <c r="O46" s="88">
        <f>L46/'סכום נכסי הקרן'!$C$42</f>
        <v>2.8841294172325365E-5</v>
      </c>
    </row>
    <row r="47" spans="2:15">
      <c r="B47" s="86" t="s">
        <v>929</v>
      </c>
      <c r="C47" s="80" t="s">
        <v>930</v>
      </c>
      <c r="D47" s="93" t="s">
        <v>122</v>
      </c>
      <c r="E47" s="93" t="s">
        <v>290</v>
      </c>
      <c r="F47" s="80" t="s">
        <v>931</v>
      </c>
      <c r="G47" s="93" t="s">
        <v>810</v>
      </c>
      <c r="H47" s="93" t="s">
        <v>166</v>
      </c>
      <c r="I47" s="87">
        <v>12218.855439000001</v>
      </c>
      <c r="J47" s="89">
        <v>1499</v>
      </c>
      <c r="K47" s="80"/>
      <c r="L47" s="87">
        <v>183.160643032</v>
      </c>
      <c r="M47" s="88">
        <v>1.122903198974846E-4</v>
      </c>
      <c r="N47" s="88">
        <f t="shared" si="1"/>
        <v>5.0706856620331099E-3</v>
      </c>
      <c r="O47" s="88">
        <f>L47/'סכום נכסי הקרן'!$C$42</f>
        <v>5.0388279542217288E-5</v>
      </c>
    </row>
    <row r="48" spans="2:15">
      <c r="B48" s="86" t="s">
        <v>932</v>
      </c>
      <c r="C48" s="80" t="s">
        <v>933</v>
      </c>
      <c r="D48" s="93" t="s">
        <v>122</v>
      </c>
      <c r="E48" s="93" t="s">
        <v>290</v>
      </c>
      <c r="F48" s="80" t="s">
        <v>934</v>
      </c>
      <c r="G48" s="93" t="s">
        <v>194</v>
      </c>
      <c r="H48" s="93" t="s">
        <v>166</v>
      </c>
      <c r="I48" s="87">
        <v>174.84407599999997</v>
      </c>
      <c r="J48" s="89">
        <v>2949</v>
      </c>
      <c r="K48" s="80"/>
      <c r="L48" s="87">
        <v>5.156151811</v>
      </c>
      <c r="M48" s="88">
        <v>5.0958670724340322E-6</v>
      </c>
      <c r="N48" s="88">
        <f t="shared" si="1"/>
        <v>1.4274477653332938E-4</v>
      </c>
      <c r="O48" s="88">
        <f>L48/'סכום נכסי הקרן'!$C$42</f>
        <v>1.4184795080097344E-6</v>
      </c>
    </row>
    <row r="49" spans="2:15">
      <c r="B49" s="86" t="s">
        <v>935</v>
      </c>
      <c r="C49" s="80" t="s">
        <v>936</v>
      </c>
      <c r="D49" s="93" t="s">
        <v>122</v>
      </c>
      <c r="E49" s="93" t="s">
        <v>290</v>
      </c>
      <c r="F49" s="80" t="s">
        <v>767</v>
      </c>
      <c r="G49" s="93" t="s">
        <v>648</v>
      </c>
      <c r="H49" s="93" t="s">
        <v>166</v>
      </c>
      <c r="I49" s="87">
        <v>401.04354799999999</v>
      </c>
      <c r="J49" s="89">
        <v>153300</v>
      </c>
      <c r="K49" s="80"/>
      <c r="L49" s="87">
        <v>614.79975834799995</v>
      </c>
      <c r="M49" s="88">
        <v>1.0997283554594212E-4</v>
      </c>
      <c r="N49" s="88">
        <f t="shared" si="1"/>
        <v>1.7020339457598285E-2</v>
      </c>
      <c r="O49" s="88">
        <f>L49/'סכום נכסי הקרן'!$C$42</f>
        <v>1.6913405398295294E-4</v>
      </c>
    </row>
    <row r="50" spans="2:15">
      <c r="B50" s="86" t="s">
        <v>937</v>
      </c>
      <c r="C50" s="80" t="s">
        <v>938</v>
      </c>
      <c r="D50" s="93" t="s">
        <v>122</v>
      </c>
      <c r="E50" s="93" t="s">
        <v>290</v>
      </c>
      <c r="F50" s="80" t="s">
        <v>939</v>
      </c>
      <c r="G50" s="93" t="s">
        <v>192</v>
      </c>
      <c r="H50" s="93" t="s">
        <v>166</v>
      </c>
      <c r="I50" s="87">
        <v>59093.081742000002</v>
      </c>
      <c r="J50" s="89">
        <v>434</v>
      </c>
      <c r="K50" s="80"/>
      <c r="L50" s="87">
        <v>256.463974759</v>
      </c>
      <c r="M50" s="88">
        <v>7.8566145304372788E-5</v>
      </c>
      <c r="N50" s="88">
        <f t="shared" si="1"/>
        <v>7.1000416798672264E-3</v>
      </c>
      <c r="O50" s="88">
        <f>L50/'סכום נכסי הקרן'!$C$42</f>
        <v>7.0554340925779079E-5</v>
      </c>
    </row>
    <row r="51" spans="2:15">
      <c r="B51" s="86" t="s">
        <v>940</v>
      </c>
      <c r="C51" s="80" t="s">
        <v>941</v>
      </c>
      <c r="D51" s="93" t="s">
        <v>122</v>
      </c>
      <c r="E51" s="93" t="s">
        <v>290</v>
      </c>
      <c r="F51" s="80" t="s">
        <v>942</v>
      </c>
      <c r="G51" s="93" t="s">
        <v>192</v>
      </c>
      <c r="H51" s="93" t="s">
        <v>166</v>
      </c>
      <c r="I51" s="87">
        <v>26239.853278000002</v>
      </c>
      <c r="J51" s="89">
        <v>1031</v>
      </c>
      <c r="K51" s="80"/>
      <c r="L51" s="87">
        <v>270.532887292</v>
      </c>
      <c r="M51" s="88">
        <v>6.1958085446675077E-5</v>
      </c>
      <c r="N51" s="88">
        <f t="shared" si="1"/>
        <v>7.4895305563013274E-3</v>
      </c>
      <c r="O51" s="88">
        <f>L51/'סכום נכסי הקרן'!$C$42</f>
        <v>7.4424759187217233E-5</v>
      </c>
    </row>
    <row r="52" spans="2:15">
      <c r="B52" s="86" t="s">
        <v>943</v>
      </c>
      <c r="C52" s="80" t="s">
        <v>944</v>
      </c>
      <c r="D52" s="93" t="s">
        <v>122</v>
      </c>
      <c r="E52" s="93" t="s">
        <v>290</v>
      </c>
      <c r="F52" s="80" t="s">
        <v>945</v>
      </c>
      <c r="G52" s="93" t="s">
        <v>946</v>
      </c>
      <c r="H52" s="93" t="s">
        <v>166</v>
      </c>
      <c r="I52" s="87">
        <v>395.26506000000001</v>
      </c>
      <c r="J52" s="89">
        <v>14290</v>
      </c>
      <c r="K52" s="80"/>
      <c r="L52" s="87">
        <v>56.483377028999996</v>
      </c>
      <c r="M52" s="88">
        <v>7.8155814511731133E-5</v>
      </c>
      <c r="N52" s="88">
        <f t="shared" si="1"/>
        <v>1.5637062924818517E-3</v>
      </c>
      <c r="O52" s="88">
        <f>L52/'סכום נכסי הקרן'!$C$42</f>
        <v>1.5538819607269365E-5</v>
      </c>
    </row>
    <row r="53" spans="2:15">
      <c r="B53" s="86" t="s">
        <v>947</v>
      </c>
      <c r="C53" s="80" t="s">
        <v>948</v>
      </c>
      <c r="D53" s="93" t="s">
        <v>122</v>
      </c>
      <c r="E53" s="93" t="s">
        <v>290</v>
      </c>
      <c r="F53" s="80" t="s">
        <v>949</v>
      </c>
      <c r="G53" s="93" t="s">
        <v>648</v>
      </c>
      <c r="H53" s="93" t="s">
        <v>166</v>
      </c>
      <c r="I53" s="87">
        <v>781.40333599999997</v>
      </c>
      <c r="J53" s="89">
        <v>10240</v>
      </c>
      <c r="K53" s="80"/>
      <c r="L53" s="87">
        <v>80.015701649999997</v>
      </c>
      <c r="M53" s="88">
        <v>2.1507873171910836E-5</v>
      </c>
      <c r="N53" s="88">
        <f t="shared" si="1"/>
        <v>2.2151837009181507E-3</v>
      </c>
      <c r="O53" s="88">
        <f>L53/'סכום נכסי הקרן'!$C$42</f>
        <v>2.2012663177877423E-5</v>
      </c>
    </row>
    <row r="54" spans="2:15">
      <c r="B54" s="86" t="s">
        <v>950</v>
      </c>
      <c r="C54" s="80" t="s">
        <v>951</v>
      </c>
      <c r="D54" s="93" t="s">
        <v>122</v>
      </c>
      <c r="E54" s="93" t="s">
        <v>290</v>
      </c>
      <c r="F54" s="80" t="s">
        <v>952</v>
      </c>
      <c r="G54" s="93" t="s">
        <v>953</v>
      </c>
      <c r="H54" s="93" t="s">
        <v>166</v>
      </c>
      <c r="I54" s="87">
        <v>2023.86662</v>
      </c>
      <c r="J54" s="89">
        <v>6056</v>
      </c>
      <c r="K54" s="80"/>
      <c r="L54" s="87">
        <v>122.56536253599999</v>
      </c>
      <c r="M54" s="88">
        <v>8.1836111739209621E-5</v>
      </c>
      <c r="N54" s="88">
        <f t="shared" si="1"/>
        <v>3.3931439428535127E-3</v>
      </c>
      <c r="O54" s="88">
        <f>L54/'סכום נכסי הקרן'!$C$42</f>
        <v>3.3718257631243356E-5</v>
      </c>
    </row>
    <row r="55" spans="2:15">
      <c r="B55" s="86" t="s">
        <v>954</v>
      </c>
      <c r="C55" s="80" t="s">
        <v>955</v>
      </c>
      <c r="D55" s="93" t="s">
        <v>122</v>
      </c>
      <c r="E55" s="93" t="s">
        <v>290</v>
      </c>
      <c r="F55" s="80" t="s">
        <v>416</v>
      </c>
      <c r="G55" s="93" t="s">
        <v>360</v>
      </c>
      <c r="H55" s="93" t="s">
        <v>166</v>
      </c>
      <c r="I55" s="87">
        <v>389.70858099999998</v>
      </c>
      <c r="J55" s="89">
        <v>265400</v>
      </c>
      <c r="K55" s="80"/>
      <c r="L55" s="87">
        <v>1034.2865746319999</v>
      </c>
      <c r="M55" s="88">
        <v>1.8238337151428217E-4</v>
      </c>
      <c r="N55" s="88">
        <f t="shared" si="1"/>
        <v>2.8633564599920877E-2</v>
      </c>
      <c r="O55" s="88">
        <f>L55/'סכום נכסי הקרן'!$C$42</f>
        <v>2.8453667876790771E-4</v>
      </c>
    </row>
    <row r="56" spans="2:15">
      <c r="B56" s="86" t="s">
        <v>956</v>
      </c>
      <c r="C56" s="80" t="s">
        <v>957</v>
      </c>
      <c r="D56" s="93" t="s">
        <v>122</v>
      </c>
      <c r="E56" s="93" t="s">
        <v>290</v>
      </c>
      <c r="F56" s="80" t="s">
        <v>958</v>
      </c>
      <c r="G56" s="93" t="s">
        <v>606</v>
      </c>
      <c r="H56" s="93" t="s">
        <v>166</v>
      </c>
      <c r="I56" s="87">
        <v>943.82601</v>
      </c>
      <c r="J56" s="89">
        <v>10140</v>
      </c>
      <c r="K56" s="80"/>
      <c r="L56" s="87">
        <v>95.70395743200001</v>
      </c>
      <c r="M56" s="88">
        <v>5.0450743967605931E-5</v>
      </c>
      <c r="N56" s="88">
        <f t="shared" si="1"/>
        <v>2.6495030630870053E-3</v>
      </c>
      <c r="O56" s="88">
        <f>L56/'סכום נכסי הקרן'!$C$42</f>
        <v>2.6328569721922009E-5</v>
      </c>
    </row>
    <row r="57" spans="2:15">
      <c r="B57" s="86" t="s">
        <v>959</v>
      </c>
      <c r="C57" s="80" t="s">
        <v>960</v>
      </c>
      <c r="D57" s="93" t="s">
        <v>122</v>
      </c>
      <c r="E57" s="93" t="s">
        <v>290</v>
      </c>
      <c r="F57" s="80" t="s">
        <v>961</v>
      </c>
      <c r="G57" s="93" t="s">
        <v>158</v>
      </c>
      <c r="H57" s="93" t="s">
        <v>166</v>
      </c>
      <c r="I57" s="87">
        <v>767.68354699999998</v>
      </c>
      <c r="J57" s="89">
        <v>32140</v>
      </c>
      <c r="K57" s="80"/>
      <c r="L57" s="87">
        <v>246.73349201899998</v>
      </c>
      <c r="M57" s="88">
        <v>1.4521155660591497E-4</v>
      </c>
      <c r="N57" s="88">
        <f t="shared" si="1"/>
        <v>6.8306594670860749E-3</v>
      </c>
      <c r="O57" s="88">
        <f>L57/'סכום נכסי הקרן'!$C$42</f>
        <v>6.7877443333220504E-5</v>
      </c>
    </row>
    <row r="58" spans="2:15">
      <c r="B58" s="86" t="s">
        <v>962</v>
      </c>
      <c r="C58" s="80" t="s">
        <v>963</v>
      </c>
      <c r="D58" s="93" t="s">
        <v>122</v>
      </c>
      <c r="E58" s="93" t="s">
        <v>290</v>
      </c>
      <c r="F58" s="80" t="s">
        <v>964</v>
      </c>
      <c r="G58" s="93" t="s">
        <v>810</v>
      </c>
      <c r="H58" s="93" t="s">
        <v>166</v>
      </c>
      <c r="I58" s="87">
        <v>1804.294846</v>
      </c>
      <c r="J58" s="89">
        <v>6647</v>
      </c>
      <c r="K58" s="80"/>
      <c r="L58" s="87">
        <v>119.93147843</v>
      </c>
      <c r="M58" s="88">
        <v>1.2847610062136241E-4</v>
      </c>
      <c r="N58" s="88">
        <f t="shared" si="1"/>
        <v>3.3202265401262375E-3</v>
      </c>
      <c r="O58" s="88">
        <f>L58/'סכום נכסי הקרן'!$C$42</f>
        <v>3.2993664801594119E-5</v>
      </c>
    </row>
    <row r="59" spans="2:15">
      <c r="B59" s="86" t="s">
        <v>965</v>
      </c>
      <c r="C59" s="80" t="s">
        <v>966</v>
      </c>
      <c r="D59" s="93" t="s">
        <v>122</v>
      </c>
      <c r="E59" s="93" t="s">
        <v>290</v>
      </c>
      <c r="F59" s="80" t="s">
        <v>967</v>
      </c>
      <c r="G59" s="93" t="s">
        <v>968</v>
      </c>
      <c r="H59" s="93" t="s">
        <v>166</v>
      </c>
      <c r="I59" s="87">
        <v>580.80717700000002</v>
      </c>
      <c r="J59" s="89">
        <v>26410</v>
      </c>
      <c r="K59" s="80"/>
      <c r="L59" s="87">
        <v>153.39117542700001</v>
      </c>
      <c r="M59" s="88">
        <v>8.5495600004474931E-5</v>
      </c>
      <c r="N59" s="88">
        <f t="shared" si="1"/>
        <v>4.2465369254256506E-3</v>
      </c>
      <c r="O59" s="88">
        <f>L59/'סכום נכסי הקרן'!$C$42</f>
        <v>4.2198571149232169E-5</v>
      </c>
    </row>
    <row r="60" spans="2:15">
      <c r="B60" s="86" t="s">
        <v>969</v>
      </c>
      <c r="C60" s="80" t="s">
        <v>970</v>
      </c>
      <c r="D60" s="93" t="s">
        <v>122</v>
      </c>
      <c r="E60" s="93" t="s">
        <v>290</v>
      </c>
      <c r="F60" s="80" t="s">
        <v>971</v>
      </c>
      <c r="G60" s="93" t="s">
        <v>968</v>
      </c>
      <c r="H60" s="93" t="s">
        <v>166</v>
      </c>
      <c r="I60" s="87">
        <v>2059.6759310000002</v>
      </c>
      <c r="J60" s="89">
        <v>13900</v>
      </c>
      <c r="K60" s="80"/>
      <c r="L60" s="87">
        <v>286.29495446300001</v>
      </c>
      <c r="M60" s="88">
        <v>9.1611685343342354E-5</v>
      </c>
      <c r="N60" s="88">
        <f t="shared" si="1"/>
        <v>7.9258933397297997E-3</v>
      </c>
      <c r="O60" s="88">
        <f>L60/'סכום נכסי הקרן'!$C$42</f>
        <v>7.8760971561383209E-5</v>
      </c>
    </row>
    <row r="61" spans="2:15">
      <c r="B61" s="86" t="s">
        <v>972</v>
      </c>
      <c r="C61" s="80" t="s">
        <v>973</v>
      </c>
      <c r="D61" s="93" t="s">
        <v>122</v>
      </c>
      <c r="E61" s="93" t="s">
        <v>290</v>
      </c>
      <c r="F61" s="80" t="s">
        <v>695</v>
      </c>
      <c r="G61" s="93" t="s">
        <v>159</v>
      </c>
      <c r="H61" s="93" t="s">
        <v>166</v>
      </c>
      <c r="I61" s="87">
        <v>10737.6096</v>
      </c>
      <c r="J61" s="89">
        <v>1291</v>
      </c>
      <c r="K61" s="80"/>
      <c r="L61" s="87">
        <v>138.62253993599998</v>
      </c>
      <c r="M61" s="88">
        <v>5.3688047999999996E-5</v>
      </c>
      <c r="N61" s="88">
        <f t="shared" si="1"/>
        <v>3.8376766648787189E-3</v>
      </c>
      <c r="O61" s="88">
        <f>L61/'סכום נכסי הקרן'!$C$42</f>
        <v>3.8135656096855949E-5</v>
      </c>
    </row>
    <row r="62" spans="2:15">
      <c r="B62" s="86" t="s">
        <v>974</v>
      </c>
      <c r="C62" s="80" t="s">
        <v>975</v>
      </c>
      <c r="D62" s="93" t="s">
        <v>122</v>
      </c>
      <c r="E62" s="93" t="s">
        <v>290</v>
      </c>
      <c r="F62" s="80" t="s">
        <v>845</v>
      </c>
      <c r="G62" s="93" t="s">
        <v>148</v>
      </c>
      <c r="H62" s="93" t="s">
        <v>166</v>
      </c>
      <c r="I62" s="87">
        <v>1007014.930686</v>
      </c>
      <c r="J62" s="89">
        <v>62.7</v>
      </c>
      <c r="K62" s="87">
        <v>43.999503363999999</v>
      </c>
      <c r="L62" s="87">
        <v>675.39786490799997</v>
      </c>
      <c r="M62" s="88">
        <v>1.9437012963865967E-4</v>
      </c>
      <c r="N62" s="88">
        <f t="shared" si="1"/>
        <v>1.8697959414558488E-2</v>
      </c>
      <c r="O62" s="88">
        <f>L62/'סכום נכסי הקרן'!$C$42</f>
        <v>1.8580485335627074E-4</v>
      </c>
    </row>
    <row r="63" spans="2:15">
      <c r="B63" s="86" t="s">
        <v>976</v>
      </c>
      <c r="C63" s="80" t="s">
        <v>977</v>
      </c>
      <c r="D63" s="93" t="s">
        <v>122</v>
      </c>
      <c r="E63" s="93" t="s">
        <v>290</v>
      </c>
      <c r="F63" s="80" t="s">
        <v>431</v>
      </c>
      <c r="G63" s="93" t="s">
        <v>360</v>
      </c>
      <c r="H63" s="93" t="s">
        <v>166</v>
      </c>
      <c r="I63" s="87">
        <v>179.36621400000001</v>
      </c>
      <c r="J63" s="89">
        <v>76010</v>
      </c>
      <c r="K63" s="80"/>
      <c r="L63" s="87">
        <v>136.33625959</v>
      </c>
      <c r="M63" s="88">
        <v>3.3192018129142383E-5</v>
      </c>
      <c r="N63" s="88">
        <f t="shared" si="1"/>
        <v>3.7743824506963368E-3</v>
      </c>
      <c r="O63" s="88">
        <f>L63/'סכום נכסי הקרן'!$C$42</f>
        <v>3.750669055448232E-5</v>
      </c>
    </row>
    <row r="64" spans="2:15">
      <c r="B64" s="86" t="s">
        <v>978</v>
      </c>
      <c r="C64" s="80" t="s">
        <v>979</v>
      </c>
      <c r="D64" s="93" t="s">
        <v>122</v>
      </c>
      <c r="E64" s="93" t="s">
        <v>290</v>
      </c>
      <c r="F64" s="80" t="s">
        <v>980</v>
      </c>
      <c r="G64" s="93" t="s">
        <v>420</v>
      </c>
      <c r="H64" s="93" t="s">
        <v>166</v>
      </c>
      <c r="I64" s="87">
        <v>3004.073355</v>
      </c>
      <c r="J64" s="89">
        <v>5188</v>
      </c>
      <c r="K64" s="80"/>
      <c r="L64" s="87">
        <v>155.851325664</v>
      </c>
      <c r="M64" s="88">
        <v>4.4409479805762647E-5</v>
      </c>
      <c r="N64" s="88">
        <f t="shared" si="1"/>
        <v>4.3146446167216671E-3</v>
      </c>
      <c r="O64" s="88">
        <f>L64/'סכום נכסי הקרן'!$C$42</f>
        <v>4.2875369045361801E-5</v>
      </c>
    </row>
    <row r="65" spans="2:15">
      <c r="B65" s="86" t="s">
        <v>981</v>
      </c>
      <c r="C65" s="80" t="s">
        <v>982</v>
      </c>
      <c r="D65" s="93" t="s">
        <v>122</v>
      </c>
      <c r="E65" s="93" t="s">
        <v>290</v>
      </c>
      <c r="F65" s="80" t="s">
        <v>527</v>
      </c>
      <c r="G65" s="93" t="s">
        <v>360</v>
      </c>
      <c r="H65" s="93" t="s">
        <v>166</v>
      </c>
      <c r="I65" s="87">
        <v>21616.897638999995</v>
      </c>
      <c r="J65" s="89">
        <v>943</v>
      </c>
      <c r="K65" s="80"/>
      <c r="L65" s="87">
        <v>203.84734473499998</v>
      </c>
      <c r="M65" s="88">
        <v>2.6591317607687251E-5</v>
      </c>
      <c r="N65" s="88">
        <f t="shared" si="1"/>
        <v>5.6433838136869651E-3</v>
      </c>
      <c r="O65" s="88">
        <f>L65/'סכום נכסי הקרן'!$C$42</f>
        <v>5.6079280026612361E-5</v>
      </c>
    </row>
    <row r="66" spans="2:15">
      <c r="B66" s="86" t="s">
        <v>983</v>
      </c>
      <c r="C66" s="80" t="s">
        <v>984</v>
      </c>
      <c r="D66" s="93" t="s">
        <v>122</v>
      </c>
      <c r="E66" s="93" t="s">
        <v>290</v>
      </c>
      <c r="F66" s="80" t="s">
        <v>985</v>
      </c>
      <c r="G66" s="93" t="s">
        <v>968</v>
      </c>
      <c r="H66" s="93" t="s">
        <v>166</v>
      </c>
      <c r="I66" s="87">
        <v>6099.1930499999989</v>
      </c>
      <c r="J66" s="89">
        <v>6951</v>
      </c>
      <c r="K66" s="80"/>
      <c r="L66" s="87">
        <v>423.95490888399996</v>
      </c>
      <c r="M66" s="88">
        <v>9.8238551862362127E-5</v>
      </c>
      <c r="N66" s="88">
        <f t="shared" si="1"/>
        <v>1.1736921438144714E-2</v>
      </c>
      <c r="O66" s="88">
        <f>L66/'סכום נכסי הקרן'!$C$42</f>
        <v>1.1663181624891998E-4</v>
      </c>
    </row>
    <row r="67" spans="2:15">
      <c r="B67" s="86" t="s">
        <v>986</v>
      </c>
      <c r="C67" s="80" t="s">
        <v>987</v>
      </c>
      <c r="D67" s="93" t="s">
        <v>122</v>
      </c>
      <c r="E67" s="93" t="s">
        <v>290</v>
      </c>
      <c r="F67" s="80" t="s">
        <v>988</v>
      </c>
      <c r="G67" s="93" t="s">
        <v>953</v>
      </c>
      <c r="H67" s="93" t="s">
        <v>166</v>
      </c>
      <c r="I67" s="87">
        <v>11315.789925999999</v>
      </c>
      <c r="J67" s="89">
        <v>2885</v>
      </c>
      <c r="K67" s="80"/>
      <c r="L67" s="87">
        <v>326.46053935999998</v>
      </c>
      <c r="M67" s="88">
        <v>1.0510298027188053E-4</v>
      </c>
      <c r="N67" s="88">
        <f t="shared" si="1"/>
        <v>9.0378519574379115E-3</v>
      </c>
      <c r="O67" s="88">
        <f>L67/'סכום נכסי הקרן'!$C$42</f>
        <v>8.9810696470970383E-5</v>
      </c>
    </row>
    <row r="68" spans="2:15">
      <c r="B68" s="86" t="s">
        <v>989</v>
      </c>
      <c r="C68" s="80" t="s">
        <v>990</v>
      </c>
      <c r="D68" s="93" t="s">
        <v>122</v>
      </c>
      <c r="E68" s="93" t="s">
        <v>290</v>
      </c>
      <c r="F68" s="80" t="s">
        <v>991</v>
      </c>
      <c r="G68" s="93" t="s">
        <v>810</v>
      </c>
      <c r="H68" s="93" t="s">
        <v>166</v>
      </c>
      <c r="I68" s="87">
        <v>421.48203200000006</v>
      </c>
      <c r="J68" s="89">
        <v>13550</v>
      </c>
      <c r="K68" s="80"/>
      <c r="L68" s="87">
        <v>57.110815336000002</v>
      </c>
      <c r="M68" s="88">
        <v>4.7632720361296317E-5</v>
      </c>
      <c r="N68" s="88">
        <f t="shared" si="1"/>
        <v>1.5810765221035035E-3</v>
      </c>
      <c r="O68" s="88">
        <f>L68/'סכום נכסי הקרן'!$C$42</f>
        <v>1.5711430580266923E-5</v>
      </c>
    </row>
    <row r="69" spans="2:15">
      <c r="B69" s="86" t="s">
        <v>992</v>
      </c>
      <c r="C69" s="80" t="s">
        <v>993</v>
      </c>
      <c r="D69" s="93" t="s">
        <v>122</v>
      </c>
      <c r="E69" s="93" t="s">
        <v>290</v>
      </c>
      <c r="F69" s="80" t="s">
        <v>547</v>
      </c>
      <c r="G69" s="93" t="s">
        <v>420</v>
      </c>
      <c r="H69" s="93" t="s">
        <v>166</v>
      </c>
      <c r="I69" s="87">
        <v>2770.1082719999999</v>
      </c>
      <c r="J69" s="89">
        <v>5049</v>
      </c>
      <c r="K69" s="80"/>
      <c r="L69" s="87">
        <v>139.86276665</v>
      </c>
      <c r="M69" s="88">
        <v>4.378099780137894E-5</v>
      </c>
      <c r="N69" s="88">
        <f t="shared" si="1"/>
        <v>3.8720115509778661E-3</v>
      </c>
      <c r="O69" s="88">
        <f>L69/'סכום נכסי הקרן'!$C$42</f>
        <v>3.8476847792442215E-5</v>
      </c>
    </row>
    <row r="70" spans="2:15">
      <c r="B70" s="86" t="s">
        <v>994</v>
      </c>
      <c r="C70" s="80" t="s">
        <v>995</v>
      </c>
      <c r="D70" s="93" t="s">
        <v>122</v>
      </c>
      <c r="E70" s="93" t="s">
        <v>290</v>
      </c>
      <c r="F70" s="80" t="s">
        <v>996</v>
      </c>
      <c r="G70" s="93" t="s">
        <v>886</v>
      </c>
      <c r="H70" s="93" t="s">
        <v>166</v>
      </c>
      <c r="I70" s="87">
        <v>321.72717</v>
      </c>
      <c r="J70" s="89">
        <v>13140</v>
      </c>
      <c r="K70" s="80"/>
      <c r="L70" s="87">
        <v>42.274950191000002</v>
      </c>
      <c r="M70" s="88">
        <v>1.1522150618857707E-5</v>
      </c>
      <c r="N70" s="88">
        <f t="shared" si="1"/>
        <v>1.1703550514354562E-3</v>
      </c>
      <c r="O70" s="88">
        <f>L70/'סכום נכסי הקרן'!$C$42</f>
        <v>1.1630020361335267E-5</v>
      </c>
    </row>
    <row r="71" spans="2:15">
      <c r="B71" s="86" t="s">
        <v>997</v>
      </c>
      <c r="C71" s="80" t="s">
        <v>998</v>
      </c>
      <c r="D71" s="93" t="s">
        <v>122</v>
      </c>
      <c r="E71" s="93" t="s">
        <v>290</v>
      </c>
      <c r="F71" s="80" t="s">
        <v>999</v>
      </c>
      <c r="G71" s="93" t="s">
        <v>148</v>
      </c>
      <c r="H71" s="93" t="s">
        <v>166</v>
      </c>
      <c r="I71" s="87">
        <v>8061.179048</v>
      </c>
      <c r="J71" s="89">
        <v>2064</v>
      </c>
      <c r="K71" s="80"/>
      <c r="L71" s="87">
        <v>166.38273555400002</v>
      </c>
      <c r="M71" s="88">
        <v>8.2108045391163166E-5</v>
      </c>
      <c r="N71" s="88">
        <f t="shared" si="1"/>
        <v>4.6061999871670903E-3</v>
      </c>
      <c r="O71" s="88">
        <f>L71/'סכום נכסי הקרן'!$C$42</f>
        <v>4.5772605136732595E-5</v>
      </c>
    </row>
    <row r="72" spans="2:15">
      <c r="B72" s="86" t="s">
        <v>1000</v>
      </c>
      <c r="C72" s="80" t="s">
        <v>1001</v>
      </c>
      <c r="D72" s="93" t="s">
        <v>122</v>
      </c>
      <c r="E72" s="93" t="s">
        <v>290</v>
      </c>
      <c r="F72" s="80" t="s">
        <v>627</v>
      </c>
      <c r="G72" s="93" t="s">
        <v>193</v>
      </c>
      <c r="H72" s="93" t="s">
        <v>166</v>
      </c>
      <c r="I72" s="87">
        <v>3614.346039</v>
      </c>
      <c r="J72" s="89">
        <v>1099</v>
      </c>
      <c r="K72" s="80"/>
      <c r="L72" s="87">
        <v>39.721662964000004</v>
      </c>
      <c r="M72" s="88">
        <v>2.453923669613569E-5</v>
      </c>
      <c r="N72" s="88">
        <f t="shared" si="1"/>
        <v>1.0996689219336111E-3</v>
      </c>
      <c r="O72" s="88">
        <f>L72/'סכום נכסי הקרן'!$C$42</f>
        <v>1.0927600079248948E-5</v>
      </c>
    </row>
    <row r="73" spans="2:15">
      <c r="B73" s="86" t="s">
        <v>1002</v>
      </c>
      <c r="C73" s="80" t="s">
        <v>1003</v>
      </c>
      <c r="D73" s="93" t="s">
        <v>122</v>
      </c>
      <c r="E73" s="93" t="s">
        <v>290</v>
      </c>
      <c r="F73" s="80" t="s">
        <v>1004</v>
      </c>
      <c r="G73" s="93" t="s">
        <v>153</v>
      </c>
      <c r="H73" s="93" t="s">
        <v>166</v>
      </c>
      <c r="I73" s="87">
        <v>1090.619007</v>
      </c>
      <c r="J73" s="89">
        <v>7901</v>
      </c>
      <c r="K73" s="80"/>
      <c r="L73" s="87">
        <v>86.169807749</v>
      </c>
      <c r="M73" s="88">
        <v>1.0011307338657917E-4</v>
      </c>
      <c r="N73" s="88">
        <f t="shared" si="1"/>
        <v>2.3855562058529467E-3</v>
      </c>
      <c r="O73" s="88">
        <f>L73/'סכום נכסי הקרן'!$C$42</f>
        <v>2.370568419656155E-5</v>
      </c>
    </row>
    <row r="74" spans="2:15">
      <c r="B74" s="86" t="s">
        <v>1005</v>
      </c>
      <c r="C74" s="80" t="s">
        <v>1006</v>
      </c>
      <c r="D74" s="93" t="s">
        <v>122</v>
      </c>
      <c r="E74" s="93" t="s">
        <v>290</v>
      </c>
      <c r="F74" s="80" t="s">
        <v>1007</v>
      </c>
      <c r="G74" s="93" t="s">
        <v>473</v>
      </c>
      <c r="H74" s="93" t="s">
        <v>166</v>
      </c>
      <c r="I74" s="87">
        <v>660.37039600000003</v>
      </c>
      <c r="J74" s="89">
        <v>15440</v>
      </c>
      <c r="K74" s="80"/>
      <c r="L74" s="87">
        <v>101.961189088</v>
      </c>
      <c r="M74" s="88">
        <v>6.9163542978575E-5</v>
      </c>
      <c r="N74" s="88">
        <f t="shared" si="1"/>
        <v>2.8227305333386552E-3</v>
      </c>
      <c r="O74" s="88">
        <f>L74/'סכום נכסי הקרן'!$C$42</f>
        <v>2.804996102424373E-5</v>
      </c>
    </row>
    <row r="75" spans="2:15">
      <c r="B75" s="86" t="s">
        <v>1008</v>
      </c>
      <c r="C75" s="80" t="s">
        <v>1009</v>
      </c>
      <c r="D75" s="93" t="s">
        <v>122</v>
      </c>
      <c r="E75" s="93" t="s">
        <v>290</v>
      </c>
      <c r="F75" s="80" t="s">
        <v>795</v>
      </c>
      <c r="G75" s="93" t="s">
        <v>193</v>
      </c>
      <c r="H75" s="93" t="s">
        <v>166</v>
      </c>
      <c r="I75" s="87">
        <v>6240.3136270000005</v>
      </c>
      <c r="J75" s="89">
        <v>1537</v>
      </c>
      <c r="K75" s="80"/>
      <c r="L75" s="87">
        <v>95.91362044100002</v>
      </c>
      <c r="M75" s="88">
        <v>3.8017693026383675E-5</v>
      </c>
      <c r="N75" s="88">
        <f t="shared" si="1"/>
        <v>2.6553074498591642E-3</v>
      </c>
      <c r="O75" s="88">
        <f>L75/'סכום נכסי הקרן'!$C$42</f>
        <v>2.6386248916165225E-5</v>
      </c>
    </row>
    <row r="76" spans="2:15">
      <c r="B76" s="86" t="s">
        <v>1010</v>
      </c>
      <c r="C76" s="80" t="s">
        <v>1011</v>
      </c>
      <c r="D76" s="93" t="s">
        <v>122</v>
      </c>
      <c r="E76" s="93" t="s">
        <v>290</v>
      </c>
      <c r="F76" s="80" t="s">
        <v>1012</v>
      </c>
      <c r="G76" s="93" t="s">
        <v>810</v>
      </c>
      <c r="H76" s="93" t="s">
        <v>166</v>
      </c>
      <c r="I76" s="87">
        <v>161.935495</v>
      </c>
      <c r="J76" s="89">
        <v>29110</v>
      </c>
      <c r="K76" s="80"/>
      <c r="L76" s="87">
        <v>47.139422549999999</v>
      </c>
      <c r="M76" s="88">
        <v>7.0288438458576889E-5</v>
      </c>
      <c r="N76" s="88">
        <f t="shared" si="1"/>
        <v>1.3050248682466379E-3</v>
      </c>
      <c r="O76" s="88">
        <f>L76/'סכום נכסי הקרן'!$C$42</f>
        <v>1.2968257599385677E-5</v>
      </c>
    </row>
    <row r="77" spans="2:15">
      <c r="B77" s="86" t="s">
        <v>1013</v>
      </c>
      <c r="C77" s="80" t="s">
        <v>1014</v>
      </c>
      <c r="D77" s="93" t="s">
        <v>122</v>
      </c>
      <c r="E77" s="93" t="s">
        <v>290</v>
      </c>
      <c r="F77" s="80" t="s">
        <v>1015</v>
      </c>
      <c r="G77" s="93" t="s">
        <v>1016</v>
      </c>
      <c r="H77" s="93" t="s">
        <v>166</v>
      </c>
      <c r="I77" s="87">
        <v>819.11299399999984</v>
      </c>
      <c r="J77" s="89">
        <v>2370</v>
      </c>
      <c r="K77" s="80"/>
      <c r="L77" s="87">
        <v>19.412977967</v>
      </c>
      <c r="M77" s="88">
        <v>2.0341775495674215E-5</v>
      </c>
      <c r="N77" s="88">
        <f t="shared" si="1"/>
        <v>5.3743592185049064E-4</v>
      </c>
      <c r="O77" s="88">
        <f>L77/'סכום נכסי הקרן'!$C$42</f>
        <v>5.3405936141925535E-6</v>
      </c>
    </row>
    <row r="78" spans="2:15">
      <c r="B78" s="86" t="s">
        <v>1017</v>
      </c>
      <c r="C78" s="80" t="s">
        <v>1018</v>
      </c>
      <c r="D78" s="93" t="s">
        <v>122</v>
      </c>
      <c r="E78" s="93" t="s">
        <v>290</v>
      </c>
      <c r="F78" s="80" t="s">
        <v>1019</v>
      </c>
      <c r="G78" s="93" t="s">
        <v>886</v>
      </c>
      <c r="H78" s="93" t="s">
        <v>166</v>
      </c>
      <c r="I78" s="87">
        <v>450.89197399999995</v>
      </c>
      <c r="J78" s="89">
        <v>3797</v>
      </c>
      <c r="K78" s="80"/>
      <c r="L78" s="87">
        <v>17.120368269</v>
      </c>
      <c r="M78" s="88">
        <v>1.173243519236371E-5</v>
      </c>
      <c r="N78" s="88">
        <f t="shared" si="1"/>
        <v>4.7396648359209999E-4</v>
      </c>
      <c r="O78" s="88">
        <f>L78/'סכום נכסי הקרן'!$C$42</f>
        <v>4.7098868399002196E-6</v>
      </c>
    </row>
    <row r="79" spans="2:15">
      <c r="B79" s="86" t="s">
        <v>1020</v>
      </c>
      <c r="C79" s="80" t="s">
        <v>1021</v>
      </c>
      <c r="D79" s="93" t="s">
        <v>122</v>
      </c>
      <c r="E79" s="93" t="s">
        <v>290</v>
      </c>
      <c r="F79" s="80" t="s">
        <v>1022</v>
      </c>
      <c r="G79" s="93" t="s">
        <v>681</v>
      </c>
      <c r="H79" s="93" t="s">
        <v>166</v>
      </c>
      <c r="I79" s="87">
        <v>1066.954303</v>
      </c>
      <c r="J79" s="89">
        <v>9538</v>
      </c>
      <c r="K79" s="80"/>
      <c r="L79" s="87">
        <v>101.766101409</v>
      </c>
      <c r="M79" s="88">
        <v>8.4830166469834227E-5</v>
      </c>
      <c r="N79" s="88">
        <f t="shared" si="1"/>
        <v>2.8173296552877316E-3</v>
      </c>
      <c r="O79" s="88">
        <f>L79/'סכום נכסי הקרן'!$C$42</f>
        <v>2.7996291565882106E-5</v>
      </c>
    </row>
    <row r="80" spans="2:15">
      <c r="B80" s="86" t="s">
        <v>1023</v>
      </c>
      <c r="C80" s="80" t="s">
        <v>1024</v>
      </c>
      <c r="D80" s="93" t="s">
        <v>122</v>
      </c>
      <c r="E80" s="93" t="s">
        <v>290</v>
      </c>
      <c r="F80" s="80" t="s">
        <v>1025</v>
      </c>
      <c r="G80" s="93" t="s">
        <v>1016</v>
      </c>
      <c r="H80" s="93" t="s">
        <v>166</v>
      </c>
      <c r="I80" s="87">
        <v>6176.2792129999989</v>
      </c>
      <c r="J80" s="89">
        <v>206.6</v>
      </c>
      <c r="K80" s="80"/>
      <c r="L80" s="87">
        <v>12.760192854000001</v>
      </c>
      <c r="M80" s="88">
        <v>1.7511638994670042E-5</v>
      </c>
      <c r="N80" s="88">
        <f t="shared" si="1"/>
        <v>3.5325780625399369E-4</v>
      </c>
      <c r="O80" s="88">
        <f>L80/'סכום נכסי הקרן'!$C$42</f>
        <v>3.5103838570146495E-6</v>
      </c>
    </row>
    <row r="81" spans="2:15">
      <c r="B81" s="86" t="s">
        <v>1026</v>
      </c>
      <c r="C81" s="80" t="s">
        <v>1027</v>
      </c>
      <c r="D81" s="93" t="s">
        <v>122</v>
      </c>
      <c r="E81" s="93" t="s">
        <v>290</v>
      </c>
      <c r="F81" s="80" t="s">
        <v>462</v>
      </c>
      <c r="G81" s="93" t="s">
        <v>360</v>
      </c>
      <c r="H81" s="93" t="s">
        <v>166</v>
      </c>
      <c r="I81" s="87">
        <v>11196.237590000001</v>
      </c>
      <c r="J81" s="89">
        <v>2064</v>
      </c>
      <c r="K81" s="80"/>
      <c r="L81" s="87">
        <v>231.09034386100004</v>
      </c>
      <c r="M81" s="88">
        <v>6.2803936978360732E-5</v>
      </c>
      <c r="N81" s="88">
        <f t="shared" si="1"/>
        <v>6.3975888807376114E-3</v>
      </c>
      <c r="O81" s="88">
        <f>L81/'סכום נכסי הקרן'!$C$42</f>
        <v>6.3573946090267987E-5</v>
      </c>
    </row>
    <row r="82" spans="2:15">
      <c r="B82" s="86" t="s">
        <v>1028</v>
      </c>
      <c r="C82" s="80" t="s">
        <v>1029</v>
      </c>
      <c r="D82" s="93" t="s">
        <v>122</v>
      </c>
      <c r="E82" s="93" t="s">
        <v>290</v>
      </c>
      <c r="F82" s="80" t="s">
        <v>1030</v>
      </c>
      <c r="G82" s="93" t="s">
        <v>153</v>
      </c>
      <c r="H82" s="93" t="s">
        <v>166</v>
      </c>
      <c r="I82" s="87">
        <v>707.52948300000003</v>
      </c>
      <c r="J82" s="89">
        <v>19860</v>
      </c>
      <c r="K82" s="80"/>
      <c r="L82" s="87">
        <v>140.51535538900001</v>
      </c>
      <c r="M82" s="88">
        <v>5.1361128091638667E-5</v>
      </c>
      <c r="N82" s="88">
        <f t="shared" si="1"/>
        <v>3.890078054279416E-3</v>
      </c>
      <c r="O82" s="88">
        <f>L82/'סכום נכסי הקרן'!$C$42</f>
        <v>3.8656377757299844E-5</v>
      </c>
    </row>
    <row r="83" spans="2:15">
      <c r="B83" s="86" t="s">
        <v>1031</v>
      </c>
      <c r="C83" s="80" t="s">
        <v>1032</v>
      </c>
      <c r="D83" s="93" t="s">
        <v>122</v>
      </c>
      <c r="E83" s="93" t="s">
        <v>290</v>
      </c>
      <c r="F83" s="80" t="s">
        <v>1033</v>
      </c>
      <c r="G83" s="93" t="s">
        <v>148</v>
      </c>
      <c r="H83" s="93" t="s">
        <v>166</v>
      </c>
      <c r="I83" s="87">
        <v>76878.364662000007</v>
      </c>
      <c r="J83" s="89">
        <v>264.3</v>
      </c>
      <c r="K83" s="80"/>
      <c r="L83" s="87">
        <v>203.189517795</v>
      </c>
      <c r="M83" s="88">
        <v>6.840824315900526E-5</v>
      </c>
      <c r="N83" s="88">
        <f t="shared" si="1"/>
        <v>5.62517229412938E-3</v>
      </c>
      <c r="O83" s="88">
        <f>L83/'סכום נכסי הקרן'!$C$42</f>
        <v>5.5898309010162455E-5</v>
      </c>
    </row>
    <row r="84" spans="2:15">
      <c r="B84" s="86" t="s">
        <v>1034</v>
      </c>
      <c r="C84" s="80" t="s">
        <v>1035</v>
      </c>
      <c r="D84" s="93" t="s">
        <v>122</v>
      </c>
      <c r="E84" s="93" t="s">
        <v>290</v>
      </c>
      <c r="F84" s="80" t="s">
        <v>848</v>
      </c>
      <c r="G84" s="93" t="s">
        <v>148</v>
      </c>
      <c r="H84" s="93" t="s">
        <v>166</v>
      </c>
      <c r="I84" s="87">
        <v>8195.8088270000007</v>
      </c>
      <c r="J84" s="89">
        <v>801</v>
      </c>
      <c r="K84" s="80"/>
      <c r="L84" s="87">
        <v>65.648428700000011</v>
      </c>
      <c r="M84" s="88">
        <v>9.2612638930108786E-5</v>
      </c>
      <c r="N84" s="88">
        <f t="shared" si="1"/>
        <v>1.8174349065040957E-3</v>
      </c>
      <c r="O84" s="88">
        <f>L84/'סכום נכסי הקרן'!$C$42</f>
        <v>1.8060164684314827E-5</v>
      </c>
    </row>
    <row r="85" spans="2:15">
      <c r="B85" s="83"/>
      <c r="C85" s="80"/>
      <c r="D85" s="80"/>
      <c r="E85" s="80"/>
      <c r="F85" s="80"/>
      <c r="G85" s="80"/>
      <c r="H85" s="80"/>
      <c r="I85" s="87"/>
      <c r="J85" s="89"/>
      <c r="K85" s="80"/>
      <c r="L85" s="80"/>
      <c r="M85" s="80"/>
      <c r="N85" s="88"/>
      <c r="O85" s="80"/>
    </row>
    <row r="86" spans="2:15">
      <c r="B86" s="99" t="s">
        <v>28</v>
      </c>
      <c r="C86" s="82"/>
      <c r="D86" s="82"/>
      <c r="E86" s="82"/>
      <c r="F86" s="82"/>
      <c r="G86" s="82"/>
      <c r="H86" s="82"/>
      <c r="I86" s="90"/>
      <c r="J86" s="92"/>
      <c r="K86" s="82"/>
      <c r="L86" s="90">
        <v>1068.3200861389998</v>
      </c>
      <c r="M86" s="82"/>
      <c r="N86" s="91">
        <f t="shared" ref="N86:N122" si="2">L86/$L$11</f>
        <v>2.9575760674199966E-2</v>
      </c>
      <c r="O86" s="91">
        <f>L86/'סכום נכסי הקרן'!$C$42</f>
        <v>2.9389944395168344E-4</v>
      </c>
    </row>
    <row r="87" spans="2:15">
      <c r="B87" s="86" t="s">
        <v>1036</v>
      </c>
      <c r="C87" s="80" t="s">
        <v>1037</v>
      </c>
      <c r="D87" s="93" t="s">
        <v>122</v>
      </c>
      <c r="E87" s="93" t="s">
        <v>290</v>
      </c>
      <c r="F87" s="80" t="s">
        <v>1038</v>
      </c>
      <c r="G87" s="93" t="s">
        <v>953</v>
      </c>
      <c r="H87" s="93" t="s">
        <v>166</v>
      </c>
      <c r="I87" s="87">
        <v>412.16376199999996</v>
      </c>
      <c r="J87" s="89">
        <v>2711</v>
      </c>
      <c r="K87" s="80"/>
      <c r="L87" s="87">
        <v>11.173759577</v>
      </c>
      <c r="M87" s="88">
        <v>8.5436388239503263E-5</v>
      </c>
      <c r="N87" s="88">
        <f t="shared" si="2"/>
        <v>3.0933841211837316E-4</v>
      </c>
      <c r="O87" s="88">
        <f>L87/'סכום נכסי הקרן'!$C$42</f>
        <v>3.0739492490482099E-6</v>
      </c>
    </row>
    <row r="88" spans="2:15">
      <c r="B88" s="86" t="s">
        <v>1039</v>
      </c>
      <c r="C88" s="80" t="s">
        <v>1040</v>
      </c>
      <c r="D88" s="93" t="s">
        <v>122</v>
      </c>
      <c r="E88" s="93" t="s">
        <v>290</v>
      </c>
      <c r="F88" s="80" t="s">
        <v>1041</v>
      </c>
      <c r="G88" s="93" t="s">
        <v>158</v>
      </c>
      <c r="H88" s="93" t="s">
        <v>166</v>
      </c>
      <c r="I88" s="87">
        <v>5387.4215930000009</v>
      </c>
      <c r="J88" s="89">
        <v>333.5</v>
      </c>
      <c r="K88" s="80"/>
      <c r="L88" s="87">
        <v>17.967051013999999</v>
      </c>
      <c r="M88" s="88">
        <v>9.7974674301073522E-5</v>
      </c>
      <c r="N88" s="88">
        <f t="shared" si="2"/>
        <v>4.9740635574090141E-4</v>
      </c>
      <c r="O88" s="88">
        <f>L88/'סכום נכסי הקרן'!$C$42</f>
        <v>4.9428128994095123E-6</v>
      </c>
    </row>
    <row r="89" spans="2:15">
      <c r="B89" s="86" t="s">
        <v>1042</v>
      </c>
      <c r="C89" s="80" t="s">
        <v>1043</v>
      </c>
      <c r="D89" s="93" t="s">
        <v>122</v>
      </c>
      <c r="E89" s="93" t="s">
        <v>290</v>
      </c>
      <c r="F89" s="80" t="s">
        <v>1044</v>
      </c>
      <c r="G89" s="93" t="s">
        <v>158</v>
      </c>
      <c r="H89" s="93" t="s">
        <v>166</v>
      </c>
      <c r="I89" s="87">
        <v>1714.8851159999999</v>
      </c>
      <c r="J89" s="89">
        <v>1838</v>
      </c>
      <c r="K89" s="80"/>
      <c r="L89" s="87">
        <v>31.519588434000003</v>
      </c>
      <c r="M89" s="88">
        <v>1.2918400530089158E-4</v>
      </c>
      <c r="N89" s="88">
        <f t="shared" si="2"/>
        <v>8.7259971629137197E-4</v>
      </c>
      <c r="O89" s="88">
        <f>L89/'סכום נכסי הקרן'!$C$42</f>
        <v>8.6711741495172273E-6</v>
      </c>
    </row>
    <row r="90" spans="2:15">
      <c r="B90" s="86" t="s">
        <v>1045</v>
      </c>
      <c r="C90" s="80" t="s">
        <v>1046</v>
      </c>
      <c r="D90" s="93" t="s">
        <v>122</v>
      </c>
      <c r="E90" s="93" t="s">
        <v>290</v>
      </c>
      <c r="F90" s="80" t="s">
        <v>1047</v>
      </c>
      <c r="G90" s="93" t="s">
        <v>153</v>
      </c>
      <c r="H90" s="93" t="s">
        <v>166</v>
      </c>
      <c r="I90" s="87">
        <v>185.16699199999999</v>
      </c>
      <c r="J90" s="89">
        <v>8330</v>
      </c>
      <c r="K90" s="80"/>
      <c r="L90" s="87">
        <v>15.424410436000001</v>
      </c>
      <c r="M90" s="88">
        <v>1.8452116791230691E-5</v>
      </c>
      <c r="N90" s="88">
        <f t="shared" si="2"/>
        <v>4.2701497193081266E-4</v>
      </c>
      <c r="O90" s="88">
        <f>L90/'סכום נכסי הקרן'!$C$42</f>
        <v>4.2433215561886592E-6</v>
      </c>
    </row>
    <row r="91" spans="2:15">
      <c r="B91" s="86" t="s">
        <v>1048</v>
      </c>
      <c r="C91" s="80" t="s">
        <v>1049</v>
      </c>
      <c r="D91" s="93" t="s">
        <v>122</v>
      </c>
      <c r="E91" s="93" t="s">
        <v>290</v>
      </c>
      <c r="F91" s="80" t="s">
        <v>1050</v>
      </c>
      <c r="G91" s="93" t="s">
        <v>1051</v>
      </c>
      <c r="H91" s="93" t="s">
        <v>166</v>
      </c>
      <c r="I91" s="87">
        <v>25295.880385000004</v>
      </c>
      <c r="J91" s="89">
        <v>146.6</v>
      </c>
      <c r="K91" s="80"/>
      <c r="L91" s="87">
        <v>37.083760646000002</v>
      </c>
      <c r="M91" s="88">
        <v>7.5445905153985707E-5</v>
      </c>
      <c r="N91" s="88">
        <f t="shared" si="2"/>
        <v>1.026640277568186E-3</v>
      </c>
      <c r="O91" s="88">
        <f>L91/'סכום נכסי הקרן'!$C$42</f>
        <v>1.0201901822220964E-5</v>
      </c>
    </row>
    <row r="92" spans="2:15">
      <c r="B92" s="86" t="s">
        <v>1052</v>
      </c>
      <c r="C92" s="80" t="s">
        <v>1053</v>
      </c>
      <c r="D92" s="93" t="s">
        <v>122</v>
      </c>
      <c r="E92" s="93" t="s">
        <v>290</v>
      </c>
      <c r="F92" s="80" t="s">
        <v>1054</v>
      </c>
      <c r="G92" s="93" t="s">
        <v>946</v>
      </c>
      <c r="H92" s="93" t="s">
        <v>166</v>
      </c>
      <c r="I92" s="87">
        <v>2699.270904</v>
      </c>
      <c r="J92" s="89">
        <v>272.8</v>
      </c>
      <c r="K92" s="80"/>
      <c r="L92" s="87">
        <v>7.3636110300000004</v>
      </c>
      <c r="M92" s="88">
        <v>1.3983442571791736E-4</v>
      </c>
      <c r="N92" s="88">
        <f t="shared" si="2"/>
        <v>2.0385687805259803E-4</v>
      </c>
      <c r="O92" s="88">
        <f>L92/'סכום נכסי הקרן'!$C$42</f>
        <v>2.0257610198222021E-6</v>
      </c>
    </row>
    <row r="93" spans="2:15">
      <c r="B93" s="86" t="s">
        <v>1055</v>
      </c>
      <c r="C93" s="80" t="s">
        <v>1056</v>
      </c>
      <c r="D93" s="93" t="s">
        <v>122</v>
      </c>
      <c r="E93" s="93" t="s">
        <v>290</v>
      </c>
      <c r="F93" s="80" t="s">
        <v>1057</v>
      </c>
      <c r="G93" s="93" t="s">
        <v>191</v>
      </c>
      <c r="H93" s="93" t="s">
        <v>166</v>
      </c>
      <c r="I93" s="87">
        <v>1620.0950779999998</v>
      </c>
      <c r="J93" s="89">
        <v>557.6</v>
      </c>
      <c r="K93" s="80"/>
      <c r="L93" s="87">
        <v>9.0336501620000007</v>
      </c>
      <c r="M93" s="88">
        <v>3.7619354690847771E-5</v>
      </c>
      <c r="N93" s="88">
        <f t="shared" si="2"/>
        <v>2.500908469963909E-4</v>
      </c>
      <c r="O93" s="88">
        <f>L93/'סכום נכסי הקרן'!$C$42</f>
        <v>2.4851959575722076E-6</v>
      </c>
    </row>
    <row r="94" spans="2:15">
      <c r="B94" s="86" t="s">
        <v>1058</v>
      </c>
      <c r="C94" s="80" t="s">
        <v>1059</v>
      </c>
      <c r="D94" s="93" t="s">
        <v>122</v>
      </c>
      <c r="E94" s="93" t="s">
        <v>290</v>
      </c>
      <c r="F94" s="80" t="s">
        <v>1060</v>
      </c>
      <c r="G94" s="93" t="s">
        <v>648</v>
      </c>
      <c r="H94" s="93" t="s">
        <v>166</v>
      </c>
      <c r="I94" s="87">
        <v>1698.343026</v>
      </c>
      <c r="J94" s="89">
        <v>1326</v>
      </c>
      <c r="K94" s="80"/>
      <c r="L94" s="87">
        <v>22.520028527999997</v>
      </c>
      <c r="M94" s="88">
        <v>6.0668598167578264E-5</v>
      </c>
      <c r="N94" s="88">
        <f t="shared" si="2"/>
        <v>6.2345263630438172E-4</v>
      </c>
      <c r="O94" s="88">
        <f>L94/'סכום נכסי הקרן'!$C$42</f>
        <v>6.195356567782526E-6</v>
      </c>
    </row>
    <row r="95" spans="2:15">
      <c r="B95" s="86" t="s">
        <v>1061</v>
      </c>
      <c r="C95" s="80" t="s">
        <v>1062</v>
      </c>
      <c r="D95" s="93" t="s">
        <v>122</v>
      </c>
      <c r="E95" s="93" t="s">
        <v>290</v>
      </c>
      <c r="F95" s="80" t="s">
        <v>1063</v>
      </c>
      <c r="G95" s="93" t="s">
        <v>158</v>
      </c>
      <c r="H95" s="93" t="s">
        <v>166</v>
      </c>
      <c r="I95" s="87">
        <v>906.64426000000003</v>
      </c>
      <c r="J95" s="89">
        <v>1934</v>
      </c>
      <c r="K95" s="80"/>
      <c r="L95" s="87">
        <v>17.534499988</v>
      </c>
      <c r="M95" s="88">
        <v>1.3628809108278054E-4</v>
      </c>
      <c r="N95" s="88">
        <f t="shared" si="2"/>
        <v>4.8543145627927032E-4</v>
      </c>
      <c r="O95" s="88">
        <f>L95/'סכום נכסי הקרן'!$C$42</f>
        <v>4.8238162544231058E-6</v>
      </c>
    </row>
    <row r="96" spans="2:15">
      <c r="B96" s="86" t="s">
        <v>1064</v>
      </c>
      <c r="C96" s="80" t="s">
        <v>1065</v>
      </c>
      <c r="D96" s="93" t="s">
        <v>122</v>
      </c>
      <c r="E96" s="93" t="s">
        <v>290</v>
      </c>
      <c r="F96" s="80" t="s">
        <v>1066</v>
      </c>
      <c r="G96" s="93" t="s">
        <v>810</v>
      </c>
      <c r="H96" s="93" t="s">
        <v>166</v>
      </c>
      <c r="I96" s="87">
        <v>150.685689</v>
      </c>
      <c r="J96" s="89">
        <v>0</v>
      </c>
      <c r="K96" s="80"/>
      <c r="L96" s="87">
        <v>1.48E-7</v>
      </c>
      <c r="M96" s="88">
        <v>9.531452606090968E-5</v>
      </c>
      <c r="N96" s="88">
        <f t="shared" si="2"/>
        <v>4.0972856698793482E-12</v>
      </c>
      <c r="O96" s="88">
        <f>L96/'סכום נכסי הקרן'!$C$42</f>
        <v>4.071543563507399E-14</v>
      </c>
    </row>
    <row r="97" spans="2:15">
      <c r="B97" s="86" t="s">
        <v>1067</v>
      </c>
      <c r="C97" s="80" t="s">
        <v>1068</v>
      </c>
      <c r="D97" s="93" t="s">
        <v>122</v>
      </c>
      <c r="E97" s="93" t="s">
        <v>290</v>
      </c>
      <c r="F97" s="80" t="s">
        <v>1069</v>
      </c>
      <c r="G97" s="93" t="s">
        <v>1051</v>
      </c>
      <c r="H97" s="93" t="s">
        <v>166</v>
      </c>
      <c r="I97" s="87">
        <v>1688.153454</v>
      </c>
      <c r="J97" s="89">
        <v>286.8</v>
      </c>
      <c r="K97" s="80"/>
      <c r="L97" s="87">
        <v>4.8416241090000005</v>
      </c>
      <c r="M97" s="88">
        <v>6.2336025699604738E-5</v>
      </c>
      <c r="N97" s="88">
        <f t="shared" si="2"/>
        <v>1.3403727757262208E-4</v>
      </c>
      <c r="O97" s="88">
        <f>L97/'סכום נכסי הקרן'!$C$42</f>
        <v>1.3319515863460268E-6</v>
      </c>
    </row>
    <row r="98" spans="2:15">
      <c r="B98" s="86" t="s">
        <v>1070</v>
      </c>
      <c r="C98" s="80" t="s">
        <v>1071</v>
      </c>
      <c r="D98" s="93" t="s">
        <v>122</v>
      </c>
      <c r="E98" s="93" t="s">
        <v>290</v>
      </c>
      <c r="F98" s="80" t="s">
        <v>1072</v>
      </c>
      <c r="G98" s="93" t="s">
        <v>189</v>
      </c>
      <c r="H98" s="93" t="s">
        <v>166</v>
      </c>
      <c r="I98" s="87">
        <v>1044.3312699999999</v>
      </c>
      <c r="J98" s="89">
        <v>580</v>
      </c>
      <c r="K98" s="80"/>
      <c r="L98" s="87">
        <v>6.0571213669999988</v>
      </c>
      <c r="M98" s="88">
        <v>1.7311622923927284E-4</v>
      </c>
      <c r="N98" s="88">
        <f t="shared" si="2"/>
        <v>1.6768754444411557E-4</v>
      </c>
      <c r="O98" s="88">
        <f>L98/'סכום נכסי הקרן'!$C$42</f>
        <v>1.6663401023778367E-6</v>
      </c>
    </row>
    <row r="99" spans="2:15">
      <c r="B99" s="86" t="s">
        <v>1073</v>
      </c>
      <c r="C99" s="80" t="s">
        <v>1074</v>
      </c>
      <c r="D99" s="93" t="s">
        <v>122</v>
      </c>
      <c r="E99" s="93" t="s">
        <v>290</v>
      </c>
      <c r="F99" s="80" t="s">
        <v>1075</v>
      </c>
      <c r="G99" s="93" t="s">
        <v>192</v>
      </c>
      <c r="H99" s="93" t="s">
        <v>166</v>
      </c>
      <c r="I99" s="87">
        <v>2386.279853</v>
      </c>
      <c r="J99" s="89">
        <v>266.39999999999998</v>
      </c>
      <c r="K99" s="80"/>
      <c r="L99" s="87">
        <v>6.3570495239999989</v>
      </c>
      <c r="M99" s="88">
        <v>1.5471883816796774E-4</v>
      </c>
      <c r="N99" s="88">
        <f t="shared" si="2"/>
        <v>1.7599086430674681E-4</v>
      </c>
      <c r="O99" s="88">
        <f>L99/'סכום נכסי הקרן'!$C$42</f>
        <v>1.7488516265094572E-6</v>
      </c>
    </row>
    <row r="100" spans="2:15">
      <c r="B100" s="86" t="s">
        <v>1076</v>
      </c>
      <c r="C100" s="80" t="s">
        <v>1077</v>
      </c>
      <c r="D100" s="93" t="s">
        <v>122</v>
      </c>
      <c r="E100" s="93" t="s">
        <v>290</v>
      </c>
      <c r="F100" s="80" t="s">
        <v>1078</v>
      </c>
      <c r="G100" s="93" t="s">
        <v>473</v>
      </c>
      <c r="H100" s="93" t="s">
        <v>166</v>
      </c>
      <c r="I100" s="87">
        <v>3340.6119600000002</v>
      </c>
      <c r="J100" s="89">
        <v>694</v>
      </c>
      <c r="K100" s="80"/>
      <c r="L100" s="87">
        <v>23.183847017000002</v>
      </c>
      <c r="M100" s="88">
        <v>9.7587864256660717E-5</v>
      </c>
      <c r="N100" s="88">
        <f t="shared" si="2"/>
        <v>6.4183002807722417E-4</v>
      </c>
      <c r="O100" s="88">
        <f>L100/'סכום נכסי הקרן'!$C$42</f>
        <v>6.3779758850950382E-6</v>
      </c>
    </row>
    <row r="101" spans="2:15">
      <c r="B101" s="86" t="s">
        <v>1079</v>
      </c>
      <c r="C101" s="80" t="s">
        <v>1080</v>
      </c>
      <c r="D101" s="93" t="s">
        <v>122</v>
      </c>
      <c r="E101" s="93" t="s">
        <v>290</v>
      </c>
      <c r="F101" s="80" t="s">
        <v>1081</v>
      </c>
      <c r="G101" s="93" t="s">
        <v>473</v>
      </c>
      <c r="H101" s="93" t="s">
        <v>166</v>
      </c>
      <c r="I101" s="87">
        <v>2085.6251550000002</v>
      </c>
      <c r="J101" s="89">
        <v>1786</v>
      </c>
      <c r="K101" s="80"/>
      <c r="L101" s="87">
        <v>37.249265260999998</v>
      </c>
      <c r="M101" s="88">
        <v>1.3739507035911684E-4</v>
      </c>
      <c r="N101" s="88">
        <f t="shared" si="2"/>
        <v>1.0312221673474994E-3</v>
      </c>
      <c r="O101" s="88">
        <f>L101/'סכום נכסי הקרן'!$C$42</f>
        <v>1.0247432852621912E-5</v>
      </c>
    </row>
    <row r="102" spans="2:15">
      <c r="B102" s="86" t="s">
        <v>1082</v>
      </c>
      <c r="C102" s="80" t="s">
        <v>1083</v>
      </c>
      <c r="D102" s="93" t="s">
        <v>122</v>
      </c>
      <c r="E102" s="93" t="s">
        <v>290</v>
      </c>
      <c r="F102" s="80" t="s">
        <v>1084</v>
      </c>
      <c r="G102" s="93" t="s">
        <v>648</v>
      </c>
      <c r="H102" s="93" t="s">
        <v>166</v>
      </c>
      <c r="I102" s="87">
        <v>111078.72</v>
      </c>
      <c r="J102" s="89">
        <v>88</v>
      </c>
      <c r="K102" s="80"/>
      <c r="L102" s="87">
        <v>97.749273599999995</v>
      </c>
      <c r="M102" s="88">
        <v>1.1774764007207023E-4</v>
      </c>
      <c r="N102" s="88">
        <f t="shared" si="2"/>
        <v>2.7061263375837545E-3</v>
      </c>
      <c r="O102" s="88">
        <f>L102/'סכום נכסי הקרן'!$C$42</f>
        <v>2.6891244984027277E-5</v>
      </c>
    </row>
    <row r="103" spans="2:15">
      <c r="B103" s="86" t="s">
        <v>1085</v>
      </c>
      <c r="C103" s="80" t="s">
        <v>1086</v>
      </c>
      <c r="D103" s="93" t="s">
        <v>122</v>
      </c>
      <c r="E103" s="93" t="s">
        <v>290</v>
      </c>
      <c r="F103" s="80" t="s">
        <v>1087</v>
      </c>
      <c r="G103" s="93" t="s">
        <v>148</v>
      </c>
      <c r="H103" s="93" t="s">
        <v>166</v>
      </c>
      <c r="I103" s="87">
        <v>1963.007824</v>
      </c>
      <c r="J103" s="89">
        <v>856.2</v>
      </c>
      <c r="K103" s="80"/>
      <c r="L103" s="87">
        <v>16.807272989000001</v>
      </c>
      <c r="M103" s="88">
        <v>9.8145483925803716E-5</v>
      </c>
      <c r="N103" s="88">
        <f t="shared" si="2"/>
        <v>4.652986403214861E-4</v>
      </c>
      <c r="O103" s="88">
        <f>L103/'סכום נכסי הקרן'!$C$42</f>
        <v>4.6237529836807239E-6</v>
      </c>
    </row>
    <row r="104" spans="2:15">
      <c r="B104" s="86" t="s">
        <v>1088</v>
      </c>
      <c r="C104" s="80" t="s">
        <v>1089</v>
      </c>
      <c r="D104" s="93" t="s">
        <v>122</v>
      </c>
      <c r="E104" s="93" t="s">
        <v>290</v>
      </c>
      <c r="F104" s="80" t="s">
        <v>1090</v>
      </c>
      <c r="G104" s="93" t="s">
        <v>681</v>
      </c>
      <c r="H104" s="93" t="s">
        <v>166</v>
      </c>
      <c r="I104" s="87">
        <v>1446.794157</v>
      </c>
      <c r="J104" s="89">
        <v>1814</v>
      </c>
      <c r="K104" s="80"/>
      <c r="L104" s="87">
        <v>26.244846007</v>
      </c>
      <c r="M104" s="88">
        <v>9.9734508327499726E-5</v>
      </c>
      <c r="N104" s="88">
        <f t="shared" si="2"/>
        <v>7.2657183413967115E-4</v>
      </c>
      <c r="O104" s="88">
        <f>L104/'סכום נכסי הקרן'!$C$42</f>
        <v>7.2200698537191694E-6</v>
      </c>
    </row>
    <row r="105" spans="2:15">
      <c r="B105" s="86" t="s">
        <v>1091</v>
      </c>
      <c r="C105" s="80" t="s">
        <v>1092</v>
      </c>
      <c r="D105" s="93" t="s">
        <v>122</v>
      </c>
      <c r="E105" s="93" t="s">
        <v>290</v>
      </c>
      <c r="F105" s="80" t="s">
        <v>1093</v>
      </c>
      <c r="G105" s="93" t="s">
        <v>158</v>
      </c>
      <c r="H105" s="93" t="s">
        <v>166</v>
      </c>
      <c r="I105" s="87">
        <v>1447.9938070000001</v>
      </c>
      <c r="J105" s="89">
        <v>610.79999999999995</v>
      </c>
      <c r="K105" s="80"/>
      <c r="L105" s="87">
        <v>8.8443461790000004</v>
      </c>
      <c r="M105" s="88">
        <v>1.256429080522524E-4</v>
      </c>
      <c r="N105" s="88">
        <f t="shared" si="2"/>
        <v>2.4485008688289776E-4</v>
      </c>
      <c r="O105" s="88">
        <f>L105/'סכום נכסי הקרן'!$C$42</f>
        <v>2.4331176188201831E-6</v>
      </c>
    </row>
    <row r="106" spans="2:15">
      <c r="B106" s="86" t="s">
        <v>1094</v>
      </c>
      <c r="C106" s="80" t="s">
        <v>1095</v>
      </c>
      <c r="D106" s="93" t="s">
        <v>122</v>
      </c>
      <c r="E106" s="93" t="s">
        <v>290</v>
      </c>
      <c r="F106" s="80" t="s">
        <v>1096</v>
      </c>
      <c r="G106" s="93" t="s">
        <v>606</v>
      </c>
      <c r="H106" s="93" t="s">
        <v>166</v>
      </c>
      <c r="I106" s="87">
        <v>607.39078300000006</v>
      </c>
      <c r="J106" s="89">
        <v>22180</v>
      </c>
      <c r="K106" s="80"/>
      <c r="L106" s="87">
        <v>134.719275678</v>
      </c>
      <c r="M106" s="88">
        <v>1.6639968061954002E-4</v>
      </c>
      <c r="N106" s="88">
        <f t="shared" si="2"/>
        <v>3.7296172817026674E-3</v>
      </c>
      <c r="O106" s="88">
        <f>L106/'סכום נכסי הקרן'!$C$42</f>
        <v>3.7061851335617552E-5</v>
      </c>
    </row>
    <row r="107" spans="2:15">
      <c r="B107" s="86" t="s">
        <v>1097</v>
      </c>
      <c r="C107" s="80" t="s">
        <v>1098</v>
      </c>
      <c r="D107" s="93" t="s">
        <v>122</v>
      </c>
      <c r="E107" s="93" t="s">
        <v>290</v>
      </c>
      <c r="F107" s="80" t="s">
        <v>1099</v>
      </c>
      <c r="G107" s="93" t="s">
        <v>153</v>
      </c>
      <c r="H107" s="93" t="s">
        <v>166</v>
      </c>
      <c r="I107" s="87">
        <v>312.55083400000001</v>
      </c>
      <c r="J107" s="89">
        <v>17520</v>
      </c>
      <c r="K107" s="80"/>
      <c r="L107" s="87">
        <v>54.758906103000001</v>
      </c>
      <c r="M107" s="88">
        <v>2.4605051520502317E-5</v>
      </c>
      <c r="N107" s="88">
        <f t="shared" si="2"/>
        <v>1.5159654140141263E-3</v>
      </c>
      <c r="O107" s="88">
        <f>L107/'סכום נכסי הקרן'!$C$42</f>
        <v>1.5064410249214572E-5</v>
      </c>
    </row>
    <row r="108" spans="2:15">
      <c r="B108" s="86" t="s">
        <v>1100</v>
      </c>
      <c r="C108" s="80" t="s">
        <v>1101</v>
      </c>
      <c r="D108" s="93" t="s">
        <v>122</v>
      </c>
      <c r="E108" s="93" t="s">
        <v>290</v>
      </c>
      <c r="F108" s="80" t="s">
        <v>1102</v>
      </c>
      <c r="G108" s="93" t="s">
        <v>153</v>
      </c>
      <c r="H108" s="93" t="s">
        <v>166</v>
      </c>
      <c r="I108" s="87">
        <v>1501.346151</v>
      </c>
      <c r="J108" s="89">
        <v>1481</v>
      </c>
      <c r="K108" s="80"/>
      <c r="L108" s="87">
        <v>22.234936490000003</v>
      </c>
      <c r="M108" s="88">
        <v>1.0429769654575647E-4</v>
      </c>
      <c r="N108" s="88">
        <f t="shared" si="2"/>
        <v>6.1556004494023255E-4</v>
      </c>
      <c r="O108" s="88">
        <f>L108/'סכום נכסי הקרן'!$C$42</f>
        <v>6.1169265237064395E-6</v>
      </c>
    </row>
    <row r="109" spans="2:15">
      <c r="B109" s="86" t="s">
        <v>1103</v>
      </c>
      <c r="C109" s="80" t="s">
        <v>1104</v>
      </c>
      <c r="D109" s="93" t="s">
        <v>122</v>
      </c>
      <c r="E109" s="93" t="s">
        <v>290</v>
      </c>
      <c r="F109" s="80" t="s">
        <v>1105</v>
      </c>
      <c r="G109" s="93" t="s">
        <v>681</v>
      </c>
      <c r="H109" s="93" t="s">
        <v>166</v>
      </c>
      <c r="I109" s="87">
        <v>61.014516999999998</v>
      </c>
      <c r="J109" s="89">
        <v>13790</v>
      </c>
      <c r="K109" s="80"/>
      <c r="L109" s="87">
        <v>8.4139018219999997</v>
      </c>
      <c r="M109" s="88">
        <v>1.8351202048589639E-5</v>
      </c>
      <c r="N109" s="88">
        <f t="shared" si="2"/>
        <v>2.329335092098131E-4</v>
      </c>
      <c r="O109" s="88">
        <f>L109/'סכום נכסי הקרן'!$C$42</f>
        <v>2.3147005275234646E-6</v>
      </c>
    </row>
    <row r="110" spans="2:15">
      <c r="B110" s="86" t="s">
        <v>1106</v>
      </c>
      <c r="C110" s="80" t="s">
        <v>1107</v>
      </c>
      <c r="D110" s="93" t="s">
        <v>122</v>
      </c>
      <c r="E110" s="93" t="s">
        <v>290</v>
      </c>
      <c r="F110" s="80" t="s">
        <v>1108</v>
      </c>
      <c r="G110" s="93" t="s">
        <v>153</v>
      </c>
      <c r="H110" s="93" t="s">
        <v>166</v>
      </c>
      <c r="I110" s="87">
        <v>3923.8718290000002</v>
      </c>
      <c r="J110" s="89">
        <v>546.79999999999995</v>
      </c>
      <c r="K110" s="80"/>
      <c r="L110" s="87">
        <v>21.455731154000002</v>
      </c>
      <c r="M110" s="88">
        <v>9.9037385966675958E-5</v>
      </c>
      <c r="N110" s="88">
        <f t="shared" si="2"/>
        <v>5.9398824185181152E-4</v>
      </c>
      <c r="O110" s="88">
        <f>L110/'סכום נכסי הקרן'!$C$42</f>
        <v>5.9025637892171545E-6</v>
      </c>
    </row>
    <row r="111" spans="2:15">
      <c r="B111" s="86" t="s">
        <v>1109</v>
      </c>
      <c r="C111" s="80" t="s">
        <v>1110</v>
      </c>
      <c r="D111" s="93" t="s">
        <v>122</v>
      </c>
      <c r="E111" s="93" t="s">
        <v>290</v>
      </c>
      <c r="F111" s="80" t="s">
        <v>1111</v>
      </c>
      <c r="G111" s="93" t="s">
        <v>153</v>
      </c>
      <c r="H111" s="93" t="s">
        <v>166</v>
      </c>
      <c r="I111" s="87">
        <v>6418.8220659999988</v>
      </c>
      <c r="J111" s="89">
        <v>47.4</v>
      </c>
      <c r="K111" s="80"/>
      <c r="L111" s="87">
        <v>3.0425216620000004</v>
      </c>
      <c r="M111" s="88">
        <v>3.6711545536055147E-5</v>
      </c>
      <c r="N111" s="88">
        <f t="shared" si="2"/>
        <v>8.4230273013581752E-5</v>
      </c>
      <c r="O111" s="88">
        <f>L111/'סכום נכסי הקרן'!$C$42</f>
        <v>8.3701077633431989E-7</v>
      </c>
    </row>
    <row r="112" spans="2:15">
      <c r="B112" s="86" t="s">
        <v>1112</v>
      </c>
      <c r="C112" s="80" t="s">
        <v>1113</v>
      </c>
      <c r="D112" s="93" t="s">
        <v>122</v>
      </c>
      <c r="E112" s="93" t="s">
        <v>290</v>
      </c>
      <c r="F112" s="80" t="s">
        <v>1114</v>
      </c>
      <c r="G112" s="93" t="s">
        <v>158</v>
      </c>
      <c r="H112" s="93" t="s">
        <v>166</v>
      </c>
      <c r="I112" s="87">
        <v>29379.632752000001</v>
      </c>
      <c r="J112" s="89">
        <v>168.9</v>
      </c>
      <c r="K112" s="80"/>
      <c r="L112" s="87">
        <v>49.622199720000005</v>
      </c>
      <c r="M112" s="88">
        <v>6.3388406202748301E-5</v>
      </c>
      <c r="N112" s="88">
        <f t="shared" si="2"/>
        <v>1.3737589717611285E-3</v>
      </c>
      <c r="O112" s="88">
        <f>L112/'סכום נכסי הקרן'!$C$42</f>
        <v>1.3651280261962477E-5</v>
      </c>
    </row>
    <row r="113" spans="2:15">
      <c r="B113" s="86" t="s">
        <v>1115</v>
      </c>
      <c r="C113" s="80" t="s">
        <v>1116</v>
      </c>
      <c r="D113" s="93" t="s">
        <v>122</v>
      </c>
      <c r="E113" s="93" t="s">
        <v>290</v>
      </c>
      <c r="F113" s="80" t="s">
        <v>1117</v>
      </c>
      <c r="G113" s="93" t="s">
        <v>922</v>
      </c>
      <c r="H113" s="93" t="s">
        <v>166</v>
      </c>
      <c r="I113" s="87">
        <v>720.74372900000003</v>
      </c>
      <c r="J113" s="89">
        <v>1998</v>
      </c>
      <c r="K113" s="80"/>
      <c r="L113" s="87">
        <v>14.400459704000001</v>
      </c>
      <c r="M113" s="88">
        <v>6.844186213243813E-5</v>
      </c>
      <c r="N113" s="88">
        <f t="shared" si="2"/>
        <v>3.9866754854644732E-4</v>
      </c>
      <c r="O113" s="88">
        <f>L113/'סכום נכסי הקרן'!$C$42</f>
        <v>3.9616283121195177E-6</v>
      </c>
    </row>
    <row r="114" spans="2:15">
      <c r="B114" s="86" t="s">
        <v>1118</v>
      </c>
      <c r="C114" s="80" t="s">
        <v>1119</v>
      </c>
      <c r="D114" s="93" t="s">
        <v>122</v>
      </c>
      <c r="E114" s="93" t="s">
        <v>290</v>
      </c>
      <c r="F114" s="80" t="s">
        <v>1120</v>
      </c>
      <c r="G114" s="93" t="s">
        <v>648</v>
      </c>
      <c r="H114" s="93" t="s">
        <v>166</v>
      </c>
      <c r="I114" s="87">
        <v>383.22158400000001</v>
      </c>
      <c r="J114" s="89">
        <v>30690</v>
      </c>
      <c r="K114" s="80"/>
      <c r="L114" s="87">
        <v>117.61070413000002</v>
      </c>
      <c r="M114" s="88">
        <v>4.9735507400141025E-5</v>
      </c>
      <c r="N114" s="88">
        <f t="shared" si="2"/>
        <v>3.2559773828126281E-3</v>
      </c>
      <c r="O114" s="88">
        <f>L114/'סכום נכסי הקרן'!$C$42</f>
        <v>3.2355209824329364E-5</v>
      </c>
    </row>
    <row r="115" spans="2:15">
      <c r="B115" s="86" t="s">
        <v>1121</v>
      </c>
      <c r="C115" s="80" t="s">
        <v>1122</v>
      </c>
      <c r="D115" s="93" t="s">
        <v>122</v>
      </c>
      <c r="E115" s="93" t="s">
        <v>290</v>
      </c>
      <c r="F115" s="80" t="s">
        <v>1123</v>
      </c>
      <c r="G115" s="93" t="s">
        <v>606</v>
      </c>
      <c r="H115" s="93" t="s">
        <v>166</v>
      </c>
      <c r="I115" s="87">
        <v>18.874780000000001</v>
      </c>
      <c r="J115" s="89">
        <v>60.8</v>
      </c>
      <c r="K115" s="80"/>
      <c r="L115" s="87">
        <v>1.1475862999999999E-2</v>
      </c>
      <c r="M115" s="88">
        <v>2.753190346640551E-6</v>
      </c>
      <c r="N115" s="88">
        <f t="shared" si="2"/>
        <v>3.1770195283377448E-7</v>
      </c>
      <c r="O115" s="88">
        <f>L115/'סכום נכסי הקרן'!$C$42</f>
        <v>3.1570591981988316E-9</v>
      </c>
    </row>
    <row r="116" spans="2:15">
      <c r="B116" s="86" t="s">
        <v>1124</v>
      </c>
      <c r="C116" s="80" t="s">
        <v>1125</v>
      </c>
      <c r="D116" s="93" t="s">
        <v>122</v>
      </c>
      <c r="E116" s="93" t="s">
        <v>290</v>
      </c>
      <c r="F116" s="80" t="s">
        <v>1126</v>
      </c>
      <c r="G116" s="93" t="s">
        <v>473</v>
      </c>
      <c r="H116" s="93" t="s">
        <v>166</v>
      </c>
      <c r="I116" s="87">
        <v>911.22440600000004</v>
      </c>
      <c r="J116" s="89">
        <v>615</v>
      </c>
      <c r="K116" s="80"/>
      <c r="L116" s="87">
        <v>5.6040300959999998</v>
      </c>
      <c r="M116" s="88">
        <v>6.942464842713423E-5</v>
      </c>
      <c r="N116" s="88">
        <f t="shared" si="2"/>
        <v>1.5514400139130666E-4</v>
      </c>
      <c r="O116" s="88">
        <f>L116/'סכום נכסי הקרן'!$C$42</f>
        <v>1.5416927477750371E-6</v>
      </c>
    </row>
    <row r="117" spans="2:15">
      <c r="B117" s="86" t="s">
        <v>1127</v>
      </c>
      <c r="C117" s="80" t="s">
        <v>1128</v>
      </c>
      <c r="D117" s="93" t="s">
        <v>122</v>
      </c>
      <c r="E117" s="93" t="s">
        <v>290</v>
      </c>
      <c r="F117" s="80" t="s">
        <v>1129</v>
      </c>
      <c r="G117" s="93" t="s">
        <v>473</v>
      </c>
      <c r="H117" s="93" t="s">
        <v>166</v>
      </c>
      <c r="I117" s="87">
        <v>1999.1910999999998</v>
      </c>
      <c r="J117" s="89">
        <v>1782</v>
      </c>
      <c r="K117" s="80"/>
      <c r="L117" s="87">
        <v>35.625585400999995</v>
      </c>
      <c r="M117" s="88">
        <v>7.7712468572509424E-5</v>
      </c>
      <c r="N117" s="88">
        <f t="shared" si="2"/>
        <v>9.8627162530121743E-4</v>
      </c>
      <c r="O117" s="88">
        <f>L117/'סכום נכסי הקרן'!$C$42</f>
        <v>9.8007515497043711E-6</v>
      </c>
    </row>
    <row r="118" spans="2:15">
      <c r="B118" s="86" t="s">
        <v>1130</v>
      </c>
      <c r="C118" s="80" t="s">
        <v>1131</v>
      </c>
      <c r="D118" s="93" t="s">
        <v>122</v>
      </c>
      <c r="E118" s="93" t="s">
        <v>290</v>
      </c>
      <c r="F118" s="80" t="s">
        <v>1132</v>
      </c>
      <c r="G118" s="93" t="s">
        <v>159</v>
      </c>
      <c r="H118" s="93" t="s">
        <v>166</v>
      </c>
      <c r="I118" s="87">
        <v>15360.576335</v>
      </c>
      <c r="J118" s="89">
        <v>299.3</v>
      </c>
      <c r="K118" s="80"/>
      <c r="L118" s="87">
        <v>45.974204976000003</v>
      </c>
      <c r="M118" s="88">
        <v>9.507642511521363E-5</v>
      </c>
      <c r="N118" s="88">
        <f t="shared" si="2"/>
        <v>1.2727665623801395E-3</v>
      </c>
      <c r="O118" s="88">
        <f>L118/'סכום נכסי הקרן'!$C$42</f>
        <v>1.2647701240365044E-5</v>
      </c>
    </row>
    <row r="119" spans="2:15">
      <c r="B119" s="86" t="s">
        <v>1133</v>
      </c>
      <c r="C119" s="80" t="s">
        <v>1134</v>
      </c>
      <c r="D119" s="93" t="s">
        <v>122</v>
      </c>
      <c r="E119" s="93" t="s">
        <v>290</v>
      </c>
      <c r="F119" s="80" t="s">
        <v>1135</v>
      </c>
      <c r="G119" s="93" t="s">
        <v>193</v>
      </c>
      <c r="H119" s="93" t="s">
        <v>166</v>
      </c>
      <c r="I119" s="87">
        <v>886.53160600000001</v>
      </c>
      <c r="J119" s="89">
        <v>1448</v>
      </c>
      <c r="K119" s="80"/>
      <c r="L119" s="87">
        <v>12.836977661000001</v>
      </c>
      <c r="M119" s="88">
        <v>1.0022936114737442E-4</v>
      </c>
      <c r="N119" s="88">
        <f t="shared" si="2"/>
        <v>3.5538354469578795E-4</v>
      </c>
      <c r="O119" s="88">
        <f>L119/'סכום נכסי הקרן'!$C$42</f>
        <v>3.531507687198163E-6</v>
      </c>
    </row>
    <row r="120" spans="2:15">
      <c r="B120" s="86" t="s">
        <v>1136</v>
      </c>
      <c r="C120" s="80" t="s">
        <v>1137</v>
      </c>
      <c r="D120" s="93" t="s">
        <v>122</v>
      </c>
      <c r="E120" s="93" t="s">
        <v>290</v>
      </c>
      <c r="F120" s="80" t="s">
        <v>1138</v>
      </c>
      <c r="G120" s="93" t="s">
        <v>189</v>
      </c>
      <c r="H120" s="93" t="s">
        <v>166</v>
      </c>
      <c r="I120" s="87">
        <v>464.08439900000008</v>
      </c>
      <c r="J120" s="89">
        <v>4178</v>
      </c>
      <c r="K120" s="80"/>
      <c r="L120" s="87">
        <v>19.389446187000001</v>
      </c>
      <c r="M120" s="88">
        <v>5.6268818921314377E-5</v>
      </c>
      <c r="N120" s="88">
        <f t="shared" si="2"/>
        <v>5.3678445951953972E-4</v>
      </c>
      <c r="O120" s="88">
        <f>L120/'סכום נכסי הקרן'!$C$42</f>
        <v>5.3341199204495218E-6</v>
      </c>
    </row>
    <row r="121" spans="2:15">
      <c r="B121" s="86" t="s">
        <v>1139</v>
      </c>
      <c r="C121" s="80" t="s">
        <v>1140</v>
      </c>
      <c r="D121" s="93" t="s">
        <v>122</v>
      </c>
      <c r="E121" s="93" t="s">
        <v>290</v>
      </c>
      <c r="F121" s="80" t="s">
        <v>1141</v>
      </c>
      <c r="G121" s="93" t="s">
        <v>473</v>
      </c>
      <c r="H121" s="93" t="s">
        <v>166</v>
      </c>
      <c r="I121" s="87">
        <v>10218.923814</v>
      </c>
      <c r="J121" s="89">
        <v>1023</v>
      </c>
      <c r="K121" s="80"/>
      <c r="L121" s="87">
        <v>104.53959062099999</v>
      </c>
      <c r="M121" s="88">
        <v>1.203922431143612E-4</v>
      </c>
      <c r="N121" s="88">
        <f t="shared" si="2"/>
        <v>2.8941119363951134E-3</v>
      </c>
      <c r="O121" s="88">
        <f>L121/'סכום נכסי הקרן'!$C$42</f>
        <v>2.8759290359772359E-5</v>
      </c>
    </row>
    <row r="122" spans="2:15">
      <c r="B122" s="86" t="s">
        <v>1142</v>
      </c>
      <c r="C122" s="80" t="s">
        <v>1143</v>
      </c>
      <c r="D122" s="93" t="s">
        <v>122</v>
      </c>
      <c r="E122" s="93" t="s">
        <v>290</v>
      </c>
      <c r="F122" s="80" t="s">
        <v>1144</v>
      </c>
      <c r="G122" s="93" t="s">
        <v>473</v>
      </c>
      <c r="H122" s="93" t="s">
        <v>166</v>
      </c>
      <c r="I122" s="87">
        <v>2419.778331</v>
      </c>
      <c r="J122" s="89">
        <v>820.3</v>
      </c>
      <c r="K122" s="80"/>
      <c r="L122" s="87">
        <v>19.849441655</v>
      </c>
      <c r="M122" s="88">
        <v>1.4406156463405158E-4</v>
      </c>
      <c r="N122" s="88">
        <f t="shared" si="2"/>
        <v>5.4951914086579531E-4</v>
      </c>
      <c r="O122" s="88">
        <f>L122/'סכום נכסי הקרן'!$C$42</f>
        <v>5.4606666492993852E-6</v>
      </c>
    </row>
    <row r="123" spans="2:15">
      <c r="B123" s="86" t="s">
        <v>1145</v>
      </c>
      <c r="C123" s="80" t="s">
        <v>1146</v>
      </c>
      <c r="D123" s="93" t="s">
        <v>122</v>
      </c>
      <c r="E123" s="93" t="s">
        <v>290</v>
      </c>
      <c r="F123" s="80" t="s">
        <v>1147</v>
      </c>
      <c r="G123" s="93" t="s">
        <v>810</v>
      </c>
      <c r="H123" s="93" t="s">
        <v>166</v>
      </c>
      <c r="I123" s="87">
        <v>12506.776417999999</v>
      </c>
      <c r="J123" s="89">
        <v>10.199999999999999</v>
      </c>
      <c r="K123" s="80"/>
      <c r="L123" s="87">
        <v>1.2756912</v>
      </c>
      <c r="M123" s="88">
        <v>3.0374359508981867E-5</v>
      </c>
      <c r="N123" s="88">
        <f>L123/$L$11</f>
        <v>3.5316697790210743E-5</v>
      </c>
      <c r="O123" s="88">
        <f>L123/'סכום נכסי הקרן'!$C$42</f>
        <v>3.5094812799885337E-7</v>
      </c>
    </row>
    <row r="124" spans="2:15">
      <c r="B124" s="83"/>
      <c r="C124" s="80"/>
      <c r="D124" s="80"/>
      <c r="E124" s="80"/>
      <c r="F124" s="80"/>
      <c r="G124" s="80"/>
      <c r="H124" s="80"/>
      <c r="I124" s="87"/>
      <c r="J124" s="89"/>
      <c r="K124" s="80"/>
      <c r="L124" s="80"/>
      <c r="M124" s="80"/>
      <c r="N124" s="88"/>
      <c r="O124" s="80"/>
    </row>
    <row r="125" spans="2:15">
      <c r="B125" s="81" t="s">
        <v>234</v>
      </c>
      <c r="C125" s="82"/>
      <c r="D125" s="82"/>
      <c r="E125" s="82"/>
      <c r="F125" s="82"/>
      <c r="G125" s="82"/>
      <c r="H125" s="82"/>
      <c r="I125" s="90"/>
      <c r="J125" s="92"/>
      <c r="K125" s="90">
        <v>3.7727543039999998</v>
      </c>
      <c r="L125" s="90">
        <v>10611.679866388997</v>
      </c>
      <c r="M125" s="82"/>
      <c r="N125" s="91">
        <f t="shared" ref="N125:N152" si="3">L125/$L$11</f>
        <v>0.29377759358042455</v>
      </c>
      <c r="O125" s="91">
        <f>L125/'סכום נכסי הקרן'!$C$42</f>
        <v>2.9193187066214304E-3</v>
      </c>
    </row>
    <row r="126" spans="2:15">
      <c r="B126" s="99" t="s">
        <v>64</v>
      </c>
      <c r="C126" s="82"/>
      <c r="D126" s="82"/>
      <c r="E126" s="82"/>
      <c r="F126" s="82"/>
      <c r="G126" s="82"/>
      <c r="H126" s="82"/>
      <c r="I126" s="90"/>
      <c r="J126" s="92"/>
      <c r="K126" s="90">
        <v>1.4421067090000004</v>
      </c>
      <c r="L126" s="90">
        <f>SUM(L127:L152)</f>
        <v>4175.2557706159996</v>
      </c>
      <c r="M126" s="82"/>
      <c r="N126" s="91">
        <f t="shared" si="3"/>
        <v>0.11558929484477021</v>
      </c>
      <c r="O126" s="91">
        <f>L126/'סכום נכסי הקרן'!$C$42</f>
        <v>1.1486307945168038E-3</v>
      </c>
    </row>
    <row r="127" spans="2:15">
      <c r="B127" s="86" t="s">
        <v>1148</v>
      </c>
      <c r="C127" s="80" t="s">
        <v>1149</v>
      </c>
      <c r="D127" s="93" t="s">
        <v>1150</v>
      </c>
      <c r="E127" s="93" t="s">
        <v>1151</v>
      </c>
      <c r="F127" s="80" t="s">
        <v>934</v>
      </c>
      <c r="G127" s="93" t="s">
        <v>194</v>
      </c>
      <c r="H127" s="93" t="s">
        <v>165</v>
      </c>
      <c r="I127" s="87">
        <v>2487.4511900000002</v>
      </c>
      <c r="J127" s="89">
        <v>850</v>
      </c>
      <c r="K127" s="80"/>
      <c r="L127" s="87">
        <v>73.071366146999992</v>
      </c>
      <c r="M127" s="88">
        <v>7.2497283885144918E-5</v>
      </c>
      <c r="N127" s="88">
        <f t="shared" si="3"/>
        <v>2.0229341985987161E-3</v>
      </c>
      <c r="O127" s="88">
        <f>L127/'סכום נכסי הקרן'!$C$42</f>
        <v>2.0102246656250693E-5</v>
      </c>
    </row>
    <row r="128" spans="2:15">
      <c r="B128" s="86" t="s">
        <v>1152</v>
      </c>
      <c r="C128" s="80" t="s">
        <v>1153</v>
      </c>
      <c r="D128" s="93" t="s">
        <v>1150</v>
      </c>
      <c r="E128" s="93" t="s">
        <v>1151</v>
      </c>
      <c r="F128" s="80" t="s">
        <v>1154</v>
      </c>
      <c r="G128" s="93" t="s">
        <v>1155</v>
      </c>
      <c r="H128" s="93" t="s">
        <v>165</v>
      </c>
      <c r="I128" s="87">
        <v>1130.329649</v>
      </c>
      <c r="J128" s="89">
        <v>1507</v>
      </c>
      <c r="K128" s="80"/>
      <c r="L128" s="87">
        <v>58.869738376000001</v>
      </c>
      <c r="M128" s="88">
        <v>3.2863034228352412E-5</v>
      </c>
      <c r="N128" s="88">
        <f t="shared" si="3"/>
        <v>1.6297711853887238E-3</v>
      </c>
      <c r="O128" s="88">
        <f>L128/'סכום נכסי הקרן'!$C$42</f>
        <v>1.6195317862849143E-5</v>
      </c>
    </row>
    <row r="129" spans="2:15">
      <c r="B129" s="86" t="s">
        <v>1156</v>
      </c>
      <c r="C129" s="80" t="s">
        <v>1157</v>
      </c>
      <c r="D129" s="93" t="s">
        <v>1150</v>
      </c>
      <c r="E129" s="93" t="s">
        <v>1151</v>
      </c>
      <c r="F129" s="80" t="s">
        <v>1019</v>
      </c>
      <c r="G129" s="93" t="s">
        <v>886</v>
      </c>
      <c r="H129" s="93" t="s">
        <v>165</v>
      </c>
      <c r="I129" s="87">
        <v>1100.7469180000001</v>
      </c>
      <c r="J129" s="89">
        <v>1083</v>
      </c>
      <c r="K129" s="80"/>
      <c r="L129" s="87">
        <v>41.199284007999999</v>
      </c>
      <c r="M129" s="88">
        <v>2.8519239082030035E-5</v>
      </c>
      <c r="N129" s="88">
        <f t="shared" si="3"/>
        <v>1.1405759187518094E-3</v>
      </c>
      <c r="O129" s="88">
        <f>L129/'סכום נכסי הקרן'!$C$42</f>
        <v>1.1334099974586872E-5</v>
      </c>
    </row>
    <row r="130" spans="2:15">
      <c r="B130" s="86" t="s">
        <v>1158</v>
      </c>
      <c r="C130" s="80" t="s">
        <v>1159</v>
      </c>
      <c r="D130" s="93" t="s">
        <v>1150</v>
      </c>
      <c r="E130" s="93" t="s">
        <v>1151</v>
      </c>
      <c r="F130" s="80" t="s">
        <v>1160</v>
      </c>
      <c r="G130" s="93" t="s">
        <v>1161</v>
      </c>
      <c r="H130" s="93" t="s">
        <v>165</v>
      </c>
      <c r="I130" s="87">
        <v>410.57039900000001</v>
      </c>
      <c r="J130" s="89">
        <v>11096</v>
      </c>
      <c r="K130" s="80"/>
      <c r="L130" s="87">
        <v>157.44461696600001</v>
      </c>
      <c r="M130" s="88">
        <v>2.6968715571519056E-6</v>
      </c>
      <c r="N130" s="88">
        <f t="shared" si="3"/>
        <v>4.3587538709083428E-3</v>
      </c>
      <c r="O130" s="88">
        <f>L130/'סכום נכסי הקרן'!$C$42</f>
        <v>4.3313690325459804E-5</v>
      </c>
    </row>
    <row r="131" spans="2:15">
      <c r="B131" s="86" t="s">
        <v>1162</v>
      </c>
      <c r="C131" s="80" t="s">
        <v>1163</v>
      </c>
      <c r="D131" s="93" t="s">
        <v>1150</v>
      </c>
      <c r="E131" s="93" t="s">
        <v>1151</v>
      </c>
      <c r="F131" s="80" t="s">
        <v>1164</v>
      </c>
      <c r="G131" s="93" t="s">
        <v>1161</v>
      </c>
      <c r="H131" s="93" t="s">
        <v>165</v>
      </c>
      <c r="I131" s="87">
        <v>264.12051200000002</v>
      </c>
      <c r="J131" s="89">
        <v>11658</v>
      </c>
      <c r="K131" s="80"/>
      <c r="L131" s="87">
        <v>106.414281063</v>
      </c>
      <c r="M131" s="88">
        <v>6.9727999026787837E-6</v>
      </c>
      <c r="N131" s="88">
        <f t="shared" si="3"/>
        <v>2.9460115464185351E-3</v>
      </c>
      <c r="O131" s="88">
        <f>L131/'סכום נכסי הקרן'!$C$42</f>
        <v>2.927502575184628E-5</v>
      </c>
    </row>
    <row r="132" spans="2:15">
      <c r="B132" s="86" t="s">
        <v>1165</v>
      </c>
      <c r="C132" s="80" t="s">
        <v>1166</v>
      </c>
      <c r="D132" s="93" t="s">
        <v>1150</v>
      </c>
      <c r="E132" s="93" t="s">
        <v>1151</v>
      </c>
      <c r="F132" s="80" t="s">
        <v>670</v>
      </c>
      <c r="G132" s="93" t="s">
        <v>671</v>
      </c>
      <c r="H132" s="93" t="s">
        <v>165</v>
      </c>
      <c r="I132" s="87">
        <v>8.6394559999999991</v>
      </c>
      <c r="J132" s="89">
        <v>15506</v>
      </c>
      <c r="K132" s="80"/>
      <c r="L132" s="87">
        <v>4.6297752680000004</v>
      </c>
      <c r="M132" s="88">
        <v>1.956305386996629E-7</v>
      </c>
      <c r="N132" s="88">
        <f t="shared" si="3"/>
        <v>1.2817237743471769E-4</v>
      </c>
      <c r="O132" s="88">
        <f>L132/'סכום נכסי הקרן'!$C$42</f>
        <v>1.2736710603318341E-6</v>
      </c>
    </row>
    <row r="133" spans="2:15">
      <c r="B133" s="86" t="s">
        <v>1167</v>
      </c>
      <c r="C133" s="80" t="s">
        <v>1168</v>
      </c>
      <c r="D133" s="93" t="s">
        <v>125</v>
      </c>
      <c r="E133" s="93" t="s">
        <v>1151</v>
      </c>
      <c r="F133" s="80" t="s">
        <v>867</v>
      </c>
      <c r="G133" s="93" t="s">
        <v>148</v>
      </c>
      <c r="H133" s="93" t="s">
        <v>168</v>
      </c>
      <c r="I133" s="87">
        <v>4095.4637670000002</v>
      </c>
      <c r="J133" s="89">
        <v>930</v>
      </c>
      <c r="K133" s="80"/>
      <c r="L133" s="87">
        <v>173.66900108900001</v>
      </c>
      <c r="M133" s="88">
        <v>2.312653173053164E-5</v>
      </c>
      <c r="N133" s="88">
        <f t="shared" si="3"/>
        <v>4.8079156044879773E-3</v>
      </c>
      <c r="O133" s="88">
        <f>L133/'סכום נכסי הקרן'!$C$42</f>
        <v>4.7777088078694417E-5</v>
      </c>
    </row>
    <row r="134" spans="2:15">
      <c r="B134" s="86" t="s">
        <v>1169</v>
      </c>
      <c r="C134" s="80" t="s">
        <v>1170</v>
      </c>
      <c r="D134" s="93" t="s">
        <v>1171</v>
      </c>
      <c r="E134" s="93" t="s">
        <v>1151</v>
      </c>
      <c r="F134" s="80" t="s">
        <v>1172</v>
      </c>
      <c r="G134" s="93" t="s">
        <v>1173</v>
      </c>
      <c r="H134" s="93" t="s">
        <v>165</v>
      </c>
      <c r="I134" s="87">
        <v>548.69678699999997</v>
      </c>
      <c r="J134" s="89">
        <v>2350</v>
      </c>
      <c r="K134" s="80"/>
      <c r="L134" s="87">
        <v>44.562958292000005</v>
      </c>
      <c r="M134" s="88">
        <v>1.7262934180517232E-5</v>
      </c>
      <c r="N134" s="88">
        <f t="shared" si="3"/>
        <v>1.233697097413802E-3</v>
      </c>
      <c r="O134" s="88">
        <f>L134/'סכום נכסי הקרן'!$C$42</f>
        <v>1.2259461216529816E-5</v>
      </c>
    </row>
    <row r="135" spans="2:15">
      <c r="B135" s="86" t="s">
        <v>1174</v>
      </c>
      <c r="C135" s="80" t="s">
        <v>1175</v>
      </c>
      <c r="D135" s="93" t="s">
        <v>1171</v>
      </c>
      <c r="E135" s="93" t="s">
        <v>1151</v>
      </c>
      <c r="F135" s="80">
        <v>1760</v>
      </c>
      <c r="G135" s="93" t="s">
        <v>681</v>
      </c>
      <c r="H135" s="93" t="s">
        <v>165</v>
      </c>
      <c r="I135" s="87">
        <v>410.991264</v>
      </c>
      <c r="J135" s="89">
        <v>12902</v>
      </c>
      <c r="K135" s="87">
        <v>1.0652893560000001</v>
      </c>
      <c r="L135" s="87">
        <v>184.323466354</v>
      </c>
      <c r="M135" s="88">
        <v>3.849089772065545E-6</v>
      </c>
      <c r="N135" s="88">
        <f t="shared" si="3"/>
        <v>5.1028776845590028E-3</v>
      </c>
      <c r="O135" s="88">
        <f>L135/'סכום נכסי הקרן'!$C$42</f>
        <v>5.0708177232229818E-5</v>
      </c>
    </row>
    <row r="136" spans="2:15">
      <c r="B136" s="86" t="s">
        <v>1176</v>
      </c>
      <c r="C136" s="80" t="s">
        <v>1177</v>
      </c>
      <c r="D136" s="93" t="s">
        <v>1150</v>
      </c>
      <c r="E136" s="93" t="s">
        <v>1151</v>
      </c>
      <c r="F136" s="80" t="s">
        <v>1178</v>
      </c>
      <c r="G136" s="93" t="s">
        <v>1179</v>
      </c>
      <c r="H136" s="93" t="s">
        <v>165</v>
      </c>
      <c r="I136" s="87">
        <v>454.30332499999997</v>
      </c>
      <c r="J136" s="89">
        <v>2513</v>
      </c>
      <c r="K136" s="87">
        <v>0.37681735300000002</v>
      </c>
      <c r="L136" s="87">
        <v>39.832734057000003</v>
      </c>
      <c r="M136" s="88">
        <v>1.9352288995247838E-5</v>
      </c>
      <c r="N136" s="88">
        <f t="shared" si="3"/>
        <v>1.1027438543504133E-3</v>
      </c>
      <c r="O136" s="88">
        <f>L136/'סכום נכסי הקרן'!$C$42</f>
        <v>1.0958156213964886E-5</v>
      </c>
    </row>
    <row r="137" spans="2:15">
      <c r="B137" s="86" t="s">
        <v>1180</v>
      </c>
      <c r="C137" s="80" t="s">
        <v>1181</v>
      </c>
      <c r="D137" s="93" t="s">
        <v>1150</v>
      </c>
      <c r="E137" s="93" t="s">
        <v>1151</v>
      </c>
      <c r="F137" s="80" t="s">
        <v>1015</v>
      </c>
      <c r="G137" s="93" t="s">
        <v>1016</v>
      </c>
      <c r="H137" s="93" t="s">
        <v>165</v>
      </c>
      <c r="I137" s="87">
        <v>569.80174399999999</v>
      </c>
      <c r="J137" s="89">
        <v>683</v>
      </c>
      <c r="K137" s="80"/>
      <c r="L137" s="87">
        <v>13.449873875</v>
      </c>
      <c r="M137" s="88">
        <v>1.4150403226897942E-5</v>
      </c>
      <c r="N137" s="88">
        <f t="shared" si="3"/>
        <v>3.7235118574136569E-4</v>
      </c>
      <c r="O137" s="88">
        <f>L137/'סכום נכסי הקרן'!$C$42</f>
        <v>3.7001180679555789E-6</v>
      </c>
    </row>
    <row r="138" spans="2:15">
      <c r="B138" s="86" t="s">
        <v>1182</v>
      </c>
      <c r="C138" s="80" t="s">
        <v>1183</v>
      </c>
      <c r="D138" s="93" t="s">
        <v>1150</v>
      </c>
      <c r="E138" s="93" t="s">
        <v>1151</v>
      </c>
      <c r="F138" s="80" t="s">
        <v>1184</v>
      </c>
      <c r="G138" s="93" t="s">
        <v>27</v>
      </c>
      <c r="H138" s="93" t="s">
        <v>165</v>
      </c>
      <c r="I138" s="87">
        <v>2159.919539</v>
      </c>
      <c r="J138" s="89">
        <v>3423</v>
      </c>
      <c r="K138" s="80"/>
      <c r="L138" s="87">
        <v>255.51606239700001</v>
      </c>
      <c r="M138" s="88">
        <v>5.3496357146266246E-5</v>
      </c>
      <c r="N138" s="88">
        <f t="shared" si="3"/>
        <v>7.0737993302920641E-3</v>
      </c>
      <c r="O138" s="88">
        <f>L138/'סכום נכסי הקרן'!$C$42</f>
        <v>7.0293566163868933E-5</v>
      </c>
    </row>
    <row r="139" spans="2:15">
      <c r="B139" s="86" t="s">
        <v>1185</v>
      </c>
      <c r="C139" s="80" t="s">
        <v>1186</v>
      </c>
      <c r="D139" s="93" t="s">
        <v>1150</v>
      </c>
      <c r="E139" s="93" t="s">
        <v>1151</v>
      </c>
      <c r="F139" s="80" t="s">
        <v>1187</v>
      </c>
      <c r="G139" s="93" t="s">
        <v>1188</v>
      </c>
      <c r="H139" s="93" t="s">
        <v>165</v>
      </c>
      <c r="I139" s="87">
        <v>2356.2413029999998</v>
      </c>
      <c r="J139" s="89">
        <v>310</v>
      </c>
      <c r="K139" s="80"/>
      <c r="L139" s="87">
        <v>25.243826822999999</v>
      </c>
      <c r="M139" s="88">
        <v>8.6693964484649242E-5</v>
      </c>
      <c r="N139" s="88">
        <f t="shared" si="3"/>
        <v>6.9885925604590412E-4</v>
      </c>
      <c r="O139" s="88">
        <f>L139/'סכום נכסי הקרן'!$C$42</f>
        <v>6.9446851769919647E-6</v>
      </c>
    </row>
    <row r="140" spans="2:15">
      <c r="B140" s="86" t="s">
        <v>1189</v>
      </c>
      <c r="C140" s="80" t="s">
        <v>1190</v>
      </c>
      <c r="D140" s="93" t="s">
        <v>1150</v>
      </c>
      <c r="E140" s="93" t="s">
        <v>1151</v>
      </c>
      <c r="F140" s="80" t="s">
        <v>1191</v>
      </c>
      <c r="G140" s="93" t="s">
        <v>886</v>
      </c>
      <c r="H140" s="93" t="s">
        <v>165</v>
      </c>
      <c r="I140" s="87">
        <v>234.22305700000001</v>
      </c>
      <c r="J140" s="89">
        <v>11718</v>
      </c>
      <c r="K140" s="80"/>
      <c r="L140" s="87">
        <v>94.854267180999997</v>
      </c>
      <c r="M140" s="88">
        <v>4.2202426371808257E-6</v>
      </c>
      <c r="N140" s="88">
        <f t="shared" si="3"/>
        <v>2.6259799300514747E-3</v>
      </c>
      <c r="O140" s="88">
        <f>L140/'סכום נכסי הקרן'!$C$42</f>
        <v>2.6094816284595379E-5</v>
      </c>
    </row>
    <row r="141" spans="2:15">
      <c r="B141" s="86" t="s">
        <v>1192</v>
      </c>
      <c r="C141" s="80" t="s">
        <v>1193</v>
      </c>
      <c r="D141" s="93" t="s">
        <v>1150</v>
      </c>
      <c r="E141" s="93" t="s">
        <v>1151</v>
      </c>
      <c r="F141" s="80" t="s">
        <v>902</v>
      </c>
      <c r="G141" s="93" t="s">
        <v>194</v>
      </c>
      <c r="H141" s="93" t="s">
        <v>165</v>
      </c>
      <c r="I141" s="87">
        <v>1463.7336620000001</v>
      </c>
      <c r="J141" s="89">
        <v>15515</v>
      </c>
      <c r="K141" s="80"/>
      <c r="L141" s="87">
        <v>784.85164746400005</v>
      </c>
      <c r="M141" s="88">
        <v>2.3557780400506212E-5</v>
      </c>
      <c r="N141" s="88">
        <f t="shared" si="3"/>
        <v>2.1728117622536795E-2</v>
      </c>
      <c r="O141" s="88">
        <f>L141/'סכום נכסי הקרן'!$C$42</f>
        <v>2.1591605902298834E-4</v>
      </c>
    </row>
    <row r="142" spans="2:15">
      <c r="B142" s="86" t="s">
        <v>1194</v>
      </c>
      <c r="C142" s="80" t="s">
        <v>1195</v>
      </c>
      <c r="D142" s="93" t="s">
        <v>1150</v>
      </c>
      <c r="E142" s="93" t="s">
        <v>1151</v>
      </c>
      <c r="F142" s="80" t="s">
        <v>996</v>
      </c>
      <c r="G142" s="93" t="s">
        <v>886</v>
      </c>
      <c r="H142" s="93" t="s">
        <v>165</v>
      </c>
      <c r="I142" s="87">
        <v>1140.4242369999999</v>
      </c>
      <c r="J142" s="89">
        <v>3783</v>
      </c>
      <c r="K142" s="80"/>
      <c r="L142" s="87">
        <v>149.09961211499999</v>
      </c>
      <c r="M142" s="88">
        <v>4.0842493433519704E-5</v>
      </c>
      <c r="N142" s="88">
        <f t="shared" si="3"/>
        <v>4.1277277304280994E-3</v>
      </c>
      <c r="O142" s="88">
        <f>L142/'סכום נכסי הקרן'!$C$42</f>
        <v>4.1017943650559322E-5</v>
      </c>
    </row>
    <row r="143" spans="2:15">
      <c r="B143" s="86" t="s">
        <v>1198</v>
      </c>
      <c r="C143" s="80" t="s">
        <v>1199</v>
      </c>
      <c r="D143" s="93" t="s">
        <v>1150</v>
      </c>
      <c r="E143" s="93" t="s">
        <v>1151</v>
      </c>
      <c r="F143" s="80" t="s">
        <v>795</v>
      </c>
      <c r="G143" s="93" t="s">
        <v>193</v>
      </c>
      <c r="H143" s="93" t="s">
        <v>165</v>
      </c>
      <c r="I143" s="87">
        <v>91.278320999999991</v>
      </c>
      <c r="J143" s="89">
        <v>436</v>
      </c>
      <c r="K143" s="80"/>
      <c r="L143" s="87">
        <v>1.3753963470000004</v>
      </c>
      <c r="M143" s="88">
        <v>5.5609243303529082E-7</v>
      </c>
      <c r="N143" s="88">
        <f t="shared" si="3"/>
        <v>3.8076971236266927E-5</v>
      </c>
      <c r="O143" s="88">
        <f>L143/'סכום נכסי הקרן'!$C$42</f>
        <v>3.7837744215536756E-7</v>
      </c>
    </row>
    <row r="144" spans="2:15">
      <c r="B144" s="86" t="s">
        <v>1202</v>
      </c>
      <c r="C144" s="80" t="s">
        <v>1203</v>
      </c>
      <c r="D144" s="93" t="s">
        <v>1150</v>
      </c>
      <c r="E144" s="93" t="s">
        <v>1151</v>
      </c>
      <c r="F144" s="80" t="s">
        <v>1025</v>
      </c>
      <c r="G144" s="93" t="s">
        <v>1016</v>
      </c>
      <c r="H144" s="93" t="s">
        <v>165</v>
      </c>
      <c r="I144" s="87">
        <v>481.23497800000007</v>
      </c>
      <c r="J144" s="89">
        <v>607</v>
      </c>
      <c r="K144" s="80"/>
      <c r="L144" s="87">
        <v>10.095308873</v>
      </c>
      <c r="M144" s="88">
        <v>1.3644482167870109E-5</v>
      </c>
      <c r="N144" s="88">
        <f t="shared" si="3"/>
        <v>2.7948219174559955E-4</v>
      </c>
      <c r="O144" s="88">
        <f>L144/'סכום נכסי הקרן'!$C$42</f>
        <v>2.7772628286136677E-6</v>
      </c>
    </row>
    <row r="145" spans="2:15">
      <c r="B145" s="86" t="s">
        <v>1204</v>
      </c>
      <c r="C145" s="80" t="s">
        <v>1205</v>
      </c>
      <c r="D145" s="93" t="s">
        <v>1150</v>
      </c>
      <c r="E145" s="93" t="s">
        <v>1151</v>
      </c>
      <c r="F145" s="80" t="s">
        <v>1206</v>
      </c>
      <c r="G145" s="93" t="s">
        <v>1207</v>
      </c>
      <c r="H145" s="93" t="s">
        <v>165</v>
      </c>
      <c r="I145" s="87">
        <v>1079.932</v>
      </c>
      <c r="J145" s="89">
        <v>1715</v>
      </c>
      <c r="K145" s="80"/>
      <c r="L145" s="87">
        <v>64.008001613000005</v>
      </c>
      <c r="M145" s="88">
        <v>5.2970383570927004E-5</v>
      </c>
      <c r="N145" s="88">
        <f t="shared" si="3"/>
        <v>1.7720207281524264E-3</v>
      </c>
      <c r="O145" s="88">
        <f>L145/'סכום נכסי הקרן'!$C$42</f>
        <v>1.7608876147323066E-5</v>
      </c>
    </row>
    <row r="146" spans="2:15">
      <c r="B146" s="86" t="s">
        <v>1208</v>
      </c>
      <c r="C146" s="80" t="s">
        <v>1209</v>
      </c>
      <c r="D146" s="93" t="s">
        <v>1150</v>
      </c>
      <c r="E146" s="93" t="s">
        <v>1151</v>
      </c>
      <c r="F146" s="80" t="s">
        <v>1210</v>
      </c>
      <c r="G146" s="93" t="s">
        <v>1211</v>
      </c>
      <c r="H146" s="93" t="s">
        <v>165</v>
      </c>
      <c r="I146" s="87">
        <v>1648.384755</v>
      </c>
      <c r="J146" s="89">
        <v>9509</v>
      </c>
      <c r="K146" s="80"/>
      <c r="L146" s="87">
        <v>541.71039630100006</v>
      </c>
      <c r="M146" s="88">
        <v>3.3909992760836683E-5</v>
      </c>
      <c r="N146" s="88">
        <f t="shared" si="3"/>
        <v>1.4996907053978041E-2</v>
      </c>
      <c r="O146" s="88">
        <f>L146/'סכום נכסי הקרן'!$C$42</f>
        <v>1.490268565773229E-4</v>
      </c>
    </row>
    <row r="147" spans="2:15">
      <c r="B147" s="86" t="s">
        <v>1212</v>
      </c>
      <c r="C147" s="80" t="s">
        <v>1213</v>
      </c>
      <c r="D147" s="93" t="s">
        <v>1150</v>
      </c>
      <c r="E147" s="93" t="s">
        <v>1151</v>
      </c>
      <c r="F147" s="80" t="s">
        <v>889</v>
      </c>
      <c r="G147" s="93" t="s">
        <v>890</v>
      </c>
      <c r="H147" s="93" t="s">
        <v>165</v>
      </c>
      <c r="I147" s="87">
        <v>15505.108262</v>
      </c>
      <c r="J147" s="89">
        <v>980</v>
      </c>
      <c r="K147" s="80"/>
      <c r="L147" s="87">
        <v>525.13941071800002</v>
      </c>
      <c r="M147" s="88">
        <v>1.4197654481262483E-5</v>
      </c>
      <c r="N147" s="88">
        <f t="shared" si="3"/>
        <v>1.4538149879890182E-2</v>
      </c>
      <c r="O147" s="88">
        <f>L147/'סכום נכסי הקרן'!$C$42</f>
        <v>1.4446810727384738E-4</v>
      </c>
    </row>
    <row r="148" spans="2:15">
      <c r="B148" s="86" t="s">
        <v>1214</v>
      </c>
      <c r="C148" s="80" t="s">
        <v>1215</v>
      </c>
      <c r="D148" s="93" t="s">
        <v>1150</v>
      </c>
      <c r="E148" s="93" t="s">
        <v>1151</v>
      </c>
      <c r="F148" s="80" t="s">
        <v>885</v>
      </c>
      <c r="G148" s="93" t="s">
        <v>886</v>
      </c>
      <c r="H148" s="93" t="s">
        <v>165</v>
      </c>
      <c r="I148" s="87">
        <v>1824.258161</v>
      </c>
      <c r="J148" s="89">
        <v>2406</v>
      </c>
      <c r="K148" s="80"/>
      <c r="L148" s="87">
        <v>151.68954704999999</v>
      </c>
      <c r="M148" s="88">
        <v>1.709974623312109E-5</v>
      </c>
      <c r="N148" s="88">
        <f t="shared" si="3"/>
        <v>4.199428428367933E-3</v>
      </c>
      <c r="O148" s="88">
        <f>L148/'סכום נכסי הקרן'!$C$42</f>
        <v>4.1730445874512172E-5</v>
      </c>
    </row>
    <row r="149" spans="2:15">
      <c r="B149" s="86" t="s">
        <v>1216</v>
      </c>
      <c r="C149" s="80" t="s">
        <v>1217</v>
      </c>
      <c r="D149" s="93" t="s">
        <v>1171</v>
      </c>
      <c r="E149" s="93" t="s">
        <v>1151</v>
      </c>
      <c r="F149" s="80" t="s">
        <v>1218</v>
      </c>
      <c r="G149" s="93" t="s">
        <v>1161</v>
      </c>
      <c r="H149" s="93" t="s">
        <v>165</v>
      </c>
      <c r="I149" s="87">
        <v>1084.246791</v>
      </c>
      <c r="J149" s="89">
        <v>1759</v>
      </c>
      <c r="K149" s="80"/>
      <c r="L149" s="87">
        <v>65.912490056999999</v>
      </c>
      <c r="M149" s="88">
        <v>3.1110242285304191E-5</v>
      </c>
      <c r="N149" s="88">
        <f t="shared" si="3"/>
        <v>1.8247452768689941E-3</v>
      </c>
      <c r="O149" s="88">
        <f>L149/'סכום נכסי הקרן'!$C$42</f>
        <v>1.8132809097724578E-5</v>
      </c>
    </row>
    <row r="150" spans="2:15">
      <c r="B150" s="86" t="s">
        <v>1219</v>
      </c>
      <c r="C150" s="80" t="s">
        <v>1220</v>
      </c>
      <c r="D150" s="93" t="s">
        <v>1150</v>
      </c>
      <c r="E150" s="93" t="s">
        <v>1151</v>
      </c>
      <c r="F150" s="80" t="s">
        <v>1221</v>
      </c>
      <c r="G150" s="93" t="s">
        <v>1207</v>
      </c>
      <c r="H150" s="93" t="s">
        <v>165</v>
      </c>
      <c r="I150" s="87">
        <v>911.21823499999994</v>
      </c>
      <c r="J150" s="89">
        <v>3337</v>
      </c>
      <c r="K150" s="80"/>
      <c r="L150" s="87">
        <v>105.087810226</v>
      </c>
      <c r="M150" s="88">
        <v>4.3433578508244681E-5</v>
      </c>
      <c r="N150" s="88">
        <f t="shared" si="3"/>
        <v>2.9092890467431773E-3</v>
      </c>
      <c r="O150" s="88">
        <f>L150/'סכום נכסי הקרן'!$C$42</f>
        <v>2.8910107927618736E-5</v>
      </c>
    </row>
    <row r="151" spans="2:15">
      <c r="B151" s="86" t="s">
        <v>1222</v>
      </c>
      <c r="C151" s="80" t="s">
        <v>1223</v>
      </c>
      <c r="D151" s="93" t="s">
        <v>1150</v>
      </c>
      <c r="E151" s="93" t="s">
        <v>1151</v>
      </c>
      <c r="F151" s="80" t="s">
        <v>1224</v>
      </c>
      <c r="G151" s="93" t="s">
        <v>1161</v>
      </c>
      <c r="H151" s="93" t="s">
        <v>165</v>
      </c>
      <c r="I151" s="87">
        <v>1893.2750719999999</v>
      </c>
      <c r="J151" s="89">
        <v>5536</v>
      </c>
      <c r="K151" s="80"/>
      <c r="L151" s="87">
        <v>362.22926279900003</v>
      </c>
      <c r="M151" s="88">
        <v>2.833226406173411E-5</v>
      </c>
      <c r="N151" s="88">
        <f t="shared" si="3"/>
        <v>1.0028086268089887E-2</v>
      </c>
      <c r="O151" s="88">
        <f>L151/'סכום נכסי הקרן'!$C$42</f>
        <v>9.9650825909682343E-5</v>
      </c>
    </row>
    <row r="152" spans="2:15">
      <c r="B152" s="86" t="s">
        <v>1225</v>
      </c>
      <c r="C152" s="80" t="s">
        <v>1226</v>
      </c>
      <c r="D152" s="93" t="s">
        <v>1150</v>
      </c>
      <c r="E152" s="93" t="s">
        <v>1151</v>
      </c>
      <c r="F152" s="80" t="s">
        <v>1227</v>
      </c>
      <c r="G152" s="93" t="s">
        <v>1161</v>
      </c>
      <c r="H152" s="93" t="s">
        <v>165</v>
      </c>
      <c r="I152" s="87">
        <v>333.31885199999999</v>
      </c>
      <c r="J152" s="89">
        <v>12238</v>
      </c>
      <c r="K152" s="80"/>
      <c r="L152" s="87">
        <v>140.975635157</v>
      </c>
      <c r="M152" s="88">
        <v>6.51624930264143E-6</v>
      </c>
      <c r="N152" s="88">
        <f t="shared" si="3"/>
        <v>3.9028206062899683E-3</v>
      </c>
      <c r="O152" s="88">
        <f>L152/'סכום נכסי הקרן'!$C$42</f>
        <v>3.8783002698300721E-5</v>
      </c>
    </row>
    <row r="153" spans="2:15">
      <c r="B153" s="83"/>
      <c r="C153" s="80"/>
      <c r="D153" s="80"/>
      <c r="E153" s="80"/>
      <c r="F153" s="80"/>
      <c r="G153" s="80"/>
      <c r="H153" s="80"/>
      <c r="I153" s="87"/>
      <c r="J153" s="89"/>
      <c r="K153" s="80"/>
      <c r="L153" s="80"/>
      <c r="M153" s="80"/>
      <c r="N153" s="88"/>
      <c r="O153" s="80"/>
    </row>
    <row r="154" spans="2:15">
      <c r="B154" s="99" t="s">
        <v>63</v>
      </c>
      <c r="C154" s="82"/>
      <c r="D154" s="82"/>
      <c r="E154" s="82"/>
      <c r="F154" s="82"/>
      <c r="G154" s="82"/>
      <c r="H154" s="82"/>
      <c r="I154" s="90"/>
      <c r="J154" s="92"/>
      <c r="K154" s="90">
        <v>2.3306475949999998</v>
      </c>
      <c r="L154" s="90">
        <f>SUM(L155:L213)</f>
        <v>6436.4240957729999</v>
      </c>
      <c r="M154" s="82"/>
      <c r="N154" s="91">
        <f t="shared" ref="N154:N213" si="4">L154/$L$11</f>
        <v>0.17818829873565442</v>
      </c>
      <c r="O154" s="91">
        <f>L154/'סכום נכסי הקרן'!$C$42</f>
        <v>1.7706879121046275E-3</v>
      </c>
    </row>
    <row r="155" spans="2:15">
      <c r="B155" s="86" t="s">
        <v>1228</v>
      </c>
      <c r="C155" s="80" t="s">
        <v>1229</v>
      </c>
      <c r="D155" s="93" t="s">
        <v>141</v>
      </c>
      <c r="E155" s="93" t="s">
        <v>1151</v>
      </c>
      <c r="F155" s="80"/>
      <c r="G155" s="93" t="s">
        <v>1230</v>
      </c>
      <c r="H155" s="93" t="s">
        <v>1231</v>
      </c>
      <c r="I155" s="87">
        <v>701.58372799999995</v>
      </c>
      <c r="J155" s="89">
        <v>2337</v>
      </c>
      <c r="K155" s="80"/>
      <c r="L155" s="87">
        <v>58.615741939999999</v>
      </c>
      <c r="M155" s="88">
        <v>3.2358660136353109E-7</v>
      </c>
      <c r="N155" s="88">
        <f t="shared" si="4"/>
        <v>1.6227394559466749E-3</v>
      </c>
      <c r="O155" s="88">
        <f>L155/'סכום נכסי הקרן'!$C$42</f>
        <v>1.6125442352433626E-5</v>
      </c>
    </row>
    <row r="156" spans="2:15">
      <c r="B156" s="86" t="s">
        <v>1232</v>
      </c>
      <c r="C156" s="80" t="s">
        <v>1233</v>
      </c>
      <c r="D156" s="93" t="s">
        <v>27</v>
      </c>
      <c r="E156" s="93" t="s">
        <v>1151</v>
      </c>
      <c r="F156" s="80"/>
      <c r="G156" s="93" t="s">
        <v>1234</v>
      </c>
      <c r="H156" s="93" t="s">
        <v>167</v>
      </c>
      <c r="I156" s="87">
        <v>77.764889999999994</v>
      </c>
      <c r="J156" s="89">
        <v>28980</v>
      </c>
      <c r="K156" s="80"/>
      <c r="L156" s="87">
        <v>87.400143396000004</v>
      </c>
      <c r="M156" s="88">
        <v>3.8801701375556559E-7</v>
      </c>
      <c r="N156" s="88">
        <f t="shared" si="4"/>
        <v>2.4196172640664256E-3</v>
      </c>
      <c r="O156" s="88">
        <f>L156/'סכום נכסי הקרן'!$C$42</f>
        <v>2.4044154817135642E-5</v>
      </c>
    </row>
    <row r="157" spans="2:15">
      <c r="B157" s="86" t="s">
        <v>1235</v>
      </c>
      <c r="C157" s="80" t="s">
        <v>1236</v>
      </c>
      <c r="D157" s="93" t="s">
        <v>27</v>
      </c>
      <c r="E157" s="93" t="s">
        <v>1151</v>
      </c>
      <c r="F157" s="80"/>
      <c r="G157" s="93" t="s">
        <v>1237</v>
      </c>
      <c r="H157" s="93" t="s">
        <v>167</v>
      </c>
      <c r="I157" s="87">
        <v>434.441216</v>
      </c>
      <c r="J157" s="89">
        <v>3210</v>
      </c>
      <c r="K157" s="80"/>
      <c r="L157" s="87">
        <v>54.083682556999996</v>
      </c>
      <c r="M157" s="88">
        <v>9.8301862034885842E-6</v>
      </c>
      <c r="N157" s="88">
        <f t="shared" si="4"/>
        <v>1.4972722805074307E-3</v>
      </c>
      <c r="O157" s="88">
        <f>L157/'סכום נכסי הקרן'!$C$42</f>
        <v>1.4878653351738561E-5</v>
      </c>
    </row>
    <row r="158" spans="2:15">
      <c r="B158" s="86" t="s">
        <v>1238</v>
      </c>
      <c r="C158" s="80" t="s">
        <v>1239</v>
      </c>
      <c r="D158" s="93" t="s">
        <v>27</v>
      </c>
      <c r="E158" s="93" t="s">
        <v>1151</v>
      </c>
      <c r="F158" s="80"/>
      <c r="G158" s="93" t="s">
        <v>1230</v>
      </c>
      <c r="H158" s="93" t="s">
        <v>167</v>
      </c>
      <c r="I158" s="87">
        <v>290.62405799999999</v>
      </c>
      <c r="J158" s="89">
        <v>13048</v>
      </c>
      <c r="K158" s="80"/>
      <c r="L158" s="87">
        <v>147.063775894</v>
      </c>
      <c r="M158" s="88">
        <v>3.7108533532844776E-7</v>
      </c>
      <c r="N158" s="88">
        <f t="shared" si="4"/>
        <v>4.0713669022218527E-3</v>
      </c>
      <c r="O158" s="88">
        <f>L158/'סכום נכסי הקרן'!$C$42</f>
        <v>4.0457876362588532E-5</v>
      </c>
    </row>
    <row r="159" spans="2:15">
      <c r="B159" s="86" t="s">
        <v>1240</v>
      </c>
      <c r="C159" s="80" t="s">
        <v>1241</v>
      </c>
      <c r="D159" s="93" t="s">
        <v>1171</v>
      </c>
      <c r="E159" s="93" t="s">
        <v>1151</v>
      </c>
      <c r="F159" s="80"/>
      <c r="G159" s="93" t="s">
        <v>1173</v>
      </c>
      <c r="H159" s="93" t="s">
        <v>165</v>
      </c>
      <c r="I159" s="87">
        <v>260.03134999999997</v>
      </c>
      <c r="J159" s="89">
        <v>21210</v>
      </c>
      <c r="K159" s="80"/>
      <c r="L159" s="87">
        <v>190.60755618300001</v>
      </c>
      <c r="M159" s="88">
        <v>9.6928138611914604E-8</v>
      </c>
      <c r="N159" s="88">
        <f t="shared" si="4"/>
        <v>5.2768487062116801E-3</v>
      </c>
      <c r="O159" s="88">
        <f>L159/'סכום נכסי הקרן'!$C$42</f>
        <v>5.2436957333295175E-5</v>
      </c>
    </row>
    <row r="160" spans="2:15">
      <c r="B160" s="86" t="s">
        <v>1242</v>
      </c>
      <c r="C160" s="80" t="s">
        <v>1243</v>
      </c>
      <c r="D160" s="93" t="s">
        <v>1150</v>
      </c>
      <c r="E160" s="93" t="s">
        <v>1151</v>
      </c>
      <c r="F160" s="80"/>
      <c r="G160" s="93" t="s">
        <v>1161</v>
      </c>
      <c r="H160" s="93" t="s">
        <v>165</v>
      </c>
      <c r="I160" s="87">
        <v>63.202480999999999</v>
      </c>
      <c r="J160" s="89">
        <v>133702</v>
      </c>
      <c r="K160" s="80"/>
      <c r="L160" s="87">
        <v>292.04230360400004</v>
      </c>
      <c r="M160" s="88">
        <v>1.8396845551521338E-7</v>
      </c>
      <c r="N160" s="88">
        <f t="shared" si="4"/>
        <v>8.0850050375352919E-3</v>
      </c>
      <c r="O160" s="88">
        <f>L160/'סכום נכסי הקרן'!$C$42</f>
        <v>8.0342091993968918E-5</v>
      </c>
    </row>
    <row r="161" spans="2:15">
      <c r="B161" s="86" t="s">
        <v>1244</v>
      </c>
      <c r="C161" s="80" t="s">
        <v>1245</v>
      </c>
      <c r="D161" s="93" t="s">
        <v>1150</v>
      </c>
      <c r="E161" s="93" t="s">
        <v>1151</v>
      </c>
      <c r="F161" s="80"/>
      <c r="G161" s="93" t="s">
        <v>1173</v>
      </c>
      <c r="H161" s="93" t="s">
        <v>165</v>
      </c>
      <c r="I161" s="87">
        <v>29.266261</v>
      </c>
      <c r="J161" s="89">
        <v>184784</v>
      </c>
      <c r="K161" s="80"/>
      <c r="L161" s="87">
        <v>186.898294142</v>
      </c>
      <c r="M161" s="88">
        <v>5.902869120565057E-8</v>
      </c>
      <c r="N161" s="88">
        <f t="shared" si="4"/>
        <v>5.1741601507629183E-3</v>
      </c>
      <c r="O161" s="88">
        <f>L161/'סכום נכסי הקרן'!$C$42</f>
        <v>5.1416523415160312E-5</v>
      </c>
    </row>
    <row r="162" spans="2:15">
      <c r="B162" s="86" t="s">
        <v>1246</v>
      </c>
      <c r="C162" s="80" t="s">
        <v>1247</v>
      </c>
      <c r="D162" s="93" t="s">
        <v>27</v>
      </c>
      <c r="E162" s="93" t="s">
        <v>1151</v>
      </c>
      <c r="F162" s="80"/>
      <c r="G162" s="93" t="s">
        <v>1237</v>
      </c>
      <c r="H162" s="93" t="s">
        <v>167</v>
      </c>
      <c r="I162" s="87">
        <v>9133.1391999999996</v>
      </c>
      <c r="J162" s="89">
        <v>798.4</v>
      </c>
      <c r="K162" s="80"/>
      <c r="L162" s="87">
        <v>282.79440131599995</v>
      </c>
      <c r="M162" s="88">
        <v>7.4643113140805105E-6</v>
      </c>
      <c r="N162" s="88">
        <f t="shared" si="4"/>
        <v>7.8289827569875403E-3</v>
      </c>
      <c r="O162" s="88">
        <f>L162/'סכום נכסי הקרן'!$C$42</f>
        <v>7.7797954356357288E-5</v>
      </c>
    </row>
    <row r="163" spans="2:15">
      <c r="B163" s="86" t="s">
        <v>1248</v>
      </c>
      <c r="C163" s="80" t="s">
        <v>1249</v>
      </c>
      <c r="D163" s="93" t="s">
        <v>27</v>
      </c>
      <c r="E163" s="93" t="s">
        <v>1151</v>
      </c>
      <c r="F163" s="80"/>
      <c r="G163" s="93" t="s">
        <v>1211</v>
      </c>
      <c r="H163" s="93" t="s">
        <v>167</v>
      </c>
      <c r="I163" s="87">
        <v>119.295785</v>
      </c>
      <c r="J163" s="89">
        <v>26370</v>
      </c>
      <c r="K163" s="80"/>
      <c r="L163" s="87">
        <v>122.001573222</v>
      </c>
      <c r="M163" s="88">
        <v>2.8026096342158619E-7</v>
      </c>
      <c r="N163" s="88">
        <f t="shared" si="4"/>
        <v>3.3775357950353827E-3</v>
      </c>
      <c r="O163" s="88">
        <f>L163/'סכום נכסי הקרן'!$C$42</f>
        <v>3.3563156769581803E-5</v>
      </c>
    </row>
    <row r="164" spans="2:15">
      <c r="B164" s="86" t="s">
        <v>1250</v>
      </c>
      <c r="C164" s="80" t="s">
        <v>1251</v>
      </c>
      <c r="D164" s="93" t="s">
        <v>1171</v>
      </c>
      <c r="E164" s="93" t="s">
        <v>1151</v>
      </c>
      <c r="F164" s="80"/>
      <c r="G164" s="93" t="s">
        <v>1252</v>
      </c>
      <c r="H164" s="93" t="s">
        <v>165</v>
      </c>
      <c r="I164" s="87">
        <v>785.96974299999999</v>
      </c>
      <c r="J164" s="89">
        <v>3522</v>
      </c>
      <c r="K164" s="80"/>
      <c r="L164" s="87">
        <v>95.668488660000008</v>
      </c>
      <c r="M164" s="88">
        <v>8.7377471770111665E-8</v>
      </c>
      <c r="N164" s="88">
        <f t="shared" si="4"/>
        <v>2.6485211327407633E-3</v>
      </c>
      <c r="O164" s="88">
        <f>L164/'סכום נכסי הקרן'!$C$42</f>
        <v>2.6318812110412404E-5</v>
      </c>
    </row>
    <row r="165" spans="2:15">
      <c r="B165" s="86" t="s">
        <v>1253</v>
      </c>
      <c r="C165" s="80" t="s">
        <v>1254</v>
      </c>
      <c r="D165" s="93" t="s">
        <v>1171</v>
      </c>
      <c r="E165" s="93" t="s">
        <v>1151</v>
      </c>
      <c r="F165" s="80"/>
      <c r="G165" s="93" t="s">
        <v>1255</v>
      </c>
      <c r="H165" s="93" t="s">
        <v>165</v>
      </c>
      <c r="I165" s="87">
        <v>23.609421000000001</v>
      </c>
      <c r="J165" s="89">
        <v>50270</v>
      </c>
      <c r="K165" s="80"/>
      <c r="L165" s="87">
        <v>41.017383037999998</v>
      </c>
      <c r="M165" s="88">
        <v>1.529397747264303E-7</v>
      </c>
      <c r="N165" s="88">
        <f t="shared" si="4"/>
        <v>1.1355401063347949E-3</v>
      </c>
      <c r="O165" s="88">
        <f>L165/'סכום נכסי הקרן'!$C$42</f>
        <v>1.128405823650584E-5</v>
      </c>
    </row>
    <row r="166" spans="2:15">
      <c r="B166" s="86" t="s">
        <v>1256</v>
      </c>
      <c r="C166" s="80" t="s">
        <v>1257</v>
      </c>
      <c r="D166" s="93" t="s">
        <v>1171</v>
      </c>
      <c r="E166" s="93" t="s">
        <v>1151</v>
      </c>
      <c r="F166" s="80"/>
      <c r="G166" s="93" t="s">
        <v>1230</v>
      </c>
      <c r="H166" s="93" t="s">
        <v>165</v>
      </c>
      <c r="I166" s="87">
        <v>71.890308000000005</v>
      </c>
      <c r="J166" s="89">
        <v>32576</v>
      </c>
      <c r="K166" s="80"/>
      <c r="L166" s="87">
        <v>80.936018179000001</v>
      </c>
      <c r="M166" s="88">
        <v>1.2773885551980517E-7</v>
      </c>
      <c r="N166" s="88">
        <f t="shared" si="4"/>
        <v>2.2406620774453453E-3</v>
      </c>
      <c r="O166" s="88">
        <f>L166/'סכום נכסי הקרן'!$C$42</f>
        <v>2.2265846207609817E-5</v>
      </c>
    </row>
    <row r="167" spans="2:15">
      <c r="B167" s="86" t="s">
        <v>1258</v>
      </c>
      <c r="C167" s="80" t="s">
        <v>1259</v>
      </c>
      <c r="D167" s="93" t="s">
        <v>125</v>
      </c>
      <c r="E167" s="93" t="s">
        <v>1151</v>
      </c>
      <c r="F167" s="80"/>
      <c r="G167" s="93" t="s">
        <v>1260</v>
      </c>
      <c r="H167" s="93" t="s">
        <v>168</v>
      </c>
      <c r="I167" s="87">
        <v>2777.3175000000001</v>
      </c>
      <c r="J167" s="89">
        <v>471.6</v>
      </c>
      <c r="K167" s="80"/>
      <c r="L167" s="87">
        <v>59.722172396000005</v>
      </c>
      <c r="M167" s="88">
        <v>1.3689157392045611E-7</v>
      </c>
      <c r="N167" s="88">
        <f t="shared" si="4"/>
        <v>1.6533702779202351E-3</v>
      </c>
      <c r="O167" s="88">
        <f>L167/'סכום נכסי הקרן'!$C$42</f>
        <v>1.6429826122811694E-5</v>
      </c>
    </row>
    <row r="168" spans="2:15">
      <c r="B168" s="86" t="s">
        <v>1261</v>
      </c>
      <c r="C168" s="80" t="s">
        <v>1262</v>
      </c>
      <c r="D168" s="93" t="s">
        <v>1171</v>
      </c>
      <c r="E168" s="93" t="s">
        <v>1151</v>
      </c>
      <c r="F168" s="80"/>
      <c r="G168" s="93" t="s">
        <v>1230</v>
      </c>
      <c r="H168" s="93" t="s">
        <v>165</v>
      </c>
      <c r="I168" s="87">
        <v>350.63078000000002</v>
      </c>
      <c r="J168" s="89">
        <v>14768</v>
      </c>
      <c r="K168" s="80"/>
      <c r="L168" s="87">
        <v>178.95566667599999</v>
      </c>
      <c r="M168" s="88">
        <v>6.3444396800586332E-7</v>
      </c>
      <c r="N168" s="88">
        <f t="shared" si="4"/>
        <v>4.9542735717248649E-3</v>
      </c>
      <c r="O168" s="88">
        <f>L168/'סכום נכסי הקרן'!$C$42</f>
        <v>4.9231472487016434E-5</v>
      </c>
    </row>
    <row r="169" spans="2:15">
      <c r="B169" s="86" t="s">
        <v>1263</v>
      </c>
      <c r="C169" s="80" t="s">
        <v>1264</v>
      </c>
      <c r="D169" s="93" t="s">
        <v>1150</v>
      </c>
      <c r="E169" s="93" t="s">
        <v>1151</v>
      </c>
      <c r="F169" s="80"/>
      <c r="G169" s="93" t="s">
        <v>1179</v>
      </c>
      <c r="H169" s="93" t="s">
        <v>165</v>
      </c>
      <c r="I169" s="87">
        <v>430.45866100000001</v>
      </c>
      <c r="J169" s="89">
        <v>4796</v>
      </c>
      <c r="K169" s="80"/>
      <c r="L169" s="87">
        <v>71.348419785000004</v>
      </c>
      <c r="M169" s="88">
        <v>1.0146912264320311E-7</v>
      </c>
      <c r="N169" s="88">
        <f t="shared" si="4"/>
        <v>1.9752355267136264E-3</v>
      </c>
      <c r="O169" s="88">
        <f>L169/'סכום נכסי הקרן'!$C$42</f>
        <v>1.9628256712300047E-5</v>
      </c>
    </row>
    <row r="170" spans="2:15">
      <c r="B170" s="86" t="s">
        <v>1265</v>
      </c>
      <c r="C170" s="80" t="s">
        <v>1266</v>
      </c>
      <c r="D170" s="93" t="s">
        <v>1171</v>
      </c>
      <c r="E170" s="93" t="s">
        <v>1151</v>
      </c>
      <c r="F170" s="80"/>
      <c r="G170" s="93" t="s">
        <v>1252</v>
      </c>
      <c r="H170" s="93" t="s">
        <v>165</v>
      </c>
      <c r="I170" s="87">
        <v>186.47798399999999</v>
      </c>
      <c r="J170" s="89">
        <v>7989</v>
      </c>
      <c r="K170" s="80"/>
      <c r="L170" s="87">
        <v>51.486541644000006</v>
      </c>
      <c r="M170" s="88">
        <v>8.5415216936705126E-8</v>
      </c>
      <c r="N170" s="88">
        <f t="shared" si="4"/>
        <v>1.4253720896595103E-3</v>
      </c>
      <c r="O170" s="88">
        <f>L170/'סכום נכסי הקרן'!$C$42</f>
        <v>1.4164168732289451E-5</v>
      </c>
    </row>
    <row r="171" spans="2:15">
      <c r="B171" s="86" t="s">
        <v>1267</v>
      </c>
      <c r="C171" s="80" t="s">
        <v>1268</v>
      </c>
      <c r="D171" s="93" t="s">
        <v>27</v>
      </c>
      <c r="E171" s="93" t="s">
        <v>1151</v>
      </c>
      <c r="F171" s="80"/>
      <c r="G171" s="93" t="s">
        <v>1269</v>
      </c>
      <c r="H171" s="93" t="s">
        <v>167</v>
      </c>
      <c r="I171" s="87">
        <v>165.80918800000001</v>
      </c>
      <c r="J171" s="89">
        <v>7390</v>
      </c>
      <c r="K171" s="80"/>
      <c r="L171" s="87">
        <v>47.520744018999999</v>
      </c>
      <c r="M171" s="88">
        <v>2.4166179854921936E-7</v>
      </c>
      <c r="N171" s="88">
        <f t="shared" si="4"/>
        <v>1.3155815100746853E-3</v>
      </c>
      <c r="O171" s="88">
        <f>L171/'סכום נכסי הקרן'!$C$42</f>
        <v>1.3073160773219065E-5</v>
      </c>
    </row>
    <row r="172" spans="2:15">
      <c r="B172" s="86" t="s">
        <v>1270</v>
      </c>
      <c r="C172" s="80" t="s">
        <v>1271</v>
      </c>
      <c r="D172" s="93" t="s">
        <v>1171</v>
      </c>
      <c r="E172" s="93" t="s">
        <v>1151</v>
      </c>
      <c r="F172" s="80"/>
      <c r="G172" s="93" t="s">
        <v>1260</v>
      </c>
      <c r="H172" s="93" t="s">
        <v>165</v>
      </c>
      <c r="I172" s="87">
        <v>1382.31296</v>
      </c>
      <c r="J172" s="89">
        <v>3353</v>
      </c>
      <c r="K172" s="80"/>
      <c r="L172" s="87">
        <v>160.181983465</v>
      </c>
      <c r="M172" s="88">
        <v>1.8620718658975975E-5</v>
      </c>
      <c r="N172" s="88">
        <f t="shared" si="4"/>
        <v>4.4345361177296977E-3</v>
      </c>
      <c r="O172" s="88">
        <f>L172/'סכום נכסי הקרן'!$C$42</f>
        <v>4.4066751605862795E-5</v>
      </c>
    </row>
    <row r="173" spans="2:15">
      <c r="B173" s="86" t="s">
        <v>1272</v>
      </c>
      <c r="C173" s="80" t="s">
        <v>1273</v>
      </c>
      <c r="D173" s="93" t="s">
        <v>27</v>
      </c>
      <c r="E173" s="93" t="s">
        <v>1151</v>
      </c>
      <c r="F173" s="80"/>
      <c r="G173" s="93" t="s">
        <v>1274</v>
      </c>
      <c r="H173" s="93" t="s">
        <v>167</v>
      </c>
      <c r="I173" s="87">
        <v>899.00878699999998</v>
      </c>
      <c r="J173" s="89">
        <v>3401</v>
      </c>
      <c r="K173" s="80"/>
      <c r="L173" s="87">
        <v>118.577085243</v>
      </c>
      <c r="M173" s="88">
        <v>7.2705529545754785E-7</v>
      </c>
      <c r="N173" s="88">
        <f t="shared" si="4"/>
        <v>3.2827310279878773E-3</v>
      </c>
      <c r="O173" s="88">
        <f>L173/'סכום נכסי הקרן'!$C$42</f>
        <v>3.2621065418959785E-5</v>
      </c>
    </row>
    <row r="174" spans="2:15">
      <c r="B174" s="86" t="s">
        <v>1275</v>
      </c>
      <c r="C174" s="80" t="s">
        <v>1276</v>
      </c>
      <c r="D174" s="93" t="s">
        <v>27</v>
      </c>
      <c r="E174" s="93" t="s">
        <v>1151</v>
      </c>
      <c r="F174" s="80"/>
      <c r="G174" s="93" t="s">
        <v>1230</v>
      </c>
      <c r="H174" s="93" t="s">
        <v>167</v>
      </c>
      <c r="I174" s="87">
        <v>83.297306000000006</v>
      </c>
      <c r="J174" s="89">
        <v>10200</v>
      </c>
      <c r="K174" s="80"/>
      <c r="L174" s="87">
        <v>32.950448627999997</v>
      </c>
      <c r="M174" s="88">
        <v>8.4997251020408172E-7</v>
      </c>
      <c r="N174" s="88">
        <f t="shared" si="4"/>
        <v>9.1221216878108115E-4</v>
      </c>
      <c r="O174" s="88">
        <f>L174/'סכום נכסי הקרן'!$C$42</f>
        <v>9.064809934190174E-6</v>
      </c>
    </row>
    <row r="175" spans="2:15">
      <c r="B175" s="86" t="s">
        <v>1277</v>
      </c>
      <c r="C175" s="80" t="s">
        <v>1278</v>
      </c>
      <c r="D175" s="93" t="s">
        <v>27</v>
      </c>
      <c r="E175" s="93" t="s">
        <v>1151</v>
      </c>
      <c r="F175" s="80"/>
      <c r="G175" s="93" t="s">
        <v>1179</v>
      </c>
      <c r="H175" s="93" t="s">
        <v>172</v>
      </c>
      <c r="I175" s="87">
        <v>3597.2938300000005</v>
      </c>
      <c r="J175" s="89">
        <v>8156</v>
      </c>
      <c r="K175" s="80"/>
      <c r="L175" s="87">
        <v>108.996348279</v>
      </c>
      <c r="M175" s="88">
        <v>1.1708432507948606E-6</v>
      </c>
      <c r="N175" s="88">
        <f t="shared" si="4"/>
        <v>3.0174944315724678E-3</v>
      </c>
      <c r="O175" s="88">
        <f>L175/'סכום נכסי הקרן'!$C$42</f>
        <v>2.9985363532511702E-5</v>
      </c>
    </row>
    <row r="176" spans="2:15">
      <c r="B176" s="86" t="s">
        <v>1279</v>
      </c>
      <c r="C176" s="80" t="s">
        <v>1280</v>
      </c>
      <c r="D176" s="93" t="s">
        <v>1281</v>
      </c>
      <c r="E176" s="93" t="s">
        <v>1151</v>
      </c>
      <c r="F176" s="80"/>
      <c r="G176" s="93" t="s">
        <v>1230</v>
      </c>
      <c r="H176" s="93" t="s">
        <v>167</v>
      </c>
      <c r="I176" s="87">
        <v>343.87856499999992</v>
      </c>
      <c r="J176" s="89">
        <v>2697</v>
      </c>
      <c r="K176" s="80"/>
      <c r="L176" s="87">
        <v>35.967997114999996</v>
      </c>
      <c r="M176" s="88">
        <v>4.6772489380367918E-7</v>
      </c>
      <c r="N176" s="88">
        <f t="shared" si="4"/>
        <v>9.9575107536183246E-4</v>
      </c>
      <c r="O176" s="88">
        <f>L176/'סכום נכסי הקרן'!$C$42</f>
        <v>9.8949504828264143E-6</v>
      </c>
    </row>
    <row r="177" spans="2:15">
      <c r="B177" s="86" t="s">
        <v>1282</v>
      </c>
      <c r="C177" s="80" t="s">
        <v>1283</v>
      </c>
      <c r="D177" s="93" t="s">
        <v>1171</v>
      </c>
      <c r="E177" s="93" t="s">
        <v>1151</v>
      </c>
      <c r="F177" s="80"/>
      <c r="G177" s="93" t="s">
        <v>1255</v>
      </c>
      <c r="H177" s="93" t="s">
        <v>165</v>
      </c>
      <c r="I177" s="87">
        <v>32.901214000000003</v>
      </c>
      <c r="J177" s="89">
        <v>22993</v>
      </c>
      <c r="K177" s="80"/>
      <c r="L177" s="87">
        <v>26.144557551000002</v>
      </c>
      <c r="M177" s="88">
        <v>9.2918434787694661E-8</v>
      </c>
      <c r="N177" s="88">
        <f t="shared" si="4"/>
        <v>7.2379541215573115E-4</v>
      </c>
      <c r="O177" s="88">
        <f>L177/'סכום נכסי הקרן'!$C$42</f>
        <v>7.1924800687515421E-6</v>
      </c>
    </row>
    <row r="178" spans="2:15">
      <c r="B178" s="86" t="s">
        <v>1284</v>
      </c>
      <c r="C178" s="80" t="s">
        <v>1285</v>
      </c>
      <c r="D178" s="93" t="s">
        <v>27</v>
      </c>
      <c r="E178" s="93" t="s">
        <v>1151</v>
      </c>
      <c r="F178" s="80"/>
      <c r="G178" s="93" t="s">
        <v>1173</v>
      </c>
      <c r="H178" s="93" t="s">
        <v>172</v>
      </c>
      <c r="I178" s="87">
        <v>833.19524999999999</v>
      </c>
      <c r="J178" s="89">
        <v>19048</v>
      </c>
      <c r="K178" s="80"/>
      <c r="L178" s="87">
        <v>58.959662098000003</v>
      </c>
      <c r="M178" s="88">
        <v>5.7041912900363664E-7</v>
      </c>
      <c r="N178" s="88">
        <f t="shared" si="4"/>
        <v>1.6322606663179997E-3</v>
      </c>
      <c r="O178" s="88">
        <f>L178/'סכום נכסי הקרן'!$C$42</f>
        <v>1.6220056264978584E-5</v>
      </c>
    </row>
    <row r="179" spans="2:15">
      <c r="B179" s="86" t="s">
        <v>1286</v>
      </c>
      <c r="C179" s="80" t="s">
        <v>1287</v>
      </c>
      <c r="D179" s="93" t="s">
        <v>1171</v>
      </c>
      <c r="E179" s="93" t="s">
        <v>1151</v>
      </c>
      <c r="F179" s="80"/>
      <c r="G179" s="93" t="s">
        <v>1252</v>
      </c>
      <c r="H179" s="93" t="s">
        <v>165</v>
      </c>
      <c r="I179" s="87">
        <v>187.313401</v>
      </c>
      <c r="J179" s="89">
        <v>13940</v>
      </c>
      <c r="K179" s="80"/>
      <c r="L179" s="87">
        <v>90.241303094000003</v>
      </c>
      <c r="M179" s="88">
        <v>5.9720803874012187E-8</v>
      </c>
      <c r="N179" s="88">
        <f t="shared" si="4"/>
        <v>2.4982729594478724E-3</v>
      </c>
      <c r="O179" s="88">
        <f>L179/'סכום נכסי הקרן'!$C$42</f>
        <v>2.4825770052357841E-5</v>
      </c>
    </row>
    <row r="180" spans="2:15">
      <c r="B180" s="86" t="s">
        <v>1288</v>
      </c>
      <c r="C180" s="80" t="s">
        <v>1289</v>
      </c>
      <c r="D180" s="93" t="s">
        <v>1171</v>
      </c>
      <c r="E180" s="93" t="s">
        <v>1151</v>
      </c>
      <c r="F180" s="80"/>
      <c r="G180" s="93" t="s">
        <v>1234</v>
      </c>
      <c r="H180" s="93" t="s">
        <v>165</v>
      </c>
      <c r="I180" s="87">
        <v>502.56893300000002</v>
      </c>
      <c r="J180" s="89">
        <v>1929</v>
      </c>
      <c r="K180" s="80"/>
      <c r="L180" s="87">
        <v>33.504381082000002</v>
      </c>
      <c r="M180" s="88">
        <v>1.0741728037515015E-5</v>
      </c>
      <c r="N180" s="88">
        <f t="shared" si="4"/>
        <v>9.2754743571253607E-4</v>
      </c>
      <c r="O180" s="88">
        <f>L180/'סכום נכסי הקרן'!$C$42</f>
        <v>9.2171991313321732E-6</v>
      </c>
    </row>
    <row r="181" spans="2:15">
      <c r="B181" s="86" t="s">
        <v>1290</v>
      </c>
      <c r="C181" s="80" t="s">
        <v>1291</v>
      </c>
      <c r="D181" s="93" t="s">
        <v>1171</v>
      </c>
      <c r="E181" s="93" t="s">
        <v>1151</v>
      </c>
      <c r="F181" s="80"/>
      <c r="G181" s="93" t="s">
        <v>1230</v>
      </c>
      <c r="H181" s="93" t="s">
        <v>165</v>
      </c>
      <c r="I181" s="87">
        <v>57.579346000000008</v>
      </c>
      <c r="J181" s="89">
        <v>38938</v>
      </c>
      <c r="K181" s="80"/>
      <c r="L181" s="87">
        <v>77.484369844999989</v>
      </c>
      <c r="M181" s="88">
        <v>2.0413038090941922E-7</v>
      </c>
      <c r="N181" s="88">
        <f t="shared" si="4"/>
        <v>2.1451053932807431E-3</v>
      </c>
      <c r="O181" s="88">
        <f>L181/'סכום נכסי הקרן'!$C$42</f>
        <v>2.1316282926678139E-5</v>
      </c>
    </row>
    <row r="182" spans="2:15">
      <c r="B182" s="86" t="s">
        <v>1292</v>
      </c>
      <c r="C182" s="80" t="s">
        <v>1293</v>
      </c>
      <c r="D182" s="93" t="s">
        <v>1171</v>
      </c>
      <c r="E182" s="93" t="s">
        <v>1151</v>
      </c>
      <c r="F182" s="80"/>
      <c r="G182" s="93" t="s">
        <v>1161</v>
      </c>
      <c r="H182" s="93" t="s">
        <v>165</v>
      </c>
      <c r="I182" s="87">
        <v>165.871399</v>
      </c>
      <c r="J182" s="89">
        <v>29859</v>
      </c>
      <c r="K182" s="80"/>
      <c r="L182" s="87">
        <v>171.16718225299996</v>
      </c>
      <c r="M182" s="88">
        <v>1.6629558928134624E-7</v>
      </c>
      <c r="N182" s="88">
        <f t="shared" si="4"/>
        <v>4.7386543445867802E-3</v>
      </c>
      <c r="O182" s="88">
        <f>L182/'סכום נכסי הקרן'!$C$42</f>
        <v>4.7088826972020262E-5</v>
      </c>
    </row>
    <row r="183" spans="2:15">
      <c r="B183" s="86" t="s">
        <v>1294</v>
      </c>
      <c r="C183" s="80" t="s">
        <v>1295</v>
      </c>
      <c r="D183" s="93" t="s">
        <v>1171</v>
      </c>
      <c r="E183" s="93" t="s">
        <v>1151</v>
      </c>
      <c r="F183" s="80"/>
      <c r="G183" s="93" t="s">
        <v>1296</v>
      </c>
      <c r="H183" s="93" t="s">
        <v>165</v>
      </c>
      <c r="I183" s="87">
        <v>260.02246300000002</v>
      </c>
      <c r="J183" s="89">
        <v>19761</v>
      </c>
      <c r="K183" s="80"/>
      <c r="L183" s="87">
        <v>177.579782276</v>
      </c>
      <c r="M183" s="88">
        <v>3.4527256320420509E-7</v>
      </c>
      <c r="N183" s="88">
        <f t="shared" si="4"/>
        <v>4.9161830890523612E-3</v>
      </c>
      <c r="O183" s="88">
        <f>L183/'סכום נכסי הקרן'!$C$42</f>
        <v>4.8852960779384666E-5</v>
      </c>
    </row>
    <row r="184" spans="2:15">
      <c r="B184" s="86" t="s">
        <v>1297</v>
      </c>
      <c r="C184" s="80" t="s">
        <v>1298</v>
      </c>
      <c r="D184" s="93" t="s">
        <v>1150</v>
      </c>
      <c r="E184" s="93" t="s">
        <v>1151</v>
      </c>
      <c r="F184" s="80"/>
      <c r="G184" s="93" t="s">
        <v>1299</v>
      </c>
      <c r="H184" s="93" t="s">
        <v>165</v>
      </c>
      <c r="I184" s="87">
        <v>858.68324800000005</v>
      </c>
      <c r="J184" s="89">
        <v>15770</v>
      </c>
      <c r="K184" s="80"/>
      <c r="L184" s="87">
        <v>467.99198749799996</v>
      </c>
      <c r="M184" s="88">
        <v>1.1255801903956705E-7</v>
      </c>
      <c r="N184" s="88">
        <f t="shared" si="4"/>
        <v>1.2956059891850745E-2</v>
      </c>
      <c r="O184" s="88">
        <f>L184/'סכום נכסי הקרן'!$C$42</f>
        <v>1.2874660570746734E-4</v>
      </c>
    </row>
    <row r="185" spans="2:15">
      <c r="B185" s="86" t="s">
        <v>1300</v>
      </c>
      <c r="C185" s="80" t="s">
        <v>1301</v>
      </c>
      <c r="D185" s="93" t="s">
        <v>1171</v>
      </c>
      <c r="E185" s="93" t="s">
        <v>1151</v>
      </c>
      <c r="F185" s="80"/>
      <c r="G185" s="93" t="s">
        <v>1255</v>
      </c>
      <c r="H185" s="93" t="s">
        <v>165</v>
      </c>
      <c r="I185" s="87">
        <v>41.838622000000008</v>
      </c>
      <c r="J185" s="89">
        <v>23741</v>
      </c>
      <c r="K185" s="80"/>
      <c r="L185" s="87">
        <v>34.328127252999998</v>
      </c>
      <c r="M185" s="88">
        <v>2.2160287076271191E-7</v>
      </c>
      <c r="N185" s="88">
        <f t="shared" si="4"/>
        <v>9.5035232342913245E-4</v>
      </c>
      <c r="O185" s="88">
        <f>L185/'סכום נכסי הקרן'!$C$42</f>
        <v>9.4438152408253416E-6</v>
      </c>
    </row>
    <row r="186" spans="2:15">
      <c r="B186" s="86" t="s">
        <v>1302</v>
      </c>
      <c r="C186" s="80" t="s">
        <v>1303</v>
      </c>
      <c r="D186" s="93" t="s">
        <v>141</v>
      </c>
      <c r="E186" s="93" t="s">
        <v>1151</v>
      </c>
      <c r="F186" s="80"/>
      <c r="G186" s="93" t="s">
        <v>1269</v>
      </c>
      <c r="H186" s="93" t="s">
        <v>1231</v>
      </c>
      <c r="I186" s="87">
        <v>134.422167</v>
      </c>
      <c r="J186" s="89">
        <v>10478</v>
      </c>
      <c r="K186" s="80"/>
      <c r="L186" s="87">
        <v>50.352997903000002</v>
      </c>
      <c r="M186" s="88">
        <v>4.5168738911290324E-8</v>
      </c>
      <c r="N186" s="88">
        <f t="shared" si="4"/>
        <v>1.3939906536718026E-3</v>
      </c>
      <c r="O186" s="88">
        <f>L186/'סכום נכסי הקרן'!$C$42</f>
        <v>1.3852325980760892E-5</v>
      </c>
    </row>
    <row r="187" spans="2:15">
      <c r="B187" s="86" t="s">
        <v>1304</v>
      </c>
      <c r="C187" s="80" t="s">
        <v>1305</v>
      </c>
      <c r="D187" s="93" t="s">
        <v>1150</v>
      </c>
      <c r="E187" s="93" t="s">
        <v>1151</v>
      </c>
      <c r="F187" s="80"/>
      <c r="G187" s="93" t="s">
        <v>1299</v>
      </c>
      <c r="H187" s="93" t="s">
        <v>165</v>
      </c>
      <c r="I187" s="87">
        <v>99.627932999999999</v>
      </c>
      <c r="J187" s="89">
        <v>32357</v>
      </c>
      <c r="K187" s="80"/>
      <c r="L187" s="87">
        <v>111.40972552700001</v>
      </c>
      <c r="M187" s="88">
        <v>2.2733061031567211E-7</v>
      </c>
      <c r="N187" s="88">
        <f t="shared" si="4"/>
        <v>3.084307242479517E-3</v>
      </c>
      <c r="O187" s="88">
        <f>L187/'סכום נכסי הקרן'!$C$42</f>
        <v>3.0649293978485324E-5</v>
      </c>
    </row>
    <row r="188" spans="2:15">
      <c r="B188" s="86" t="s">
        <v>1306</v>
      </c>
      <c r="C188" s="80" t="s">
        <v>1307</v>
      </c>
      <c r="D188" s="93" t="s">
        <v>1171</v>
      </c>
      <c r="E188" s="93" t="s">
        <v>1151</v>
      </c>
      <c r="F188" s="80"/>
      <c r="G188" s="93" t="s">
        <v>1234</v>
      </c>
      <c r="H188" s="93" t="s">
        <v>165</v>
      </c>
      <c r="I188" s="87">
        <v>171.08275800000004</v>
      </c>
      <c r="J188" s="89">
        <v>10131</v>
      </c>
      <c r="K188" s="87">
        <v>0.22011072200000001</v>
      </c>
      <c r="L188" s="87">
        <v>60.120865122000012</v>
      </c>
      <c r="M188" s="88">
        <v>1.373025449907758E-7</v>
      </c>
      <c r="N188" s="88">
        <f t="shared" si="4"/>
        <v>1.6644078319264849E-3</v>
      </c>
      <c r="O188" s="88">
        <f>L188/'סכום נכסי הקרן'!$C$42</f>
        <v>1.6539508204052407E-5</v>
      </c>
    </row>
    <row r="189" spans="2:15">
      <c r="B189" s="86" t="s">
        <v>1308</v>
      </c>
      <c r="C189" s="80" t="s">
        <v>1309</v>
      </c>
      <c r="D189" s="93" t="s">
        <v>1171</v>
      </c>
      <c r="E189" s="93" t="s">
        <v>1151</v>
      </c>
      <c r="F189" s="80"/>
      <c r="G189" s="93" t="s">
        <v>1155</v>
      </c>
      <c r="H189" s="93" t="s">
        <v>165</v>
      </c>
      <c r="I189" s="87">
        <v>383.83868799999999</v>
      </c>
      <c r="J189" s="89">
        <v>4791</v>
      </c>
      <c r="K189" s="87">
        <v>0.59694592800000001</v>
      </c>
      <c r="L189" s="87">
        <v>64.151789016999999</v>
      </c>
      <c r="M189" s="88">
        <v>6.6999224416393811E-7</v>
      </c>
      <c r="N189" s="88">
        <f t="shared" si="4"/>
        <v>1.7760013907870099E-3</v>
      </c>
      <c r="O189" s="88">
        <f>L189/'סכום נכסי הקרן'!$C$42</f>
        <v>1.7648432679706148E-5</v>
      </c>
    </row>
    <row r="190" spans="2:15">
      <c r="B190" s="86" t="s">
        <v>1196</v>
      </c>
      <c r="C190" s="80" t="s">
        <v>1197</v>
      </c>
      <c r="D190" s="93" t="s">
        <v>1171</v>
      </c>
      <c r="E190" s="93" t="s">
        <v>1151</v>
      </c>
      <c r="F190" s="80"/>
      <c r="G190" s="93" t="s">
        <v>192</v>
      </c>
      <c r="H190" s="93" t="s">
        <v>165</v>
      </c>
      <c r="I190" s="87">
        <v>1122.3356839999999</v>
      </c>
      <c r="J190" s="89">
        <v>7452</v>
      </c>
      <c r="K190" s="80"/>
      <c r="L190" s="87">
        <v>289.04758913899997</v>
      </c>
      <c r="M190" s="88">
        <v>2.2009231346494823E-5</v>
      </c>
      <c r="N190" s="88">
        <f>L190/$L$11</f>
        <v>8.0020982762999873E-3</v>
      </c>
      <c r="O190" s="88">
        <f>L190/'סכום נכסי הקרן'!$C$42</f>
        <v>7.9518233182853133E-5</v>
      </c>
    </row>
    <row r="191" spans="2:15">
      <c r="B191" s="86" t="s">
        <v>1310</v>
      </c>
      <c r="C191" s="80" t="s">
        <v>1311</v>
      </c>
      <c r="D191" s="93" t="s">
        <v>1171</v>
      </c>
      <c r="E191" s="93" t="s">
        <v>1151</v>
      </c>
      <c r="F191" s="80"/>
      <c r="G191" s="93" t="s">
        <v>1179</v>
      </c>
      <c r="H191" s="93" t="s">
        <v>165</v>
      </c>
      <c r="I191" s="87">
        <v>178.21963500000001</v>
      </c>
      <c r="J191" s="89">
        <v>23125</v>
      </c>
      <c r="K191" s="80"/>
      <c r="L191" s="87">
        <v>142.433132452</v>
      </c>
      <c r="M191" s="88">
        <v>1.8193579180590019E-6</v>
      </c>
      <c r="N191" s="88">
        <f t="shared" si="4"/>
        <v>3.9431704899432884E-3</v>
      </c>
      <c r="O191" s="88">
        <f>L191/'סכום נכסי הקרן'!$C$42</f>
        <v>3.9183966463860636E-5</v>
      </c>
    </row>
    <row r="192" spans="2:15">
      <c r="B192" s="86" t="s">
        <v>1312</v>
      </c>
      <c r="C192" s="80" t="s">
        <v>1313</v>
      </c>
      <c r="D192" s="93" t="s">
        <v>1150</v>
      </c>
      <c r="E192" s="93" t="s">
        <v>1151</v>
      </c>
      <c r="F192" s="80"/>
      <c r="G192" s="93" t="s">
        <v>1179</v>
      </c>
      <c r="H192" s="93" t="s">
        <v>165</v>
      </c>
      <c r="I192" s="87">
        <v>220.06019699999996</v>
      </c>
      <c r="J192" s="89">
        <v>10817</v>
      </c>
      <c r="K192" s="80"/>
      <c r="L192" s="87">
        <v>82.266318045000006</v>
      </c>
      <c r="M192" s="88">
        <v>1.8741407951261657E-7</v>
      </c>
      <c r="N192" s="88">
        <f t="shared" si="4"/>
        <v>2.2774905813480765E-3</v>
      </c>
      <c r="O192" s="88">
        <f>L192/'סכום נכסי הקרן'!$C$42</f>
        <v>2.2631817414160292E-5</v>
      </c>
    </row>
    <row r="193" spans="2:15">
      <c r="B193" s="86" t="s">
        <v>1200</v>
      </c>
      <c r="C193" s="80" t="s">
        <v>1201</v>
      </c>
      <c r="D193" s="93" t="s">
        <v>1150</v>
      </c>
      <c r="E193" s="93" t="s">
        <v>1151</v>
      </c>
      <c r="F193" s="80"/>
      <c r="G193" s="93" t="s">
        <v>890</v>
      </c>
      <c r="H193" s="93" t="s">
        <v>165</v>
      </c>
      <c r="I193" s="87">
        <v>933.14640799999995</v>
      </c>
      <c r="J193" s="89">
        <v>5166</v>
      </c>
      <c r="K193" s="80"/>
      <c r="L193" s="87">
        <v>166.60112298199999</v>
      </c>
      <c r="M193" s="88">
        <v>6.8558459946316929E-6</v>
      </c>
      <c r="N193" s="88">
        <f>L193/$L$11</f>
        <v>4.612245903918618E-3</v>
      </c>
      <c r="O193" s="88">
        <f>L193/'סכום נכסי הקרן'!$C$42</f>
        <v>4.5832684456112607E-5</v>
      </c>
    </row>
    <row r="194" spans="2:15">
      <c r="B194" s="86" t="s">
        <v>1314</v>
      </c>
      <c r="C194" s="80" t="s">
        <v>1315</v>
      </c>
      <c r="D194" s="93" t="s">
        <v>1171</v>
      </c>
      <c r="E194" s="93" t="s">
        <v>1151</v>
      </c>
      <c r="F194" s="80"/>
      <c r="G194" s="93" t="s">
        <v>1237</v>
      </c>
      <c r="H194" s="93" t="s">
        <v>165</v>
      </c>
      <c r="I194" s="87">
        <v>392.48162200000002</v>
      </c>
      <c r="J194" s="89">
        <v>8914</v>
      </c>
      <c r="K194" s="80"/>
      <c r="L194" s="87">
        <v>120.910965433</v>
      </c>
      <c r="M194" s="88">
        <v>6.2123646645203598E-7</v>
      </c>
      <c r="N194" s="88">
        <f t="shared" si="4"/>
        <v>3.3473430135128926E-3</v>
      </c>
      <c r="O194" s="88">
        <f>L194/'סכום נכסי הקרן'!$C$42</f>
        <v>3.326312588285113E-5</v>
      </c>
    </row>
    <row r="195" spans="2:15">
      <c r="B195" s="86" t="s">
        <v>1316</v>
      </c>
      <c r="C195" s="80" t="s">
        <v>1317</v>
      </c>
      <c r="D195" s="93" t="s">
        <v>1150</v>
      </c>
      <c r="E195" s="93" t="s">
        <v>1151</v>
      </c>
      <c r="F195" s="80"/>
      <c r="G195" s="93" t="s">
        <v>1173</v>
      </c>
      <c r="H195" s="93" t="s">
        <v>165</v>
      </c>
      <c r="I195" s="87">
        <v>199.96686000000003</v>
      </c>
      <c r="J195" s="89">
        <v>11642</v>
      </c>
      <c r="K195" s="80"/>
      <c r="L195" s="87">
        <v>80.456170202999999</v>
      </c>
      <c r="M195" s="88">
        <v>5.571933656184177E-7</v>
      </c>
      <c r="N195" s="88">
        <f t="shared" si="4"/>
        <v>2.2273777920684169E-3</v>
      </c>
      <c r="O195" s="88">
        <f>L195/'סכום נכסי הקרן'!$C$42</f>
        <v>2.2133837968545972E-5</v>
      </c>
    </row>
    <row r="196" spans="2:15">
      <c r="B196" s="86" t="s">
        <v>1318</v>
      </c>
      <c r="C196" s="80" t="s">
        <v>1319</v>
      </c>
      <c r="D196" s="93" t="s">
        <v>1171</v>
      </c>
      <c r="E196" s="93" t="s">
        <v>1151</v>
      </c>
      <c r="F196" s="80"/>
      <c r="G196" s="93" t="s">
        <v>1255</v>
      </c>
      <c r="H196" s="93" t="s">
        <v>165</v>
      </c>
      <c r="I196" s="87">
        <v>35.534111000000003</v>
      </c>
      <c r="J196" s="89">
        <v>27305</v>
      </c>
      <c r="K196" s="80"/>
      <c r="L196" s="87">
        <v>33.532147636000005</v>
      </c>
      <c r="M196" s="88">
        <v>1.4539325286415712E-7</v>
      </c>
      <c r="N196" s="88">
        <f t="shared" si="4"/>
        <v>9.2831613506257754E-4</v>
      </c>
      <c r="O196" s="88">
        <f>L196/'סכום נכסי הקרן'!$C$42</f>
        <v>9.2248378295902465E-6</v>
      </c>
    </row>
    <row r="197" spans="2:15">
      <c r="B197" s="86" t="s">
        <v>1320</v>
      </c>
      <c r="C197" s="80" t="s">
        <v>1321</v>
      </c>
      <c r="D197" s="93" t="s">
        <v>27</v>
      </c>
      <c r="E197" s="93" t="s">
        <v>1151</v>
      </c>
      <c r="F197" s="80"/>
      <c r="G197" s="93" t="s">
        <v>1230</v>
      </c>
      <c r="H197" s="93" t="s">
        <v>172</v>
      </c>
      <c r="I197" s="87">
        <v>358.345057</v>
      </c>
      <c r="J197" s="89">
        <v>31380</v>
      </c>
      <c r="K197" s="80"/>
      <c r="L197" s="87">
        <v>41.774684188000002</v>
      </c>
      <c r="M197" s="88">
        <v>2.6849980320981988E-6</v>
      </c>
      <c r="N197" s="88">
        <f t="shared" si="4"/>
        <v>1.1565055059947825E-3</v>
      </c>
      <c r="O197" s="88">
        <f>L197/'סכום נכסי הקרן'!$C$42</f>
        <v>1.1492395035351737E-5</v>
      </c>
    </row>
    <row r="198" spans="2:15">
      <c r="B198" s="86" t="s">
        <v>1322</v>
      </c>
      <c r="C198" s="80" t="s">
        <v>1323</v>
      </c>
      <c r="D198" s="93" t="s">
        <v>27</v>
      </c>
      <c r="E198" s="93" t="s">
        <v>1151</v>
      </c>
      <c r="F198" s="80"/>
      <c r="G198" s="93" t="s">
        <v>1161</v>
      </c>
      <c r="H198" s="93" t="s">
        <v>167</v>
      </c>
      <c r="I198" s="87">
        <v>111.09269999999998</v>
      </c>
      <c r="J198" s="89">
        <v>12032</v>
      </c>
      <c r="K198" s="80"/>
      <c r="L198" s="87">
        <v>51.838633804000004</v>
      </c>
      <c r="M198" s="88">
        <v>9.0429233769892803E-8</v>
      </c>
      <c r="N198" s="88">
        <f t="shared" si="4"/>
        <v>1.4351195366976513E-3</v>
      </c>
      <c r="O198" s="88">
        <f>L198/'סכום נכסי הקרן'!$C$42</f>
        <v>1.4261030797681979E-5</v>
      </c>
    </row>
    <row r="199" spans="2:15">
      <c r="B199" s="86" t="s">
        <v>1324</v>
      </c>
      <c r="C199" s="80" t="s">
        <v>1325</v>
      </c>
      <c r="D199" s="93" t="s">
        <v>125</v>
      </c>
      <c r="E199" s="93" t="s">
        <v>1151</v>
      </c>
      <c r="F199" s="80"/>
      <c r="G199" s="93" t="s">
        <v>1237</v>
      </c>
      <c r="H199" s="93" t="s">
        <v>168</v>
      </c>
      <c r="I199" s="87">
        <v>5258.822913</v>
      </c>
      <c r="J199" s="89">
        <v>897.2</v>
      </c>
      <c r="K199" s="80"/>
      <c r="L199" s="87">
        <v>215.13649119800002</v>
      </c>
      <c r="M199" s="88">
        <v>4.7953721349815509E-6</v>
      </c>
      <c r="N199" s="88">
        <f t="shared" si="4"/>
        <v>5.9559166382006081E-3</v>
      </c>
      <c r="O199" s="88">
        <f>L199/'סכום נכסי הקרן'!$C$42</f>
        <v>5.9184972703566423E-5</v>
      </c>
    </row>
    <row r="200" spans="2:15">
      <c r="B200" s="86" t="s">
        <v>1326</v>
      </c>
      <c r="C200" s="80" t="s">
        <v>1327</v>
      </c>
      <c r="D200" s="93" t="s">
        <v>27</v>
      </c>
      <c r="E200" s="93" t="s">
        <v>1151</v>
      </c>
      <c r="F200" s="80"/>
      <c r="G200" s="93" t="s">
        <v>1230</v>
      </c>
      <c r="H200" s="93" t="s">
        <v>167</v>
      </c>
      <c r="I200" s="87">
        <v>134.08888899999999</v>
      </c>
      <c r="J200" s="89">
        <v>11654</v>
      </c>
      <c r="K200" s="80"/>
      <c r="L200" s="87">
        <v>60.603542062000002</v>
      </c>
      <c r="M200" s="88">
        <v>1.5775163411764704E-7</v>
      </c>
      <c r="N200" s="88">
        <f t="shared" si="4"/>
        <v>1.6777704353686685E-3</v>
      </c>
      <c r="O200" s="88">
        <f>L200/'סכום נכסי הקרן'!$C$42</f>
        <v>1.6672294703262569E-5</v>
      </c>
    </row>
    <row r="201" spans="2:15">
      <c r="B201" s="86" t="s">
        <v>1328</v>
      </c>
      <c r="C201" s="80" t="s">
        <v>1329</v>
      </c>
      <c r="D201" s="93" t="s">
        <v>1150</v>
      </c>
      <c r="E201" s="93" t="s">
        <v>1151</v>
      </c>
      <c r="F201" s="80"/>
      <c r="G201" s="93" t="s">
        <v>1296</v>
      </c>
      <c r="H201" s="93" t="s">
        <v>165</v>
      </c>
      <c r="I201" s="87">
        <v>216.630765</v>
      </c>
      <c r="J201" s="89">
        <v>8792</v>
      </c>
      <c r="K201" s="80"/>
      <c r="L201" s="87">
        <v>65.823587224000008</v>
      </c>
      <c r="M201" s="88">
        <v>1.8342994496189671E-7</v>
      </c>
      <c r="N201" s="88">
        <f t="shared" si="4"/>
        <v>1.8222840586010038E-3</v>
      </c>
      <c r="O201" s="88">
        <f>L201/'סכום נכסי הקרן'!$C$42</f>
        <v>1.8108351546543585E-5</v>
      </c>
    </row>
    <row r="202" spans="2:15">
      <c r="B202" s="86" t="s">
        <v>1330</v>
      </c>
      <c r="C202" s="80" t="s">
        <v>1331</v>
      </c>
      <c r="D202" s="93" t="s">
        <v>1171</v>
      </c>
      <c r="E202" s="93" t="s">
        <v>1151</v>
      </c>
      <c r="F202" s="80"/>
      <c r="G202" s="93" t="s">
        <v>1173</v>
      </c>
      <c r="H202" s="93" t="s">
        <v>165</v>
      </c>
      <c r="I202" s="87">
        <v>209.965203</v>
      </c>
      <c r="J202" s="89">
        <v>12821</v>
      </c>
      <c r="K202" s="80"/>
      <c r="L202" s="87">
        <v>93.03427126599999</v>
      </c>
      <c r="M202" s="88">
        <v>4.1434738900843227E-7</v>
      </c>
      <c r="N202" s="88">
        <f t="shared" si="4"/>
        <v>2.5755945031476334E-3</v>
      </c>
      <c r="O202" s="88">
        <f>L202/'סכום נכסי הקרן'!$C$42</f>
        <v>2.5594127591802947E-5</v>
      </c>
    </row>
    <row r="203" spans="2:15">
      <c r="B203" s="86" t="s">
        <v>1332</v>
      </c>
      <c r="C203" s="80" t="s">
        <v>1333</v>
      </c>
      <c r="D203" s="93" t="s">
        <v>27</v>
      </c>
      <c r="E203" s="93" t="s">
        <v>1151</v>
      </c>
      <c r="F203" s="80"/>
      <c r="G203" s="93" t="s">
        <v>1230</v>
      </c>
      <c r="H203" s="93" t="s">
        <v>167</v>
      </c>
      <c r="I203" s="87">
        <v>100.90549900000001</v>
      </c>
      <c r="J203" s="89">
        <v>9252</v>
      </c>
      <c r="K203" s="80"/>
      <c r="L203" s="87">
        <v>36.206009602999998</v>
      </c>
      <c r="M203" s="88">
        <v>4.7302962092572002E-7</v>
      </c>
      <c r="N203" s="88">
        <f t="shared" si="4"/>
        <v>1.0023402993911213E-3</v>
      </c>
      <c r="O203" s="88">
        <f>L203/'סכום נכסי הקרן'!$C$42</f>
        <v>9.9604287404987644E-6</v>
      </c>
    </row>
    <row r="204" spans="2:15">
      <c r="B204" s="86" t="s">
        <v>1334</v>
      </c>
      <c r="C204" s="80" t="s">
        <v>1335</v>
      </c>
      <c r="D204" s="93" t="s">
        <v>1171</v>
      </c>
      <c r="E204" s="93" t="s">
        <v>1151</v>
      </c>
      <c r="F204" s="80"/>
      <c r="G204" s="93" t="s">
        <v>1173</v>
      </c>
      <c r="H204" s="93" t="s">
        <v>165</v>
      </c>
      <c r="I204" s="87">
        <v>411.04298999999997</v>
      </c>
      <c r="J204" s="89">
        <v>6106</v>
      </c>
      <c r="K204" s="80"/>
      <c r="L204" s="87">
        <v>86.739672853999991</v>
      </c>
      <c r="M204" s="88">
        <v>3.4162945273868954E-7</v>
      </c>
      <c r="N204" s="88">
        <f t="shared" si="4"/>
        <v>2.4013325580724111E-3</v>
      </c>
      <c r="O204" s="88">
        <f>L204/'סכום נכסי הקרן'!$C$42</f>
        <v>2.3862456534421696E-5</v>
      </c>
    </row>
    <row r="205" spans="2:15">
      <c r="B205" s="86" t="s">
        <v>1336</v>
      </c>
      <c r="C205" s="80" t="s">
        <v>1337</v>
      </c>
      <c r="D205" s="93" t="s">
        <v>27</v>
      </c>
      <c r="E205" s="93" t="s">
        <v>1151</v>
      </c>
      <c r="F205" s="80"/>
      <c r="G205" s="93" t="s">
        <v>1260</v>
      </c>
      <c r="H205" s="93" t="s">
        <v>167</v>
      </c>
      <c r="I205" s="87">
        <v>311.05955999999998</v>
      </c>
      <c r="J205" s="89">
        <v>4920</v>
      </c>
      <c r="K205" s="80"/>
      <c r="L205" s="87">
        <v>59.352478330999993</v>
      </c>
      <c r="M205" s="88">
        <v>1.1955179773157004E-7</v>
      </c>
      <c r="N205" s="88">
        <f t="shared" si="4"/>
        <v>1.643135533361019E-3</v>
      </c>
      <c r="O205" s="88">
        <f>L205/'סכום נכסי הקרן'!$C$42</f>
        <v>1.6328121697756446E-5</v>
      </c>
    </row>
    <row r="206" spans="2:15">
      <c r="B206" s="86" t="s">
        <v>1338</v>
      </c>
      <c r="C206" s="80" t="s">
        <v>1339</v>
      </c>
      <c r="D206" s="93" t="s">
        <v>1171</v>
      </c>
      <c r="E206" s="93" t="s">
        <v>1151</v>
      </c>
      <c r="F206" s="80"/>
      <c r="G206" s="93" t="s">
        <v>1274</v>
      </c>
      <c r="H206" s="93" t="s">
        <v>165</v>
      </c>
      <c r="I206" s="87">
        <v>420.87025</v>
      </c>
      <c r="J206" s="89">
        <v>11706</v>
      </c>
      <c r="K206" s="80"/>
      <c r="L206" s="87">
        <v>170.266999083</v>
      </c>
      <c r="M206" s="88">
        <v>6.0059539236166436E-7</v>
      </c>
      <c r="N206" s="88">
        <f t="shared" si="4"/>
        <v>4.7137333472711896E-3</v>
      </c>
      <c r="O206" s="88">
        <f>L206/'סכום נכסי הקרן'!$C$42</f>
        <v>4.6841182715818164E-5</v>
      </c>
    </row>
    <row r="207" spans="2:15">
      <c r="B207" s="86" t="s">
        <v>1340</v>
      </c>
      <c r="C207" s="80" t="s">
        <v>1341</v>
      </c>
      <c r="D207" s="93" t="s">
        <v>1171</v>
      </c>
      <c r="E207" s="93" t="s">
        <v>1151</v>
      </c>
      <c r="F207" s="80"/>
      <c r="G207" s="93" t="s">
        <v>1188</v>
      </c>
      <c r="H207" s="93" t="s">
        <v>165</v>
      </c>
      <c r="I207" s="87">
        <v>79.222425999999999</v>
      </c>
      <c r="J207" s="89">
        <v>29398</v>
      </c>
      <c r="K207" s="80"/>
      <c r="L207" s="87">
        <v>80.489579433000003</v>
      </c>
      <c r="M207" s="88">
        <v>8.3619566860340236E-8</v>
      </c>
      <c r="N207" s="88">
        <f t="shared" si="4"/>
        <v>2.2283027053070703E-3</v>
      </c>
      <c r="O207" s="88">
        <f>L207/'סכום נכסי הקרן'!$C$42</f>
        <v>2.2143028991205989E-5</v>
      </c>
    </row>
    <row r="208" spans="2:15">
      <c r="B208" s="86" t="s">
        <v>1342</v>
      </c>
      <c r="C208" s="80" t="s">
        <v>1343</v>
      </c>
      <c r="D208" s="93" t="s">
        <v>1150</v>
      </c>
      <c r="E208" s="93" t="s">
        <v>1151</v>
      </c>
      <c r="F208" s="80"/>
      <c r="G208" s="93" t="s">
        <v>1161</v>
      </c>
      <c r="H208" s="93" t="s">
        <v>165</v>
      </c>
      <c r="I208" s="87">
        <v>302.38096000000002</v>
      </c>
      <c r="J208" s="89">
        <v>7771</v>
      </c>
      <c r="K208" s="80"/>
      <c r="L208" s="87">
        <v>81.209172332000009</v>
      </c>
      <c r="M208" s="88">
        <v>9.9191928522729248E-6</v>
      </c>
      <c r="N208" s="88">
        <f t="shared" si="4"/>
        <v>2.248224176072068E-3</v>
      </c>
      <c r="O208" s="88">
        <f>L208/'סכום נכסי הקרן'!$C$42</f>
        <v>2.23409920882512E-5</v>
      </c>
    </row>
    <row r="209" spans="2:15">
      <c r="B209" s="86" t="s">
        <v>1344</v>
      </c>
      <c r="C209" s="80" t="s">
        <v>1345</v>
      </c>
      <c r="D209" s="93" t="s">
        <v>27</v>
      </c>
      <c r="E209" s="93" t="s">
        <v>1151</v>
      </c>
      <c r="F209" s="80"/>
      <c r="G209" s="93" t="s">
        <v>1230</v>
      </c>
      <c r="H209" s="93" t="s">
        <v>167</v>
      </c>
      <c r="I209" s="87">
        <v>146.389073</v>
      </c>
      <c r="J209" s="89">
        <v>9900</v>
      </c>
      <c r="K209" s="80"/>
      <c r="L209" s="87">
        <v>56.204884052000004</v>
      </c>
      <c r="M209" s="88">
        <v>2.4187038523967401E-7</v>
      </c>
      <c r="N209" s="88">
        <f t="shared" si="4"/>
        <v>1.5559963919154725E-3</v>
      </c>
      <c r="O209" s="88">
        <f>L209/'סכום נכסי הקרן'!$C$42</f>
        <v>1.5462204993216235E-5</v>
      </c>
    </row>
    <row r="210" spans="2:15">
      <c r="B210" s="86" t="s">
        <v>1346</v>
      </c>
      <c r="C210" s="80" t="s">
        <v>1347</v>
      </c>
      <c r="D210" s="93" t="s">
        <v>1171</v>
      </c>
      <c r="E210" s="93" t="s">
        <v>1151</v>
      </c>
      <c r="F210" s="80"/>
      <c r="G210" s="93" t="s">
        <v>1161</v>
      </c>
      <c r="H210" s="93" t="s">
        <v>165</v>
      </c>
      <c r="I210" s="87">
        <v>241.71771899999999</v>
      </c>
      <c r="J210" s="89">
        <v>18790</v>
      </c>
      <c r="K210" s="80"/>
      <c r="L210" s="87">
        <v>156.96723217500002</v>
      </c>
      <c r="M210" s="88">
        <v>1.4120359868069169E-7</v>
      </c>
      <c r="N210" s="88">
        <f t="shared" si="4"/>
        <v>4.3455377772381905E-3</v>
      </c>
      <c r="O210" s="88">
        <f>L210/'סכום נכסי הקרן'!$C$42</f>
        <v>4.3182359719168434E-5</v>
      </c>
    </row>
    <row r="211" spans="2:15">
      <c r="B211" s="86" t="s">
        <v>1348</v>
      </c>
      <c r="C211" s="80" t="s">
        <v>1349</v>
      </c>
      <c r="D211" s="93" t="s">
        <v>1171</v>
      </c>
      <c r="E211" s="93" t="s">
        <v>1151</v>
      </c>
      <c r="F211" s="80"/>
      <c r="G211" s="93" t="s">
        <v>1350</v>
      </c>
      <c r="H211" s="93" t="s">
        <v>165</v>
      </c>
      <c r="I211" s="87">
        <v>501.329138</v>
      </c>
      <c r="J211" s="89">
        <v>11884</v>
      </c>
      <c r="K211" s="87">
        <v>0.91827456099999993</v>
      </c>
      <c r="L211" s="87">
        <v>206.81968629799999</v>
      </c>
      <c r="M211" s="88">
        <v>1.7670011518810345E-7</v>
      </c>
      <c r="N211" s="88">
        <f t="shared" si="4"/>
        <v>5.7256711953901189E-3</v>
      </c>
      <c r="O211" s="88">
        <f>L211/'סכום נכסי הקרן'!$C$42</f>
        <v>5.6896983956300083E-5</v>
      </c>
    </row>
    <row r="212" spans="2:15">
      <c r="B212" s="86" t="s">
        <v>1351</v>
      </c>
      <c r="C212" s="80" t="s">
        <v>1352</v>
      </c>
      <c r="D212" s="93" t="s">
        <v>1171</v>
      </c>
      <c r="E212" s="93" t="s">
        <v>1151</v>
      </c>
      <c r="F212" s="80"/>
      <c r="G212" s="93" t="s">
        <v>1353</v>
      </c>
      <c r="H212" s="93" t="s">
        <v>165</v>
      </c>
      <c r="I212" s="87">
        <v>195.74533700000001</v>
      </c>
      <c r="J212" s="89">
        <v>14463</v>
      </c>
      <c r="K212" s="87">
        <v>0.59531638399999998</v>
      </c>
      <c r="L212" s="87">
        <v>98.436916377999992</v>
      </c>
      <c r="M212" s="88">
        <v>1.0860270906526587E-7</v>
      </c>
      <c r="N212" s="88">
        <f t="shared" si="4"/>
        <v>2.7251632896127774E-3</v>
      </c>
      <c r="O212" s="88">
        <f>L212/'סכום נכסי הקרן'!$C$42</f>
        <v>2.7080418465564993E-5</v>
      </c>
    </row>
    <row r="213" spans="2:15">
      <c r="B213" s="86" t="s">
        <v>1354</v>
      </c>
      <c r="C213" s="80" t="s">
        <v>1355</v>
      </c>
      <c r="D213" s="93" t="s">
        <v>1171</v>
      </c>
      <c r="E213" s="93" t="s">
        <v>1151</v>
      </c>
      <c r="F213" s="80"/>
      <c r="G213" s="93" t="s">
        <v>1252</v>
      </c>
      <c r="H213" s="93" t="s">
        <v>165</v>
      </c>
      <c r="I213" s="87">
        <v>172.10147799999999</v>
      </c>
      <c r="J213" s="89">
        <v>5380</v>
      </c>
      <c r="K213" s="80"/>
      <c r="L213" s="87">
        <v>31.999309701999998</v>
      </c>
      <c r="M213" s="88">
        <v>4.0692092995535519E-8</v>
      </c>
      <c r="N213" s="88">
        <f t="shared" si="4"/>
        <v>8.8588049383807961E-4</v>
      </c>
      <c r="O213" s="88">
        <f>L213/'סכום נכסי הקרן'!$C$42</f>
        <v>8.8031475306660778E-6</v>
      </c>
    </row>
    <row r="214" spans="2:15">
      <c r="E214" s="1"/>
      <c r="F214" s="1"/>
      <c r="G214" s="1"/>
    </row>
    <row r="215" spans="2:15">
      <c r="E215" s="1"/>
      <c r="F215" s="1"/>
      <c r="G215" s="1"/>
    </row>
    <row r="216" spans="2:15">
      <c r="E216" s="1"/>
      <c r="F216" s="1"/>
      <c r="G216" s="1"/>
    </row>
    <row r="217" spans="2:15">
      <c r="B217" s="95" t="s">
        <v>255</v>
      </c>
      <c r="E217" s="1"/>
      <c r="F217" s="1"/>
      <c r="G217" s="1"/>
    </row>
    <row r="218" spans="2:15">
      <c r="B218" s="95" t="s">
        <v>114</v>
      </c>
      <c r="E218" s="1"/>
      <c r="F218" s="1"/>
      <c r="G218" s="1"/>
    </row>
    <row r="219" spans="2:15">
      <c r="B219" s="95" t="s">
        <v>238</v>
      </c>
      <c r="E219" s="1"/>
      <c r="F219" s="1"/>
      <c r="G219" s="1"/>
    </row>
    <row r="220" spans="2:15">
      <c r="B220" s="95" t="s">
        <v>246</v>
      </c>
      <c r="E220" s="1"/>
      <c r="F220" s="1"/>
      <c r="G220" s="1"/>
    </row>
    <row r="221" spans="2:15">
      <c r="B221" s="95" t="s">
        <v>252</v>
      </c>
      <c r="E221" s="1"/>
      <c r="F221" s="1"/>
      <c r="G221" s="1"/>
    </row>
    <row r="222" spans="2:15">
      <c r="E222" s="1"/>
      <c r="F222" s="1"/>
      <c r="G222" s="1"/>
    </row>
    <row r="223" spans="2:15">
      <c r="E223" s="1"/>
      <c r="F223" s="1"/>
      <c r="G223" s="1"/>
    </row>
    <row r="224" spans="2:15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9 B221"/>
    <dataValidation type="list" allowBlank="1" showInputMessage="1" showErrorMessage="1" sqref="E12:E35 E144:E357 E37:E142 E143">
      <formula1>$BF$6:$BF$23</formula1>
    </dataValidation>
    <dataValidation type="list" allowBlank="1" showInputMessage="1" showErrorMessage="1" sqref="H12:H35 H144:H357 H37:H142 H143">
      <formula1>$BJ$6:$BJ$19</formula1>
    </dataValidation>
    <dataValidation type="list" allowBlank="1" showInputMessage="1" showErrorMessage="1" sqref="G12:G35 G144:G363 G37:G142 G14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62" workbookViewId="0">
      <selection activeCell="M79" sqref="M79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69.28515625" style="2" bestFit="1" customWidth="1"/>
    <col min="4" max="4" width="9.710937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181</v>
      </c>
      <c r="C1" s="78" t="s" vm="1">
        <v>262</v>
      </c>
    </row>
    <row r="2" spans="2:63">
      <c r="B2" s="57" t="s">
        <v>180</v>
      </c>
      <c r="C2" s="78" t="s">
        <v>263</v>
      </c>
    </row>
    <row r="3" spans="2:63">
      <c r="B3" s="57" t="s">
        <v>182</v>
      </c>
      <c r="C3" s="78" t="s">
        <v>264</v>
      </c>
    </row>
    <row r="4" spans="2:63">
      <c r="B4" s="57" t="s">
        <v>183</v>
      </c>
      <c r="C4" s="78">
        <v>2207</v>
      </c>
    </row>
    <row r="6" spans="2:63" ht="26.25" customHeight="1">
      <c r="B6" s="157" t="s">
        <v>211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BK6" s="3"/>
    </row>
    <row r="7" spans="2:63" ht="26.25" customHeight="1">
      <c r="B7" s="157" t="s">
        <v>261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  <c r="BH7" s="3"/>
      <c r="BK7" s="3"/>
    </row>
    <row r="8" spans="2:63" s="3" customFormat="1" ht="74.25" customHeight="1">
      <c r="B8" s="23" t="s">
        <v>117</v>
      </c>
      <c r="C8" s="31" t="s">
        <v>44</v>
      </c>
      <c r="D8" s="31" t="s">
        <v>121</v>
      </c>
      <c r="E8" s="31" t="s">
        <v>119</v>
      </c>
      <c r="F8" s="31" t="s">
        <v>65</v>
      </c>
      <c r="G8" s="31" t="s">
        <v>103</v>
      </c>
      <c r="H8" s="31" t="s">
        <v>240</v>
      </c>
      <c r="I8" s="31" t="s">
        <v>239</v>
      </c>
      <c r="J8" s="31" t="s">
        <v>254</v>
      </c>
      <c r="K8" s="31" t="s">
        <v>62</v>
      </c>
      <c r="L8" s="31" t="s">
        <v>59</v>
      </c>
      <c r="M8" s="31" t="s">
        <v>184</v>
      </c>
      <c r="N8" s="15" t="s">
        <v>186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247</v>
      </c>
      <c r="I9" s="33"/>
      <c r="J9" s="17" t="s">
        <v>243</v>
      </c>
      <c r="K9" s="33" t="s">
        <v>243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97" t="s">
        <v>257</v>
      </c>
      <c r="C11" s="98"/>
      <c r="D11" s="98"/>
      <c r="E11" s="98"/>
      <c r="F11" s="98"/>
      <c r="G11" s="98"/>
      <c r="H11" s="100"/>
      <c r="I11" s="102"/>
      <c r="J11" s="100">
        <v>4.0556551889999994</v>
      </c>
      <c r="K11" s="100">
        <v>28080.648084525012</v>
      </c>
      <c r="L11" s="98"/>
      <c r="M11" s="103">
        <f>K11/$K$11</f>
        <v>1</v>
      </c>
      <c r="N11" s="103">
        <f>K11/'סכום נכסי הקרן'!$C$42</f>
        <v>7.7251068897070388E-3</v>
      </c>
      <c r="O11" s="5"/>
      <c r="BH11" s="1"/>
      <c r="BI11" s="3"/>
      <c r="BK11" s="1"/>
    </row>
    <row r="12" spans="2:63" ht="20.25">
      <c r="B12" s="81" t="s">
        <v>235</v>
      </c>
      <c r="C12" s="82"/>
      <c r="D12" s="82"/>
      <c r="E12" s="82"/>
      <c r="F12" s="82"/>
      <c r="G12" s="82"/>
      <c r="H12" s="90"/>
      <c r="I12" s="92"/>
      <c r="J12" s="82"/>
      <c r="K12" s="90">
        <v>4550.4247956780009</v>
      </c>
      <c r="L12" s="82"/>
      <c r="M12" s="91">
        <f t="shared" ref="M12:M24" si="0">K12/$K$11</f>
        <v>0.16204842502141886</v>
      </c>
      <c r="N12" s="91">
        <f>K12/'סכום נכסי הקרן'!$C$42</f>
        <v>1.2518414045991375E-3</v>
      </c>
      <c r="BI12" s="4"/>
    </row>
    <row r="13" spans="2:63">
      <c r="B13" s="99" t="s">
        <v>258</v>
      </c>
      <c r="C13" s="82"/>
      <c r="D13" s="82"/>
      <c r="E13" s="82"/>
      <c r="F13" s="82"/>
      <c r="G13" s="82"/>
      <c r="H13" s="90"/>
      <c r="I13" s="92"/>
      <c r="J13" s="82"/>
      <c r="K13" s="90">
        <v>1911.2197971659996</v>
      </c>
      <c r="L13" s="82"/>
      <c r="M13" s="91">
        <f t="shared" si="0"/>
        <v>6.8061812227875731E-2</v>
      </c>
      <c r="N13" s="91">
        <f>K13/'סכום נכסי הקרן'!$C$42</f>
        <v>5.2578477456750958E-4</v>
      </c>
    </row>
    <row r="14" spans="2:63">
      <c r="B14" s="86" t="s">
        <v>1356</v>
      </c>
      <c r="C14" s="80" t="s">
        <v>1357</v>
      </c>
      <c r="D14" s="93" t="s">
        <v>122</v>
      </c>
      <c r="E14" s="80" t="s">
        <v>1358</v>
      </c>
      <c r="F14" s="93" t="s">
        <v>1509</v>
      </c>
      <c r="G14" s="93" t="s">
        <v>166</v>
      </c>
      <c r="H14" s="87">
        <v>9811.9536000000007</v>
      </c>
      <c r="I14" s="89">
        <v>1602</v>
      </c>
      <c r="J14" s="80"/>
      <c r="K14" s="87">
        <v>157.18749667200001</v>
      </c>
      <c r="L14" s="88">
        <v>1.4083234375609561E-4</v>
      </c>
      <c r="M14" s="88">
        <f t="shared" si="0"/>
        <v>5.5977161281624624E-3</v>
      </c>
      <c r="N14" s="88">
        <f>K14/'סכום נכסי הקרן'!$C$42</f>
        <v>4.3242955428292048E-5</v>
      </c>
    </row>
    <row r="15" spans="2:63">
      <c r="B15" s="86" t="s">
        <v>1359</v>
      </c>
      <c r="C15" s="80" t="s">
        <v>1360</v>
      </c>
      <c r="D15" s="93" t="s">
        <v>122</v>
      </c>
      <c r="E15" s="80" t="s">
        <v>1358</v>
      </c>
      <c r="F15" s="93" t="s">
        <v>1509</v>
      </c>
      <c r="G15" s="93" t="s">
        <v>166</v>
      </c>
      <c r="H15" s="87">
        <v>16797.506700999998</v>
      </c>
      <c r="I15" s="89">
        <v>2462</v>
      </c>
      <c r="J15" s="80"/>
      <c r="K15" s="87">
        <v>413.55461498300002</v>
      </c>
      <c r="L15" s="88">
        <v>3.9053532696646108E-4</v>
      </c>
      <c r="M15" s="88">
        <f t="shared" si="0"/>
        <v>1.4727388546666277E-2</v>
      </c>
      <c r="N15" s="88">
        <f>K15/'סכום נכסי הקרן'!$C$42</f>
        <v>1.137706507292442E-4</v>
      </c>
    </row>
    <row r="16" spans="2:63" ht="20.25">
      <c r="B16" s="86" t="s">
        <v>1361</v>
      </c>
      <c r="C16" s="80" t="s">
        <v>1362</v>
      </c>
      <c r="D16" s="93" t="s">
        <v>122</v>
      </c>
      <c r="E16" s="80" t="s">
        <v>1363</v>
      </c>
      <c r="F16" s="93" t="s">
        <v>1509</v>
      </c>
      <c r="G16" s="93" t="s">
        <v>166</v>
      </c>
      <c r="H16" s="87">
        <v>9.8736639999999998</v>
      </c>
      <c r="I16" s="89">
        <v>1235</v>
      </c>
      <c r="J16" s="80"/>
      <c r="K16" s="87">
        <v>0.12193975</v>
      </c>
      <c r="L16" s="88">
        <v>1.8176714457183672E-5</v>
      </c>
      <c r="M16" s="88">
        <f t="shared" si="0"/>
        <v>4.3424834652302727E-6</v>
      </c>
      <c r="N16" s="88">
        <f>K16/'סכום נכסי הקרן'!$C$42</f>
        <v>3.3546148935689281E-8</v>
      </c>
      <c r="BH16" s="4"/>
    </row>
    <row r="17" spans="2:14">
      <c r="B17" s="86" t="s">
        <v>1364</v>
      </c>
      <c r="C17" s="80" t="s">
        <v>1365</v>
      </c>
      <c r="D17" s="93" t="s">
        <v>122</v>
      </c>
      <c r="E17" s="80" t="s">
        <v>1363</v>
      </c>
      <c r="F17" s="93" t="s">
        <v>1509</v>
      </c>
      <c r="G17" s="93" t="s">
        <v>166</v>
      </c>
      <c r="H17" s="87">
        <v>14069.971200000002</v>
      </c>
      <c r="I17" s="89">
        <v>1600</v>
      </c>
      <c r="J17" s="80"/>
      <c r="K17" s="87">
        <v>225.11953920000002</v>
      </c>
      <c r="L17" s="88">
        <v>1.2532472441865064E-4</v>
      </c>
      <c r="M17" s="88">
        <f t="shared" si="0"/>
        <v>8.0168925774922323E-3</v>
      </c>
      <c r="N17" s="88">
        <f>K17/'סכום נכסי הקרן'!$C$42</f>
        <v>6.1931352084426461E-5</v>
      </c>
    </row>
    <row r="18" spans="2:14">
      <c r="B18" s="86" t="s">
        <v>1366</v>
      </c>
      <c r="C18" s="80" t="s">
        <v>1367</v>
      </c>
      <c r="D18" s="93" t="s">
        <v>122</v>
      </c>
      <c r="E18" s="80" t="s">
        <v>1363</v>
      </c>
      <c r="F18" s="93" t="s">
        <v>1509</v>
      </c>
      <c r="G18" s="93" t="s">
        <v>166</v>
      </c>
      <c r="H18" s="87">
        <v>5677.3567999999996</v>
      </c>
      <c r="I18" s="89">
        <v>2436</v>
      </c>
      <c r="J18" s="80"/>
      <c r="K18" s="87">
        <v>138.30041164800002</v>
      </c>
      <c r="L18" s="88">
        <v>7.9232717111703626E-5</v>
      </c>
      <c r="M18" s="88">
        <f t="shared" si="0"/>
        <v>4.925114663725162E-3</v>
      </c>
      <c r="N18" s="88">
        <f>K18/'סכום נכסי הקרן'!$C$42</f>
        <v>3.8047037221340414E-5</v>
      </c>
    </row>
    <row r="19" spans="2:14">
      <c r="B19" s="86" t="s">
        <v>1368</v>
      </c>
      <c r="C19" s="80" t="s">
        <v>1369</v>
      </c>
      <c r="D19" s="93" t="s">
        <v>122</v>
      </c>
      <c r="E19" s="80" t="s">
        <v>1370</v>
      </c>
      <c r="F19" s="93" t="s">
        <v>1509</v>
      </c>
      <c r="G19" s="93" t="s">
        <v>166</v>
      </c>
      <c r="H19" s="87">
        <v>1.5299999999999999E-3</v>
      </c>
      <c r="I19" s="89">
        <v>16670</v>
      </c>
      <c r="J19" s="80"/>
      <c r="K19" s="87">
        <v>2.55123E-4</v>
      </c>
      <c r="L19" s="88">
        <v>1.3481450713358186E-10</v>
      </c>
      <c r="M19" s="88">
        <f t="shared" si="0"/>
        <v>9.0853672334078343E-9</v>
      </c>
      <c r="N19" s="88">
        <f>K19/'סכום נכסי הקרן'!$C$42</f>
        <v>7.0185433010317436E-11</v>
      </c>
    </row>
    <row r="20" spans="2:14">
      <c r="B20" s="86" t="s">
        <v>1371</v>
      </c>
      <c r="C20" s="80" t="s">
        <v>1372</v>
      </c>
      <c r="D20" s="93" t="s">
        <v>122</v>
      </c>
      <c r="E20" s="80" t="s">
        <v>1370</v>
      </c>
      <c r="F20" s="93" t="s">
        <v>1509</v>
      </c>
      <c r="G20" s="93" t="s">
        <v>166</v>
      </c>
      <c r="H20" s="87">
        <v>326.448016</v>
      </c>
      <c r="I20" s="89">
        <v>23880</v>
      </c>
      <c r="J20" s="80"/>
      <c r="K20" s="87">
        <v>77.955786220999997</v>
      </c>
      <c r="L20" s="88">
        <v>3.9725097007341609E-5</v>
      </c>
      <c r="M20" s="88">
        <f t="shared" si="0"/>
        <v>2.7761391398925979E-3</v>
      </c>
      <c r="N20" s="88">
        <f>K20/'סכום נכסי הקרן'!$C$42</f>
        <v>2.1445971596369682E-5</v>
      </c>
    </row>
    <row r="21" spans="2:14">
      <c r="B21" s="86" t="s">
        <v>1373</v>
      </c>
      <c r="C21" s="80" t="s">
        <v>1374</v>
      </c>
      <c r="D21" s="93" t="s">
        <v>122</v>
      </c>
      <c r="E21" s="80" t="s">
        <v>1370</v>
      </c>
      <c r="F21" s="93" t="s">
        <v>1509</v>
      </c>
      <c r="G21" s="93" t="s">
        <v>166</v>
      </c>
      <c r="H21" s="87">
        <v>1857.4830400000001</v>
      </c>
      <c r="I21" s="89">
        <v>16010</v>
      </c>
      <c r="J21" s="80"/>
      <c r="K21" s="87">
        <v>297.38303470400001</v>
      </c>
      <c r="L21" s="88">
        <v>1.2649168184467212E-4</v>
      </c>
      <c r="M21" s="88">
        <f t="shared" si="0"/>
        <v>1.0590319490093432E-2</v>
      </c>
      <c r="N21" s="88">
        <f>K21/'סכום נכסי הקרן'!$C$42</f>
        <v>8.1811350057119501E-5</v>
      </c>
    </row>
    <row r="22" spans="2:14">
      <c r="B22" s="86" t="s">
        <v>1375</v>
      </c>
      <c r="C22" s="80" t="s">
        <v>1376</v>
      </c>
      <c r="D22" s="93" t="s">
        <v>122</v>
      </c>
      <c r="E22" s="80" t="s">
        <v>1377</v>
      </c>
      <c r="F22" s="93" t="s">
        <v>1509</v>
      </c>
      <c r="G22" s="93" t="s">
        <v>166</v>
      </c>
      <c r="H22" s="87">
        <v>9997.0848000000005</v>
      </c>
      <c r="I22" s="89">
        <v>1603</v>
      </c>
      <c r="J22" s="80"/>
      <c r="K22" s="87">
        <v>160.25326934399999</v>
      </c>
      <c r="L22" s="88">
        <v>5.3912598846296351E-5</v>
      </c>
      <c r="M22" s="88">
        <f t="shared" si="0"/>
        <v>5.7068935468164673E-3</v>
      </c>
      <c r="N22" s="88">
        <f>K22/'סכום נכסי הקרן'!$C$42</f>
        <v>4.4086362657336532E-5</v>
      </c>
    </row>
    <row r="23" spans="2:14">
      <c r="B23" s="86" t="s">
        <v>1378</v>
      </c>
      <c r="C23" s="80" t="s">
        <v>1379</v>
      </c>
      <c r="D23" s="93" t="s">
        <v>122</v>
      </c>
      <c r="E23" s="80" t="s">
        <v>1377</v>
      </c>
      <c r="F23" s="93" t="s">
        <v>1509</v>
      </c>
      <c r="G23" s="93" t="s">
        <v>166</v>
      </c>
      <c r="H23" s="87">
        <v>2.9130000000000002E-3</v>
      </c>
      <c r="I23" s="89">
        <v>1672</v>
      </c>
      <c r="J23" s="80"/>
      <c r="K23" s="87">
        <v>4.8702000000000002E-5</v>
      </c>
      <c r="L23" s="88">
        <v>3.6719599782833758E-11</v>
      </c>
      <c r="M23" s="88">
        <f t="shared" si="0"/>
        <v>1.7343616804499333E-9</v>
      </c>
      <c r="N23" s="88">
        <f>K23/'סכום נכסי הקרן'!$C$42</f>
        <v>1.3398129366887658E-11</v>
      </c>
    </row>
    <row r="24" spans="2:14">
      <c r="B24" s="86" t="s">
        <v>1380</v>
      </c>
      <c r="C24" s="80" t="s">
        <v>1381</v>
      </c>
      <c r="D24" s="93" t="s">
        <v>122</v>
      </c>
      <c r="E24" s="80" t="s">
        <v>1377</v>
      </c>
      <c r="F24" s="93" t="s">
        <v>1509</v>
      </c>
      <c r="G24" s="93" t="s">
        <v>166</v>
      </c>
      <c r="H24" s="87">
        <v>18192.225920000001</v>
      </c>
      <c r="I24" s="89">
        <v>2426</v>
      </c>
      <c r="J24" s="80"/>
      <c r="K24" s="87">
        <v>441.34340081900001</v>
      </c>
      <c r="L24" s="88">
        <v>2.2649212464715782E-4</v>
      </c>
      <c r="M24" s="88">
        <f t="shared" si="0"/>
        <v>1.5716994831832972E-2</v>
      </c>
      <c r="N24" s="88">
        <f>K24/'סכום נכסי הקרן'!$C$42</f>
        <v>1.214154650608828E-4</v>
      </c>
    </row>
    <row r="25" spans="2:14">
      <c r="B25" s="83"/>
      <c r="C25" s="80"/>
      <c r="D25" s="80"/>
      <c r="E25" s="80"/>
      <c r="F25" s="80"/>
      <c r="G25" s="80"/>
      <c r="H25" s="87"/>
      <c r="I25" s="89"/>
      <c r="J25" s="80"/>
      <c r="K25" s="80"/>
      <c r="L25" s="80"/>
      <c r="M25" s="88"/>
      <c r="N25" s="80"/>
    </row>
    <row r="26" spans="2:14">
      <c r="B26" s="99" t="s">
        <v>259</v>
      </c>
      <c r="C26" s="82"/>
      <c r="D26" s="82"/>
      <c r="E26" s="82"/>
      <c r="F26" s="82"/>
      <c r="G26" s="82"/>
      <c r="H26" s="90"/>
      <c r="I26" s="92"/>
      <c r="J26" s="82"/>
      <c r="K26" s="90">
        <v>2639.2049985119993</v>
      </c>
      <c r="L26" s="82"/>
      <c r="M26" s="91">
        <f t="shared" ref="M26:M42" si="1">K26/$K$11</f>
        <v>9.3986612793543076E-2</v>
      </c>
      <c r="N26" s="91">
        <f>K26/'סכום נכסי הקרן'!$C$42</f>
        <v>7.2605663003162734E-4</v>
      </c>
    </row>
    <row r="27" spans="2:14">
      <c r="B27" s="86" t="s">
        <v>1382</v>
      </c>
      <c r="C27" s="80" t="s">
        <v>1383</v>
      </c>
      <c r="D27" s="93" t="s">
        <v>122</v>
      </c>
      <c r="E27" s="80" t="s">
        <v>1358</v>
      </c>
      <c r="F27" s="93" t="s">
        <v>2174</v>
      </c>
      <c r="G27" s="93" t="s">
        <v>166</v>
      </c>
      <c r="H27" s="87">
        <v>6589.050475</v>
      </c>
      <c r="I27" s="89">
        <v>358.97</v>
      </c>
      <c r="J27" s="80"/>
      <c r="K27" s="87">
        <v>23.652714489999997</v>
      </c>
      <c r="L27" s="88">
        <v>4.4829544125129164E-5</v>
      </c>
      <c r="M27" s="88">
        <f t="shared" si="1"/>
        <v>8.423136965643892E-4</v>
      </c>
      <c r="N27" s="88">
        <f>K27/'סכום נכסי הקרן'!$C$42</f>
        <v>6.5069633406241668E-6</v>
      </c>
    </row>
    <row r="28" spans="2:14">
      <c r="B28" s="86" t="s">
        <v>1384</v>
      </c>
      <c r="C28" s="80" t="s">
        <v>1385</v>
      </c>
      <c r="D28" s="93" t="s">
        <v>122</v>
      </c>
      <c r="E28" s="80" t="s">
        <v>1358</v>
      </c>
      <c r="F28" s="93" t="s">
        <v>2174</v>
      </c>
      <c r="G28" s="93" t="s">
        <v>166</v>
      </c>
      <c r="H28" s="87">
        <v>26176.239384</v>
      </c>
      <c r="I28" s="89">
        <v>330.01</v>
      </c>
      <c r="J28" s="80"/>
      <c r="K28" s="87">
        <v>86.384207609000001</v>
      </c>
      <c r="L28" s="88">
        <v>9.5432401818653116E-4</v>
      </c>
      <c r="M28" s="88">
        <f t="shared" si="1"/>
        <v>3.076289669276029E-3</v>
      </c>
      <c r="N28" s="88">
        <f>K28/'סכום נכסי הקרן'!$C$42</f>
        <v>2.3764666518858838E-5</v>
      </c>
    </row>
    <row r="29" spans="2:14">
      <c r="B29" s="86" t="s">
        <v>1386</v>
      </c>
      <c r="C29" s="80" t="s">
        <v>1387</v>
      </c>
      <c r="D29" s="93" t="s">
        <v>122</v>
      </c>
      <c r="E29" s="80" t="s">
        <v>1358</v>
      </c>
      <c r="F29" s="93" t="s">
        <v>2174</v>
      </c>
      <c r="G29" s="93" t="s">
        <v>166</v>
      </c>
      <c r="H29" s="87">
        <v>169769.09594</v>
      </c>
      <c r="I29" s="89">
        <v>344.97</v>
      </c>
      <c r="J29" s="80"/>
      <c r="K29" s="87">
        <v>585.65245027799995</v>
      </c>
      <c r="L29" s="88">
        <v>7.265761203428398E-4</v>
      </c>
      <c r="M29" s="88">
        <f t="shared" si="1"/>
        <v>2.0856087384989796E-2</v>
      </c>
      <c r="N29" s="88">
        <f>K29/'סכום נכסי הקרן'!$C$42</f>
        <v>1.6111550435011672E-4</v>
      </c>
    </row>
    <row r="30" spans="2:14">
      <c r="B30" s="86" t="s">
        <v>1388</v>
      </c>
      <c r="C30" s="80" t="s">
        <v>1389</v>
      </c>
      <c r="D30" s="93" t="s">
        <v>122</v>
      </c>
      <c r="E30" s="80" t="s">
        <v>1358</v>
      </c>
      <c r="F30" s="93" t="s">
        <v>2174</v>
      </c>
      <c r="G30" s="93" t="s">
        <v>166</v>
      </c>
      <c r="H30" s="87">
        <v>2634.7317790000002</v>
      </c>
      <c r="I30" s="89">
        <v>383.04</v>
      </c>
      <c r="J30" s="80"/>
      <c r="K30" s="87">
        <v>10.092076622</v>
      </c>
      <c r="L30" s="88">
        <v>1.847018698421966E-5</v>
      </c>
      <c r="M30" s="88">
        <f t="shared" si="1"/>
        <v>3.5939614326642455E-4</v>
      </c>
      <c r="N30" s="88">
        <f>K30/'סכום נכסי הקרן'!$C$42</f>
        <v>2.7763736224815942E-6</v>
      </c>
    </row>
    <row r="31" spans="2:14">
      <c r="B31" s="86" t="s">
        <v>1390</v>
      </c>
      <c r="C31" s="80" t="s">
        <v>1391</v>
      </c>
      <c r="D31" s="93" t="s">
        <v>122</v>
      </c>
      <c r="E31" s="80" t="s">
        <v>1363</v>
      </c>
      <c r="F31" s="93" t="s">
        <v>2174</v>
      </c>
      <c r="G31" s="93" t="s">
        <v>166</v>
      </c>
      <c r="H31" s="87">
        <v>59160.139174000004</v>
      </c>
      <c r="I31" s="89">
        <v>345.66</v>
      </c>
      <c r="J31" s="80"/>
      <c r="K31" s="87">
        <v>204.492937119</v>
      </c>
      <c r="L31" s="88">
        <v>1.5311143911401296E-4</v>
      </c>
      <c r="M31" s="88">
        <f t="shared" si="1"/>
        <v>7.2823439296507619E-3</v>
      </c>
      <c r="N31" s="88">
        <f>K31/'סכום נכסי הקרן'!$C$42</f>
        <v>5.6256885264161332E-5</v>
      </c>
    </row>
    <row r="32" spans="2:14">
      <c r="B32" s="86" t="s">
        <v>1392</v>
      </c>
      <c r="C32" s="80" t="s">
        <v>1393</v>
      </c>
      <c r="D32" s="93" t="s">
        <v>122</v>
      </c>
      <c r="E32" s="80" t="s">
        <v>1363</v>
      </c>
      <c r="F32" s="93" t="s">
        <v>2174</v>
      </c>
      <c r="G32" s="93" t="s">
        <v>166</v>
      </c>
      <c r="H32" s="87">
        <v>14280.544789</v>
      </c>
      <c r="I32" s="89">
        <v>355.06</v>
      </c>
      <c r="J32" s="80"/>
      <c r="K32" s="87">
        <v>50.704502332999994</v>
      </c>
      <c r="L32" s="88">
        <v>5.4122448098855535E-5</v>
      </c>
      <c r="M32" s="88">
        <f t="shared" si="1"/>
        <v>1.8056742202094253E-3</v>
      </c>
      <c r="N32" s="88">
        <f>K32/'סכום נכסי הקרן'!$C$42</f>
        <v>1.3949026359106217E-5</v>
      </c>
    </row>
    <row r="33" spans="2:14">
      <c r="B33" s="86" t="s">
        <v>1394</v>
      </c>
      <c r="C33" s="80" t="s">
        <v>1395</v>
      </c>
      <c r="D33" s="93" t="s">
        <v>122</v>
      </c>
      <c r="E33" s="80" t="s">
        <v>1363</v>
      </c>
      <c r="F33" s="93" t="s">
        <v>2174</v>
      </c>
      <c r="G33" s="93" t="s">
        <v>166</v>
      </c>
      <c r="H33" s="87">
        <v>13393.712450000001</v>
      </c>
      <c r="I33" s="89">
        <v>331.05</v>
      </c>
      <c r="J33" s="80"/>
      <c r="K33" s="87">
        <v>44.339885112000005</v>
      </c>
      <c r="L33" s="88">
        <v>2.5961497249561249E-4</v>
      </c>
      <c r="M33" s="88">
        <f t="shared" si="1"/>
        <v>1.5790192939469695E-3</v>
      </c>
      <c r="N33" s="88">
        <f>K33/'סכום נכסי הקרן'!$C$42</f>
        <v>1.2198092826650078E-5</v>
      </c>
    </row>
    <row r="34" spans="2:14">
      <c r="B34" s="86" t="s">
        <v>1396</v>
      </c>
      <c r="C34" s="80" t="s">
        <v>1397</v>
      </c>
      <c r="D34" s="93" t="s">
        <v>122</v>
      </c>
      <c r="E34" s="80" t="s">
        <v>1363</v>
      </c>
      <c r="F34" s="93" t="s">
        <v>2174</v>
      </c>
      <c r="G34" s="93" t="s">
        <v>166</v>
      </c>
      <c r="H34" s="87">
        <v>62739.715661000002</v>
      </c>
      <c r="I34" s="89">
        <v>380.44</v>
      </c>
      <c r="J34" s="80"/>
      <c r="K34" s="87">
        <v>238.68697426199998</v>
      </c>
      <c r="L34" s="88">
        <v>2.6144170779214624E-4</v>
      </c>
      <c r="M34" s="88">
        <f t="shared" si="1"/>
        <v>8.5000521905168637E-3</v>
      </c>
      <c r="N34" s="88">
        <f>K34/'סכום נכסי הקרן'!$C$42</f>
        <v>6.5663811739831221E-5</v>
      </c>
    </row>
    <row r="35" spans="2:14">
      <c r="B35" s="86" t="s">
        <v>1398</v>
      </c>
      <c r="C35" s="80" t="s">
        <v>1399</v>
      </c>
      <c r="D35" s="93" t="s">
        <v>122</v>
      </c>
      <c r="E35" s="80" t="s">
        <v>1370</v>
      </c>
      <c r="F35" s="93" t="s">
        <v>2174</v>
      </c>
      <c r="G35" s="93" t="s">
        <v>166</v>
      </c>
      <c r="H35" s="87">
        <v>131.76408699999999</v>
      </c>
      <c r="I35" s="89">
        <v>3556.21</v>
      </c>
      <c r="J35" s="80"/>
      <c r="K35" s="87">
        <v>4.6858076659999996</v>
      </c>
      <c r="L35" s="88">
        <v>5.7079593846407629E-6</v>
      </c>
      <c r="M35" s="88">
        <f t="shared" si="1"/>
        <v>1.6686964103874459E-4</v>
      </c>
      <c r="N35" s="88">
        <f>K35/'סכום נכסי הקרן'!$C$42</f>
        <v>1.2890858136713464E-6</v>
      </c>
    </row>
    <row r="36" spans="2:14">
      <c r="B36" s="86" t="s">
        <v>1400</v>
      </c>
      <c r="C36" s="80" t="s">
        <v>1401</v>
      </c>
      <c r="D36" s="93" t="s">
        <v>122</v>
      </c>
      <c r="E36" s="80" t="s">
        <v>1370</v>
      </c>
      <c r="F36" s="93" t="s">
        <v>2174</v>
      </c>
      <c r="G36" s="93" t="s">
        <v>166</v>
      </c>
      <c r="H36" s="87">
        <v>583.81313999999998</v>
      </c>
      <c r="I36" s="89">
        <v>3292.1</v>
      </c>
      <c r="J36" s="80"/>
      <c r="K36" s="87">
        <v>19.219712382000001</v>
      </c>
      <c r="L36" s="88">
        <v>9.370367225703439E-5</v>
      </c>
      <c r="M36" s="88">
        <f t="shared" si="1"/>
        <v>6.8444689467804022E-4</v>
      </c>
      <c r="N36" s="88">
        <f>K36/'סכום נכסי הקרן'!$C$42</f>
        <v>5.2874254217159158E-6</v>
      </c>
    </row>
    <row r="37" spans="2:14">
      <c r="B37" s="86" t="s">
        <v>1402</v>
      </c>
      <c r="C37" s="80" t="s">
        <v>1403</v>
      </c>
      <c r="D37" s="93" t="s">
        <v>122</v>
      </c>
      <c r="E37" s="80" t="s">
        <v>1370</v>
      </c>
      <c r="F37" s="93" t="s">
        <v>2174</v>
      </c>
      <c r="G37" s="93" t="s">
        <v>166</v>
      </c>
      <c r="H37" s="87">
        <v>9175.7699690000009</v>
      </c>
      <c r="I37" s="89">
        <v>3438.64</v>
      </c>
      <c r="J37" s="80"/>
      <c r="K37" s="87">
        <v>315.521696443</v>
      </c>
      <c r="L37" s="88">
        <v>2.2004833964017696E-4</v>
      </c>
      <c r="M37" s="88">
        <f t="shared" si="1"/>
        <v>1.1236268318781471E-2</v>
      </c>
      <c r="N37" s="88">
        <f>K37/'סכום נכסי הקרן'!$C$42</f>
        <v>8.6801373804015666E-5</v>
      </c>
    </row>
    <row r="38" spans="2:14">
      <c r="B38" s="86" t="s">
        <v>1404</v>
      </c>
      <c r="C38" s="80" t="s">
        <v>1405</v>
      </c>
      <c r="D38" s="93" t="s">
        <v>122</v>
      </c>
      <c r="E38" s="80" t="s">
        <v>1370</v>
      </c>
      <c r="F38" s="93" t="s">
        <v>2174</v>
      </c>
      <c r="G38" s="93" t="s">
        <v>166</v>
      </c>
      <c r="H38" s="87">
        <v>7231.9514280000003</v>
      </c>
      <c r="I38" s="89">
        <v>3819.31</v>
      </c>
      <c r="J38" s="80"/>
      <c r="K38" s="87">
        <v>276.21064407600005</v>
      </c>
      <c r="L38" s="88">
        <v>4.2112818903239038E-4</v>
      </c>
      <c r="M38" s="88">
        <f t="shared" si="1"/>
        <v>9.8363343767773372E-3</v>
      </c>
      <c r="N38" s="88">
        <f>K38/'סכום נכסי הקרן'!$C$42</f>
        <v>7.5986734463504799E-5</v>
      </c>
    </row>
    <row r="39" spans="2:14">
      <c r="B39" s="86" t="s">
        <v>1406</v>
      </c>
      <c r="C39" s="80" t="s">
        <v>1407</v>
      </c>
      <c r="D39" s="93" t="s">
        <v>122</v>
      </c>
      <c r="E39" s="80" t="s">
        <v>1377</v>
      </c>
      <c r="F39" s="93" t="s">
        <v>2174</v>
      </c>
      <c r="G39" s="93" t="s">
        <v>166</v>
      </c>
      <c r="H39" s="87">
        <v>18420.351073000002</v>
      </c>
      <c r="I39" s="89">
        <v>356.06</v>
      </c>
      <c r="J39" s="80"/>
      <c r="K39" s="87">
        <v>65.587502049999998</v>
      </c>
      <c r="L39" s="88">
        <v>5.524038171575815E-5</v>
      </c>
      <c r="M39" s="88">
        <f t="shared" si="1"/>
        <v>2.335683345077234E-3</v>
      </c>
      <c r="N39" s="88">
        <f>K39/'סכום נכסי הקרן'!$C$42</f>
        <v>1.8043403501230123E-5</v>
      </c>
    </row>
    <row r="40" spans="2:14">
      <c r="B40" s="86" t="s">
        <v>1408</v>
      </c>
      <c r="C40" s="80" t="s">
        <v>1409</v>
      </c>
      <c r="D40" s="93" t="s">
        <v>122</v>
      </c>
      <c r="E40" s="80" t="s">
        <v>1377</v>
      </c>
      <c r="F40" s="93" t="s">
        <v>2174</v>
      </c>
      <c r="G40" s="93" t="s">
        <v>166</v>
      </c>
      <c r="H40" s="87">
        <v>11827.914567</v>
      </c>
      <c r="I40" s="89">
        <v>330.15</v>
      </c>
      <c r="J40" s="80"/>
      <c r="K40" s="87">
        <v>39.049859867999999</v>
      </c>
      <c r="L40" s="88">
        <v>2.708838349064237E-4</v>
      </c>
      <c r="M40" s="88">
        <f t="shared" si="1"/>
        <v>1.390632429510059E-3</v>
      </c>
      <c r="N40" s="88">
        <f>K40/'סכום נכסי הקרן'!$C$42</f>
        <v>1.0742784162258195E-5</v>
      </c>
    </row>
    <row r="41" spans="2:14">
      <c r="B41" s="86" t="s">
        <v>1410</v>
      </c>
      <c r="C41" s="80" t="s">
        <v>1411</v>
      </c>
      <c r="D41" s="93" t="s">
        <v>122</v>
      </c>
      <c r="E41" s="80" t="s">
        <v>1377</v>
      </c>
      <c r="F41" s="93" t="s">
        <v>2174</v>
      </c>
      <c r="G41" s="93" t="s">
        <v>166</v>
      </c>
      <c r="H41" s="87">
        <v>160566.04522999999</v>
      </c>
      <c r="I41" s="89">
        <v>344.97</v>
      </c>
      <c r="J41" s="80"/>
      <c r="K41" s="87">
        <v>553.90468622499998</v>
      </c>
      <c r="L41" s="88">
        <v>4.0762686654044093E-4</v>
      </c>
      <c r="M41" s="88">
        <f t="shared" si="1"/>
        <v>1.9725495101028376E-2</v>
      </c>
      <c r="N41" s="88">
        <f>K41/'סכום נכסי הקרן'!$C$42</f>
        <v>1.5238155810783676E-4</v>
      </c>
    </row>
    <row r="42" spans="2:14">
      <c r="B42" s="86" t="s">
        <v>1412</v>
      </c>
      <c r="C42" s="80" t="s">
        <v>1413</v>
      </c>
      <c r="D42" s="93" t="s">
        <v>122</v>
      </c>
      <c r="E42" s="80" t="s">
        <v>1377</v>
      </c>
      <c r="F42" s="93" t="s">
        <v>2174</v>
      </c>
      <c r="G42" s="93" t="s">
        <v>166</v>
      </c>
      <c r="H42" s="87">
        <v>31538.450416</v>
      </c>
      <c r="I42" s="89">
        <v>383.72</v>
      </c>
      <c r="J42" s="80"/>
      <c r="K42" s="87">
        <v>121.01934197700002</v>
      </c>
      <c r="L42" s="88">
        <v>1.5357366963912218E-4</v>
      </c>
      <c r="M42" s="88">
        <f t="shared" si="1"/>
        <v>4.3097061582311798E-3</v>
      </c>
      <c r="N42" s="88">
        <f>K42/'סכום נכסי הקרן'!$C$42</f>
        <v>3.329294073556454E-5</v>
      </c>
    </row>
    <row r="43" spans="2:14">
      <c r="B43" s="83"/>
      <c r="C43" s="80"/>
      <c r="D43" s="80"/>
      <c r="E43" s="80"/>
      <c r="F43" s="80"/>
      <c r="G43" s="80"/>
      <c r="H43" s="87"/>
      <c r="I43" s="89"/>
      <c r="J43" s="80"/>
      <c r="K43" s="80"/>
      <c r="L43" s="80"/>
      <c r="M43" s="88"/>
      <c r="N43" s="80"/>
    </row>
    <row r="44" spans="2:14">
      <c r="B44" s="81" t="s">
        <v>234</v>
      </c>
      <c r="C44" s="82"/>
      <c r="D44" s="82"/>
      <c r="E44" s="82"/>
      <c r="F44" s="82"/>
      <c r="G44" s="82"/>
      <c r="H44" s="90"/>
      <c r="I44" s="92"/>
      <c r="J44" s="90">
        <v>4.0556551889999994</v>
      </c>
      <c r="K44" s="90">
        <v>23530.223288847003</v>
      </c>
      <c r="L44" s="82"/>
      <c r="M44" s="91">
        <f t="shared" ref="M44:M91" si="2">K44/$K$11</f>
        <v>0.83795157497858086</v>
      </c>
      <c r="N44" s="91">
        <f>K44/'סכום נכסי הקרן'!$C$42</f>
        <v>6.4732654851078989E-3</v>
      </c>
    </row>
    <row r="45" spans="2:14">
      <c r="B45" s="99" t="s">
        <v>260</v>
      </c>
      <c r="C45" s="82"/>
      <c r="D45" s="82"/>
      <c r="E45" s="82"/>
      <c r="F45" s="82"/>
      <c r="G45" s="82"/>
      <c r="H45" s="90"/>
      <c r="I45" s="92"/>
      <c r="J45" s="90">
        <v>4.0556551889999994</v>
      </c>
      <c r="K45" s="90">
        <v>23530.223288847003</v>
      </c>
      <c r="L45" s="82"/>
      <c r="M45" s="91">
        <f t="shared" si="2"/>
        <v>0.83795157497858086</v>
      </c>
      <c r="N45" s="91">
        <f>K45/'סכום נכסי הקרן'!$C$42</f>
        <v>6.4732654851078989E-3</v>
      </c>
    </row>
    <row r="46" spans="2:14">
      <c r="B46" s="86" t="s">
        <v>1414</v>
      </c>
      <c r="C46" s="80" t="s">
        <v>1415</v>
      </c>
      <c r="D46" s="93" t="s">
        <v>27</v>
      </c>
      <c r="E46" s="80"/>
      <c r="F46" s="93" t="s">
        <v>1509</v>
      </c>
      <c r="G46" s="93" t="s">
        <v>165</v>
      </c>
      <c r="H46" s="87">
        <v>88.82305599999998</v>
      </c>
      <c r="I46" s="89">
        <v>501.76</v>
      </c>
      <c r="J46" s="80"/>
      <c r="K46" s="87">
        <v>1.540265148</v>
      </c>
      <c r="L46" s="88">
        <v>1.5530002685486028E-7</v>
      </c>
      <c r="M46" s="88">
        <f t="shared" si="2"/>
        <v>5.4851481467367772E-5</v>
      </c>
      <c r="N46" s="88">
        <f>K46/'סכום נכסי הקרן'!$C$42</f>
        <v>4.2373355739420075E-7</v>
      </c>
    </row>
    <row r="47" spans="2:14">
      <c r="B47" s="86" t="s">
        <v>1416</v>
      </c>
      <c r="C47" s="80" t="s">
        <v>1417</v>
      </c>
      <c r="D47" s="93" t="s">
        <v>27</v>
      </c>
      <c r="E47" s="80"/>
      <c r="F47" s="93" t="s">
        <v>1509</v>
      </c>
      <c r="G47" s="93" t="s">
        <v>165</v>
      </c>
      <c r="H47" s="87">
        <v>2655.5410150000007</v>
      </c>
      <c r="I47" s="89">
        <v>6612.3</v>
      </c>
      <c r="J47" s="80"/>
      <c r="K47" s="87">
        <v>606.84712199000001</v>
      </c>
      <c r="L47" s="88">
        <v>5.0217499875049154E-5</v>
      </c>
      <c r="M47" s="88">
        <f t="shared" si="2"/>
        <v>2.1610865965890149E-2</v>
      </c>
      <c r="N47" s="88">
        <f>K47/'סכום נכסי הקרן'!$C$42</f>
        <v>1.6694624956563336E-4</v>
      </c>
    </row>
    <row r="48" spans="2:14">
      <c r="B48" s="86" t="s">
        <v>1418</v>
      </c>
      <c r="C48" s="80" t="s">
        <v>1419</v>
      </c>
      <c r="D48" s="93" t="s">
        <v>1171</v>
      </c>
      <c r="E48" s="80"/>
      <c r="F48" s="93" t="s">
        <v>1509</v>
      </c>
      <c r="G48" s="93" t="s">
        <v>165</v>
      </c>
      <c r="H48" s="87">
        <v>52.769033</v>
      </c>
      <c r="I48" s="89">
        <v>6298</v>
      </c>
      <c r="J48" s="80"/>
      <c r="K48" s="87">
        <v>11.485648512999999</v>
      </c>
      <c r="L48" s="88">
        <v>2.447295718588466E-7</v>
      </c>
      <c r="M48" s="88">
        <f t="shared" si="2"/>
        <v>4.0902362646429217E-4</v>
      </c>
      <c r="N48" s="88">
        <f>K48/'סכום נכסי הקרן'!$C$42</f>
        <v>3.1597512348522618E-6</v>
      </c>
    </row>
    <row r="49" spans="2:14">
      <c r="B49" s="86" t="s">
        <v>1420</v>
      </c>
      <c r="C49" s="80" t="s">
        <v>1421</v>
      </c>
      <c r="D49" s="93" t="s">
        <v>126</v>
      </c>
      <c r="E49" s="80"/>
      <c r="F49" s="93" t="s">
        <v>1509</v>
      </c>
      <c r="G49" s="93" t="s">
        <v>175</v>
      </c>
      <c r="H49" s="87">
        <v>33252.718000000001</v>
      </c>
      <c r="I49" s="89">
        <v>1805</v>
      </c>
      <c r="J49" s="80"/>
      <c r="K49" s="87">
        <v>1911.4937548380001</v>
      </c>
      <c r="L49" s="88">
        <v>1.1667921583860429E-5</v>
      </c>
      <c r="M49" s="88">
        <f t="shared" si="2"/>
        <v>6.8071568330055982E-2</v>
      </c>
      <c r="N49" s="88">
        <f>K49/'סכום נכסי הקרן'!$C$42</f>
        <v>5.2586014149967901E-4</v>
      </c>
    </row>
    <row r="50" spans="2:14">
      <c r="B50" s="86" t="s">
        <v>1422</v>
      </c>
      <c r="C50" s="80" t="s">
        <v>1423</v>
      </c>
      <c r="D50" s="93" t="s">
        <v>27</v>
      </c>
      <c r="E50" s="80"/>
      <c r="F50" s="93" t="s">
        <v>1509</v>
      </c>
      <c r="G50" s="93" t="s">
        <v>167</v>
      </c>
      <c r="H50" s="87">
        <v>1222.504064</v>
      </c>
      <c r="I50" s="89">
        <v>1028.4000000000001</v>
      </c>
      <c r="J50" s="80"/>
      <c r="K50" s="87">
        <v>48.757629332999997</v>
      </c>
      <c r="L50" s="88">
        <v>2.892522214910823E-5</v>
      </c>
      <c r="M50" s="88">
        <f t="shared" si="2"/>
        <v>1.7363427363298598E-3</v>
      </c>
      <c r="N50" s="88">
        <f>K50/'סכום נכסי הקרן'!$C$42</f>
        <v>1.3413433235314573E-5</v>
      </c>
    </row>
    <row r="51" spans="2:14">
      <c r="B51" s="86" t="s">
        <v>1424</v>
      </c>
      <c r="C51" s="80" t="s">
        <v>1425</v>
      </c>
      <c r="D51" s="93" t="s">
        <v>1171</v>
      </c>
      <c r="E51" s="80"/>
      <c r="F51" s="93" t="s">
        <v>1509</v>
      </c>
      <c r="G51" s="93" t="s">
        <v>165</v>
      </c>
      <c r="H51" s="87">
        <v>9888.0801620000002</v>
      </c>
      <c r="I51" s="89">
        <v>3078</v>
      </c>
      <c r="J51" s="80"/>
      <c r="K51" s="87">
        <v>1051.851251174</v>
      </c>
      <c r="L51" s="88">
        <v>1.2464562161153111E-5</v>
      </c>
      <c r="M51" s="88">
        <f t="shared" si="2"/>
        <v>3.745822560817838E-2</v>
      </c>
      <c r="N51" s="88">
        <f>K51/'סכום נכסי הקרן'!$C$42</f>
        <v>2.8936879672193948E-4</v>
      </c>
    </row>
    <row r="52" spans="2:14">
      <c r="B52" s="86" t="s">
        <v>1426</v>
      </c>
      <c r="C52" s="80" t="s">
        <v>1427</v>
      </c>
      <c r="D52" s="93" t="s">
        <v>1171</v>
      </c>
      <c r="E52" s="80"/>
      <c r="F52" s="93" t="s">
        <v>1509</v>
      </c>
      <c r="G52" s="93" t="s">
        <v>165</v>
      </c>
      <c r="H52" s="87">
        <v>1571.9617050000002</v>
      </c>
      <c r="I52" s="89">
        <v>10186</v>
      </c>
      <c r="J52" s="87">
        <v>3.6156789269999994</v>
      </c>
      <c r="K52" s="87">
        <v>556.99046552900006</v>
      </c>
      <c r="L52" s="88">
        <v>7.9829323237433772E-6</v>
      </c>
      <c r="M52" s="88">
        <f t="shared" si="2"/>
        <v>1.9835384990133202E-2</v>
      </c>
      <c r="N52" s="88">
        <f>K52/'סכום נכסי הקרן'!$C$42</f>
        <v>1.5323046924726959E-4</v>
      </c>
    </row>
    <row r="53" spans="2:14">
      <c r="B53" s="86" t="s">
        <v>1428</v>
      </c>
      <c r="C53" s="80" t="s">
        <v>1429</v>
      </c>
      <c r="D53" s="93" t="s">
        <v>27</v>
      </c>
      <c r="E53" s="80"/>
      <c r="F53" s="93" t="s">
        <v>1509</v>
      </c>
      <c r="G53" s="93" t="s">
        <v>174</v>
      </c>
      <c r="H53" s="87">
        <v>4755.193045</v>
      </c>
      <c r="I53" s="89">
        <v>3768</v>
      </c>
      <c r="J53" s="80"/>
      <c r="K53" s="87">
        <v>475.442650797</v>
      </c>
      <c r="L53" s="88">
        <v>8.86949500675164E-5</v>
      </c>
      <c r="M53" s="88">
        <f t="shared" si="2"/>
        <v>1.6931327559316985E-2</v>
      </c>
      <c r="N53" s="88">
        <f>K53/'סכום נכסי הקרן'!$C$42</f>
        <v>1.3079631518036629E-4</v>
      </c>
    </row>
    <row r="54" spans="2:14">
      <c r="B54" s="86" t="s">
        <v>1430</v>
      </c>
      <c r="C54" s="80" t="s">
        <v>1431</v>
      </c>
      <c r="D54" s="93" t="s">
        <v>125</v>
      </c>
      <c r="E54" s="80"/>
      <c r="F54" s="93" t="s">
        <v>1509</v>
      </c>
      <c r="G54" s="93" t="s">
        <v>165</v>
      </c>
      <c r="H54" s="87">
        <v>7113.1289370000004</v>
      </c>
      <c r="I54" s="89">
        <v>441.6</v>
      </c>
      <c r="J54" s="80"/>
      <c r="K54" s="87">
        <v>108.558411435</v>
      </c>
      <c r="L54" s="88">
        <v>4.2340053196428576E-5</v>
      </c>
      <c r="M54" s="88">
        <f t="shared" si="2"/>
        <v>3.8659510673767373E-3</v>
      </c>
      <c r="N54" s="88">
        <f>K54/'סכום נכסי הקרן'!$C$42</f>
        <v>2.9864885225862313E-5</v>
      </c>
    </row>
    <row r="55" spans="2:14">
      <c r="B55" s="86" t="s">
        <v>1432</v>
      </c>
      <c r="C55" s="80" t="s">
        <v>1433</v>
      </c>
      <c r="D55" s="93" t="s">
        <v>1171</v>
      </c>
      <c r="E55" s="80"/>
      <c r="F55" s="93" t="s">
        <v>1509</v>
      </c>
      <c r="G55" s="93" t="s">
        <v>165</v>
      </c>
      <c r="H55" s="87">
        <v>1641.1469059999999</v>
      </c>
      <c r="I55" s="89">
        <v>8147</v>
      </c>
      <c r="J55" s="80"/>
      <c r="K55" s="87">
        <v>462.08184794900001</v>
      </c>
      <c r="L55" s="88">
        <v>1.2670405215941201E-5</v>
      </c>
      <c r="M55" s="88">
        <f t="shared" si="2"/>
        <v>1.6455526473537804E-2</v>
      </c>
      <c r="N55" s="88">
        <f>K55/'סכום נכסי הקרן'!$C$42</f>
        <v>1.2712070093448349E-4</v>
      </c>
    </row>
    <row r="56" spans="2:14">
      <c r="B56" s="86" t="s">
        <v>1434</v>
      </c>
      <c r="C56" s="80" t="s">
        <v>1435</v>
      </c>
      <c r="D56" s="93" t="s">
        <v>27</v>
      </c>
      <c r="E56" s="80"/>
      <c r="F56" s="93" t="s">
        <v>1509</v>
      </c>
      <c r="G56" s="93" t="s">
        <v>167</v>
      </c>
      <c r="H56" s="87">
        <v>572.54955699999994</v>
      </c>
      <c r="I56" s="89">
        <v>4745</v>
      </c>
      <c r="J56" s="80"/>
      <c r="K56" s="87">
        <v>105.36090732700001</v>
      </c>
      <c r="L56" s="88">
        <v>7.4745372976501291E-5</v>
      </c>
      <c r="M56" s="88">
        <f t="shared" si="2"/>
        <v>3.7520824665390625E-3</v>
      </c>
      <c r="N56" s="88">
        <f>K56/'סכום נכסי הקרן'!$C$42</f>
        <v>2.8985238113009891E-5</v>
      </c>
    </row>
    <row r="57" spans="2:14">
      <c r="B57" s="86" t="s">
        <v>1436</v>
      </c>
      <c r="C57" s="80" t="s">
        <v>1437</v>
      </c>
      <c r="D57" s="93" t="s">
        <v>125</v>
      </c>
      <c r="E57" s="80"/>
      <c r="F57" s="93" t="s">
        <v>1509</v>
      </c>
      <c r="G57" s="93" t="s">
        <v>165</v>
      </c>
      <c r="H57" s="87">
        <v>32791.995465</v>
      </c>
      <c r="I57" s="89">
        <v>3021</v>
      </c>
      <c r="J57" s="80"/>
      <c r="K57" s="87">
        <v>3423.6732085299996</v>
      </c>
      <c r="L57" s="88">
        <v>6.6443262037750047E-5</v>
      </c>
      <c r="M57" s="88">
        <f t="shared" si="2"/>
        <v>0.1219228700927581</v>
      </c>
      <c r="N57" s="88">
        <f>K57/'סכום נכסי הקרן'!$C$42</f>
        <v>9.4186720376642191E-4</v>
      </c>
    </row>
    <row r="58" spans="2:14">
      <c r="B58" s="86" t="s">
        <v>1438</v>
      </c>
      <c r="C58" s="80" t="s">
        <v>1439</v>
      </c>
      <c r="D58" s="93" t="s">
        <v>1440</v>
      </c>
      <c r="E58" s="80"/>
      <c r="F58" s="93" t="s">
        <v>1509</v>
      </c>
      <c r="G58" s="93" t="s">
        <v>170</v>
      </c>
      <c r="H58" s="87">
        <v>63998.283727000002</v>
      </c>
      <c r="I58" s="89">
        <v>2710</v>
      </c>
      <c r="J58" s="80"/>
      <c r="K58" s="87">
        <v>769.20311590900008</v>
      </c>
      <c r="L58" s="88">
        <v>2.867323331799528E-4</v>
      </c>
      <c r="M58" s="88">
        <f t="shared" si="2"/>
        <v>2.7392641138254244E-2</v>
      </c>
      <c r="N58" s="88">
        <f>K58/'סכום נכסי הקרן'!$C$42</f>
        <v>2.1161108078440033E-4</v>
      </c>
    </row>
    <row r="59" spans="2:14">
      <c r="B59" s="86" t="s">
        <v>1441</v>
      </c>
      <c r="C59" s="80" t="s">
        <v>1442</v>
      </c>
      <c r="D59" s="93" t="s">
        <v>1171</v>
      </c>
      <c r="E59" s="80"/>
      <c r="F59" s="93" t="s">
        <v>1509</v>
      </c>
      <c r="G59" s="93" t="s">
        <v>165</v>
      </c>
      <c r="H59" s="87">
        <v>2737.9495809999999</v>
      </c>
      <c r="I59" s="89">
        <v>5376</v>
      </c>
      <c r="J59" s="80"/>
      <c r="K59" s="87">
        <v>508.69613750100007</v>
      </c>
      <c r="L59" s="88">
        <v>2.3779308502692375E-6</v>
      </c>
      <c r="M59" s="88">
        <f t="shared" si="2"/>
        <v>1.8115541207232244E-2</v>
      </c>
      <c r="N59" s="88">
        <f>K59/'סכום נכסי הקרן'!$C$42</f>
        <v>1.3994449219076159E-4</v>
      </c>
    </row>
    <row r="60" spans="2:14">
      <c r="B60" s="86" t="s">
        <v>1443</v>
      </c>
      <c r="C60" s="80" t="s">
        <v>1444</v>
      </c>
      <c r="D60" s="93" t="s">
        <v>27</v>
      </c>
      <c r="E60" s="80"/>
      <c r="F60" s="93" t="s">
        <v>1509</v>
      </c>
      <c r="G60" s="93" t="s">
        <v>167</v>
      </c>
      <c r="H60" s="87">
        <v>15131.897783</v>
      </c>
      <c r="I60" s="89">
        <v>2580.5</v>
      </c>
      <c r="J60" s="80"/>
      <c r="K60" s="87">
        <v>1514.3541931470002</v>
      </c>
      <c r="L60" s="88">
        <v>6.6807495730684325E-5</v>
      </c>
      <c r="M60" s="88">
        <f t="shared" si="2"/>
        <v>5.3928747961538216E-2</v>
      </c>
      <c r="N60" s="88">
        <f>K60/'סכום נכסי הקרן'!$C$42</f>
        <v>4.1660534243095329E-4</v>
      </c>
    </row>
    <row r="61" spans="2:14">
      <c r="B61" s="86" t="s">
        <v>1445</v>
      </c>
      <c r="C61" s="80" t="s">
        <v>1446</v>
      </c>
      <c r="D61" s="93" t="s">
        <v>125</v>
      </c>
      <c r="E61" s="80"/>
      <c r="F61" s="93" t="s">
        <v>1509</v>
      </c>
      <c r="G61" s="93" t="s">
        <v>165</v>
      </c>
      <c r="H61" s="87">
        <v>58.188133999999998</v>
      </c>
      <c r="I61" s="89">
        <v>32030</v>
      </c>
      <c r="J61" s="80"/>
      <c r="K61" s="87">
        <v>64.411751060000014</v>
      </c>
      <c r="L61" s="88">
        <v>5.0072559780671198E-7</v>
      </c>
      <c r="M61" s="88">
        <f t="shared" si="2"/>
        <v>2.2938128374429059E-3</v>
      </c>
      <c r="N61" s="88">
        <f>K61/'סכום נכסי הקרן'!$C$42</f>
        <v>1.7719949354228643E-5</v>
      </c>
    </row>
    <row r="62" spans="2:14">
      <c r="B62" s="86" t="s">
        <v>1447</v>
      </c>
      <c r="C62" s="80" t="s">
        <v>1448</v>
      </c>
      <c r="D62" s="93" t="s">
        <v>1171</v>
      </c>
      <c r="E62" s="80"/>
      <c r="F62" s="93" t="s">
        <v>1509</v>
      </c>
      <c r="G62" s="93" t="s">
        <v>165</v>
      </c>
      <c r="H62" s="87">
        <v>1689.4922269999997</v>
      </c>
      <c r="I62" s="89">
        <v>20582</v>
      </c>
      <c r="J62" s="80"/>
      <c r="K62" s="87">
        <v>1201.7593387649999</v>
      </c>
      <c r="L62" s="88">
        <v>6.4843301746305884E-6</v>
      </c>
      <c r="M62" s="88">
        <f t="shared" si="2"/>
        <v>4.2796709504268123E-2</v>
      </c>
      <c r="N62" s="88">
        <f>K62/'סכום נכסי הקרן'!$C$42</f>
        <v>3.3060915544821235E-4</v>
      </c>
    </row>
    <row r="63" spans="2:14">
      <c r="B63" s="86" t="s">
        <v>1449</v>
      </c>
      <c r="C63" s="80" t="s">
        <v>1450</v>
      </c>
      <c r="D63" s="93" t="s">
        <v>1171</v>
      </c>
      <c r="E63" s="80"/>
      <c r="F63" s="93" t="s">
        <v>1509</v>
      </c>
      <c r="G63" s="93" t="s">
        <v>165</v>
      </c>
      <c r="H63" s="87">
        <v>291.02177</v>
      </c>
      <c r="I63" s="89">
        <v>26432</v>
      </c>
      <c r="J63" s="87">
        <v>3.6923892E-2</v>
      </c>
      <c r="K63" s="87">
        <v>265.88237701100002</v>
      </c>
      <c r="L63" s="88">
        <v>1.5902828961748635E-5</v>
      </c>
      <c r="M63" s="88">
        <f t="shared" si="2"/>
        <v>9.4685270870769316E-3</v>
      </c>
      <c r="N63" s="88">
        <f>K63/'סכום נכסי הקרן'!$C$42</f>
        <v>7.314538383575572E-5</v>
      </c>
    </row>
    <row r="64" spans="2:14">
      <c r="B64" s="86" t="s">
        <v>1451</v>
      </c>
      <c r="C64" s="80" t="s">
        <v>1452</v>
      </c>
      <c r="D64" s="93" t="s">
        <v>27</v>
      </c>
      <c r="E64" s="80"/>
      <c r="F64" s="93" t="s">
        <v>1509</v>
      </c>
      <c r="G64" s="93" t="s">
        <v>167</v>
      </c>
      <c r="H64" s="87">
        <v>1121.1475290000003</v>
      </c>
      <c r="I64" s="89">
        <v>3239</v>
      </c>
      <c r="J64" s="80"/>
      <c r="K64" s="87">
        <v>140.83283242100001</v>
      </c>
      <c r="L64" s="88">
        <v>2.0384500527272732E-4</v>
      </c>
      <c r="M64" s="88">
        <f t="shared" si="2"/>
        <v>5.0152985072524619E-3</v>
      </c>
      <c r="N64" s="88">
        <f>K64/'סכום נכסי הקרן'!$C$42</f>
        <v>3.8743717052313425E-5</v>
      </c>
    </row>
    <row r="65" spans="2:14">
      <c r="B65" s="86" t="s">
        <v>1453</v>
      </c>
      <c r="C65" s="80" t="s">
        <v>1454</v>
      </c>
      <c r="D65" s="93" t="s">
        <v>1150</v>
      </c>
      <c r="E65" s="80"/>
      <c r="F65" s="93" t="s">
        <v>1509</v>
      </c>
      <c r="G65" s="93" t="s">
        <v>165</v>
      </c>
      <c r="H65" s="87">
        <v>1272.566879</v>
      </c>
      <c r="I65" s="89">
        <v>6409</v>
      </c>
      <c r="J65" s="80"/>
      <c r="K65" s="87">
        <v>281.86725165599995</v>
      </c>
      <c r="L65" s="88">
        <v>1.7384793428961748E-5</v>
      </c>
      <c r="M65" s="88">
        <f t="shared" si="2"/>
        <v>1.0037775866410092E-2</v>
      </c>
      <c r="N65" s="88">
        <f>K65/'סכום נכסי הקרן'!$C$42</f>
        <v>7.7542891502939651E-5</v>
      </c>
    </row>
    <row r="66" spans="2:14">
      <c r="B66" s="86" t="s">
        <v>1455</v>
      </c>
      <c r="C66" s="80" t="s">
        <v>1456</v>
      </c>
      <c r="D66" s="93" t="s">
        <v>1171</v>
      </c>
      <c r="E66" s="80"/>
      <c r="F66" s="93" t="s">
        <v>1509</v>
      </c>
      <c r="G66" s="93" t="s">
        <v>165</v>
      </c>
      <c r="H66" s="87">
        <v>2409.6884260000002</v>
      </c>
      <c r="I66" s="89">
        <v>16567</v>
      </c>
      <c r="J66" s="80"/>
      <c r="K66" s="87">
        <v>1379.6804099239998</v>
      </c>
      <c r="L66" s="88">
        <v>8.3107033143645467E-6</v>
      </c>
      <c r="M66" s="88">
        <f t="shared" si="2"/>
        <v>4.9132783750967954E-2</v>
      </c>
      <c r="N66" s="88">
        <f>K66/'סכום נכסי הקרן'!$C$42</f>
        <v>3.7955600626508857E-4</v>
      </c>
    </row>
    <row r="67" spans="2:14">
      <c r="B67" s="86" t="s">
        <v>1457</v>
      </c>
      <c r="C67" s="80" t="s">
        <v>1458</v>
      </c>
      <c r="D67" s="93" t="s">
        <v>125</v>
      </c>
      <c r="E67" s="80"/>
      <c r="F67" s="93" t="s">
        <v>1509</v>
      </c>
      <c r="G67" s="93" t="s">
        <v>165</v>
      </c>
      <c r="H67" s="87">
        <v>25857.796875</v>
      </c>
      <c r="I67" s="89">
        <v>752.25</v>
      </c>
      <c r="J67" s="80"/>
      <c r="K67" s="87">
        <v>672.24479731000008</v>
      </c>
      <c r="L67" s="88">
        <v>1.7152767412935324E-4</v>
      </c>
      <c r="M67" s="88">
        <f t="shared" si="2"/>
        <v>2.393978925580667E-2</v>
      </c>
      <c r="N67" s="88">
        <f>K67/'סכום נכסי הקרן'!$C$42</f>
        <v>1.8493743091816666E-4</v>
      </c>
    </row>
    <row r="68" spans="2:14">
      <c r="B68" s="86" t="s">
        <v>1459</v>
      </c>
      <c r="C68" s="80" t="s">
        <v>1460</v>
      </c>
      <c r="D68" s="93" t="s">
        <v>1171</v>
      </c>
      <c r="E68" s="80"/>
      <c r="F68" s="93" t="s">
        <v>1509</v>
      </c>
      <c r="G68" s="93" t="s">
        <v>165</v>
      </c>
      <c r="H68" s="87">
        <v>601.45921099999998</v>
      </c>
      <c r="I68" s="89">
        <v>23304</v>
      </c>
      <c r="J68" s="80"/>
      <c r="K68" s="87">
        <v>484.40697211799994</v>
      </c>
      <c r="L68" s="88">
        <v>4.9502815720164607E-5</v>
      </c>
      <c r="M68" s="88">
        <f t="shared" si="2"/>
        <v>1.7250562403684416E-2</v>
      </c>
      <c r="N68" s="88">
        <f>K68/'סכום נכסי הקרן'!$C$42</f>
        <v>1.332624384760237E-4</v>
      </c>
    </row>
    <row r="69" spans="2:14">
      <c r="B69" s="86" t="s">
        <v>1461</v>
      </c>
      <c r="C69" s="80" t="s">
        <v>1462</v>
      </c>
      <c r="D69" s="93" t="s">
        <v>27</v>
      </c>
      <c r="E69" s="80"/>
      <c r="F69" s="93" t="s">
        <v>1509</v>
      </c>
      <c r="G69" s="93" t="s">
        <v>167</v>
      </c>
      <c r="H69" s="87">
        <v>2581.3721959999998</v>
      </c>
      <c r="I69" s="89">
        <v>3119</v>
      </c>
      <c r="J69" s="80"/>
      <c r="K69" s="87">
        <v>312.24551188899994</v>
      </c>
      <c r="L69" s="88">
        <v>1.4542941949295774E-4</v>
      </c>
      <c r="M69" s="88">
        <f t="shared" si="2"/>
        <v>1.1119597772427325E-2</v>
      </c>
      <c r="N69" s="88">
        <f>K69/'סכום נכסי הקרן'!$C$42</f>
        <v>8.5900081362549376E-5</v>
      </c>
    </row>
    <row r="70" spans="2:14">
      <c r="B70" s="86" t="s">
        <v>1463</v>
      </c>
      <c r="C70" s="80" t="s">
        <v>1464</v>
      </c>
      <c r="D70" s="93" t="s">
        <v>1171</v>
      </c>
      <c r="E70" s="80"/>
      <c r="F70" s="93" t="s">
        <v>1509</v>
      </c>
      <c r="G70" s="93" t="s">
        <v>165</v>
      </c>
      <c r="H70" s="87">
        <v>202.65085999999999</v>
      </c>
      <c r="I70" s="89">
        <v>22208</v>
      </c>
      <c r="J70" s="87">
        <v>0.40305236999999999</v>
      </c>
      <c r="K70" s="87">
        <v>155.93930560799998</v>
      </c>
      <c r="L70" s="88">
        <v>8.2714636734693869E-6</v>
      </c>
      <c r="M70" s="88">
        <f t="shared" si="2"/>
        <v>5.5532659053526869E-3</v>
      </c>
      <c r="N70" s="88">
        <f>K70/'סכום נכסי הקרן'!$C$42</f>
        <v>4.2899572705815237E-5</v>
      </c>
    </row>
    <row r="71" spans="2:14">
      <c r="B71" s="86" t="s">
        <v>1465</v>
      </c>
      <c r="C71" s="80" t="s">
        <v>1466</v>
      </c>
      <c r="D71" s="93" t="s">
        <v>27</v>
      </c>
      <c r="E71" s="80"/>
      <c r="F71" s="93" t="s">
        <v>1509</v>
      </c>
      <c r="G71" s="93" t="s">
        <v>167</v>
      </c>
      <c r="H71" s="87">
        <v>2319.357841</v>
      </c>
      <c r="I71" s="89">
        <v>6109</v>
      </c>
      <c r="J71" s="80"/>
      <c r="K71" s="87">
        <v>549.50049232100002</v>
      </c>
      <c r="L71" s="88">
        <v>4.295107112962963E-4</v>
      </c>
      <c r="M71" s="88">
        <f t="shared" si="2"/>
        <v>1.956865420865499E-2</v>
      </c>
      <c r="N71" s="88">
        <f>K71/'סכום נכסי הקרן'!$C$42</f>
        <v>1.5116994544957531E-4</v>
      </c>
    </row>
    <row r="72" spans="2:14">
      <c r="B72" s="86" t="s">
        <v>1467</v>
      </c>
      <c r="C72" s="80" t="s">
        <v>1468</v>
      </c>
      <c r="D72" s="93" t="s">
        <v>1150</v>
      </c>
      <c r="E72" s="80"/>
      <c r="F72" s="93" t="s">
        <v>1509</v>
      </c>
      <c r="G72" s="93" t="s">
        <v>165</v>
      </c>
      <c r="H72" s="87">
        <v>1336.6906959999999</v>
      </c>
      <c r="I72" s="89">
        <v>4868</v>
      </c>
      <c r="J72" s="80"/>
      <c r="K72" s="87">
        <v>224.88227621999999</v>
      </c>
      <c r="L72" s="88">
        <v>3.4674207418936444E-5</v>
      </c>
      <c r="M72" s="88">
        <f t="shared" si="2"/>
        <v>8.0084432361776786E-3</v>
      </c>
      <c r="N72" s="88">
        <f>K72/'סכום נכסי הקרן'!$C$42</f>
        <v>6.1866080019623909E-5</v>
      </c>
    </row>
    <row r="73" spans="2:14">
      <c r="B73" s="86" t="s">
        <v>1469</v>
      </c>
      <c r="C73" s="80" t="s">
        <v>1470</v>
      </c>
      <c r="D73" s="93" t="s">
        <v>125</v>
      </c>
      <c r="E73" s="80"/>
      <c r="F73" s="93" t="s">
        <v>1509</v>
      </c>
      <c r="G73" s="93" t="s">
        <v>165</v>
      </c>
      <c r="H73" s="87">
        <v>555.46349999999995</v>
      </c>
      <c r="I73" s="89">
        <v>2718.5</v>
      </c>
      <c r="J73" s="80"/>
      <c r="K73" s="87">
        <v>52.186551254999998</v>
      </c>
      <c r="L73" s="88">
        <v>1.1452855670103092E-4</v>
      </c>
      <c r="M73" s="88">
        <f t="shared" si="2"/>
        <v>1.858452522103987E-3</v>
      </c>
      <c r="N73" s="88">
        <f>K73/'סכום נכסי הקרן'!$C$42</f>
        <v>1.4356744382698933E-5</v>
      </c>
    </row>
    <row r="74" spans="2:14">
      <c r="B74" s="86" t="s">
        <v>1471</v>
      </c>
      <c r="C74" s="80" t="s">
        <v>1472</v>
      </c>
      <c r="D74" s="93" t="s">
        <v>125</v>
      </c>
      <c r="E74" s="80"/>
      <c r="F74" s="93" t="s">
        <v>1509</v>
      </c>
      <c r="G74" s="93" t="s">
        <v>165</v>
      </c>
      <c r="H74" s="87">
        <v>684.23438099999998</v>
      </c>
      <c r="I74" s="89">
        <v>3282.875</v>
      </c>
      <c r="J74" s="80"/>
      <c r="K74" s="87">
        <v>77.630605454999994</v>
      </c>
      <c r="L74" s="88">
        <v>6.4724684514943279E-6</v>
      </c>
      <c r="M74" s="88">
        <f t="shared" si="2"/>
        <v>2.7645588955541775E-3</v>
      </c>
      <c r="N74" s="88">
        <f>K74/'סכום נכסי הקרן'!$C$42</f>
        <v>2.1356512971046459E-5</v>
      </c>
    </row>
    <row r="75" spans="2:14">
      <c r="B75" s="86" t="s">
        <v>1473</v>
      </c>
      <c r="C75" s="80" t="s">
        <v>1474</v>
      </c>
      <c r="D75" s="93" t="s">
        <v>27</v>
      </c>
      <c r="E75" s="80"/>
      <c r="F75" s="93" t="s">
        <v>1509</v>
      </c>
      <c r="G75" s="93" t="s">
        <v>167</v>
      </c>
      <c r="H75" s="87">
        <v>855.41378900000007</v>
      </c>
      <c r="I75" s="89">
        <v>4482.6000000000004</v>
      </c>
      <c r="J75" s="80"/>
      <c r="K75" s="87">
        <v>148.708720172</v>
      </c>
      <c r="L75" s="88">
        <v>9.7072461256751512E-5</v>
      </c>
      <c r="M75" s="88">
        <f t="shared" si="2"/>
        <v>5.2957723669473291E-3</v>
      </c>
      <c r="N75" s="88">
        <f>K75/'סכום נכסי הקרן'!$C$42</f>
        <v>4.0910407598224967E-5</v>
      </c>
    </row>
    <row r="76" spans="2:14">
      <c r="B76" s="86" t="s">
        <v>1475</v>
      </c>
      <c r="C76" s="80" t="s">
        <v>1476</v>
      </c>
      <c r="D76" s="93" t="s">
        <v>27</v>
      </c>
      <c r="E76" s="80"/>
      <c r="F76" s="93" t="s">
        <v>1509</v>
      </c>
      <c r="G76" s="93" t="s">
        <v>167</v>
      </c>
      <c r="H76" s="87">
        <v>277.73175000000003</v>
      </c>
      <c r="I76" s="89">
        <v>10859</v>
      </c>
      <c r="J76" s="80"/>
      <c r="K76" s="87">
        <v>116.96221003900003</v>
      </c>
      <c r="L76" s="88">
        <v>1.2107077187852285E-4</v>
      </c>
      <c r="M76" s="88">
        <f t="shared" si="2"/>
        <v>4.1652247372259482E-3</v>
      </c>
      <c r="N76" s="88">
        <f>K76/'סכום נכסי הקרן'!$C$42</f>
        <v>3.2176806314722366E-5</v>
      </c>
    </row>
    <row r="77" spans="2:14">
      <c r="B77" s="86" t="s">
        <v>1477</v>
      </c>
      <c r="C77" s="80" t="s">
        <v>1478</v>
      </c>
      <c r="D77" s="93" t="s">
        <v>27</v>
      </c>
      <c r="E77" s="80"/>
      <c r="F77" s="93" t="s">
        <v>1509</v>
      </c>
      <c r="G77" s="93" t="s">
        <v>167</v>
      </c>
      <c r="H77" s="87">
        <v>2673.4058320000004</v>
      </c>
      <c r="I77" s="89">
        <v>5964.4</v>
      </c>
      <c r="J77" s="80"/>
      <c r="K77" s="87">
        <v>618.38914101499995</v>
      </c>
      <c r="L77" s="88">
        <v>4.6308562769583451E-4</v>
      </c>
      <c r="M77" s="88">
        <f t="shared" si="2"/>
        <v>2.2021897042888712E-2</v>
      </c>
      <c r="N77" s="88">
        <f>K77/'סכום נכסי הקרן'!$C$42</f>
        <v>1.7012150857043866E-4</v>
      </c>
    </row>
    <row r="78" spans="2:14">
      <c r="B78" s="86" t="s">
        <v>1479</v>
      </c>
      <c r="C78" s="80" t="s">
        <v>1480</v>
      </c>
      <c r="D78" s="93" t="s">
        <v>27</v>
      </c>
      <c r="E78" s="80"/>
      <c r="F78" s="93" t="s">
        <v>1509</v>
      </c>
      <c r="G78" s="93" t="s">
        <v>167</v>
      </c>
      <c r="H78" s="87">
        <v>9665.0648989999991</v>
      </c>
      <c r="I78" s="89">
        <v>1900</v>
      </c>
      <c r="J78" s="80"/>
      <c r="K78" s="87">
        <v>712.17803920800009</v>
      </c>
      <c r="L78" s="88">
        <v>2.5880775655964138E-4</v>
      </c>
      <c r="M78" s="88">
        <f t="shared" si="2"/>
        <v>2.536188043325378E-2</v>
      </c>
      <c r="N78" s="88">
        <f>K78/'סכום נכסי הקרן'!$C$42</f>
        <v>1.959232372708549E-4</v>
      </c>
    </row>
    <row r="79" spans="2:14">
      <c r="B79" s="86" t="s">
        <v>1481</v>
      </c>
      <c r="C79" s="80" t="s">
        <v>1482</v>
      </c>
      <c r="D79" s="93" t="s">
        <v>1171</v>
      </c>
      <c r="E79" s="80"/>
      <c r="F79" s="93" t="s">
        <v>1509</v>
      </c>
      <c r="G79" s="93" t="s">
        <v>165</v>
      </c>
      <c r="H79" s="87">
        <v>370.66301499999992</v>
      </c>
      <c r="I79" s="89">
        <v>14141</v>
      </c>
      <c r="J79" s="80"/>
      <c r="K79" s="87">
        <v>181.14781942099998</v>
      </c>
      <c r="L79" s="88">
        <v>3.5230988931879346E-5</v>
      </c>
      <c r="M79" s="88">
        <f t="shared" si="2"/>
        <v>6.4509842819770562E-3</v>
      </c>
      <c r="N79" s="88">
        <f>K79/'סכום נכסי הקרן'!$C$42</f>
        <v>4.9834543122092775E-5</v>
      </c>
    </row>
    <row r="80" spans="2:14">
      <c r="B80" s="86" t="s">
        <v>1483</v>
      </c>
      <c r="C80" s="80" t="s">
        <v>1484</v>
      </c>
      <c r="D80" s="93" t="s">
        <v>126</v>
      </c>
      <c r="E80" s="80"/>
      <c r="F80" s="93" t="s">
        <v>1509</v>
      </c>
      <c r="G80" s="93" t="s">
        <v>175</v>
      </c>
      <c r="H80" s="87">
        <v>130.88386499999999</v>
      </c>
      <c r="I80" s="89">
        <v>21360</v>
      </c>
      <c r="J80" s="80"/>
      <c r="K80" s="87">
        <v>89.034000121000005</v>
      </c>
      <c r="L80" s="88">
        <v>8.685982917894401E-4</v>
      </c>
      <c r="M80" s="88">
        <f t="shared" si="2"/>
        <v>3.1706533215686652E-3</v>
      </c>
      <c r="N80" s="88">
        <f>K80/'סכום נכסי הקרן'!$C$42</f>
        <v>2.4493635819322604E-5</v>
      </c>
    </row>
    <row r="81" spans="2:14">
      <c r="B81" s="86" t="s">
        <v>1485</v>
      </c>
      <c r="C81" s="80" t="s">
        <v>1486</v>
      </c>
      <c r="D81" s="93" t="s">
        <v>126</v>
      </c>
      <c r="E81" s="80"/>
      <c r="F81" s="93" t="s">
        <v>1509</v>
      </c>
      <c r="G81" s="93" t="s">
        <v>175</v>
      </c>
      <c r="H81" s="87">
        <v>76.051840999999996</v>
      </c>
      <c r="I81" s="89">
        <v>34500</v>
      </c>
      <c r="J81" s="80"/>
      <c r="K81" s="87">
        <v>83.559792348000002</v>
      </c>
      <c r="L81" s="88">
        <v>8.660559933495798E-4</v>
      </c>
      <c r="M81" s="88">
        <f t="shared" si="2"/>
        <v>2.9757074016410982E-3</v>
      </c>
      <c r="N81" s="88">
        <f>K81/'סכום נכסי הקרן'!$C$42</f>
        <v>2.2987657750169877E-5</v>
      </c>
    </row>
    <row r="82" spans="2:14">
      <c r="B82" s="86" t="s">
        <v>1487</v>
      </c>
      <c r="C82" s="80" t="s">
        <v>1488</v>
      </c>
      <c r="D82" s="93" t="s">
        <v>1171</v>
      </c>
      <c r="E82" s="80"/>
      <c r="F82" s="93" t="s">
        <v>1509</v>
      </c>
      <c r="G82" s="93" t="s">
        <v>165</v>
      </c>
      <c r="H82" s="87">
        <v>2199.6354609999999</v>
      </c>
      <c r="I82" s="89">
        <v>2984</v>
      </c>
      <c r="J82" s="80"/>
      <c r="K82" s="87">
        <v>226.84189406700006</v>
      </c>
      <c r="L82" s="88">
        <v>2.2196119687184662E-5</v>
      </c>
      <c r="M82" s="88">
        <f t="shared" si="2"/>
        <v>8.0782285858997157E-3</v>
      </c>
      <c r="N82" s="88">
        <f>K82/'סכום נכסי הקרן'!$C$42</f>
        <v>6.2405179305562243E-5</v>
      </c>
    </row>
    <row r="83" spans="2:14">
      <c r="B83" s="86" t="s">
        <v>1489</v>
      </c>
      <c r="C83" s="80" t="s">
        <v>1490</v>
      </c>
      <c r="D83" s="93" t="s">
        <v>125</v>
      </c>
      <c r="E83" s="80"/>
      <c r="F83" s="93" t="s">
        <v>1509</v>
      </c>
      <c r="G83" s="93" t="s">
        <v>165</v>
      </c>
      <c r="H83" s="87">
        <v>92.385800000000003</v>
      </c>
      <c r="I83" s="89">
        <v>58895.5</v>
      </c>
      <c r="J83" s="80"/>
      <c r="K83" s="87">
        <v>188.044688987</v>
      </c>
      <c r="L83" s="88">
        <v>7.1189497349555937E-6</v>
      </c>
      <c r="M83" s="88">
        <f t="shared" si="2"/>
        <v>6.696593626363977E-3</v>
      </c>
      <c r="N83" s="88">
        <f>K83/'סכום נכסי הקרן'!$C$42</f>
        <v>5.1731901560592603E-5</v>
      </c>
    </row>
    <row r="84" spans="2:14">
      <c r="B84" s="86" t="s">
        <v>1491</v>
      </c>
      <c r="C84" s="80" t="s">
        <v>1492</v>
      </c>
      <c r="D84" s="93" t="s">
        <v>27</v>
      </c>
      <c r="E84" s="80"/>
      <c r="F84" s="93" t="s">
        <v>1509</v>
      </c>
      <c r="G84" s="93" t="s">
        <v>167</v>
      </c>
      <c r="H84" s="87">
        <v>755.98804699999994</v>
      </c>
      <c r="I84" s="89">
        <v>13188</v>
      </c>
      <c r="J84" s="80"/>
      <c r="K84" s="87">
        <v>386.65538981699996</v>
      </c>
      <c r="L84" s="88">
        <v>5.8717518213592223E-4</v>
      </c>
      <c r="M84" s="88">
        <f t="shared" si="2"/>
        <v>1.3769461041395344E-2</v>
      </c>
      <c r="N84" s="88">
        <f>K84/'סכום נכסי הקרן'!$C$42</f>
        <v>1.0637055835843583E-4</v>
      </c>
    </row>
    <row r="85" spans="2:14">
      <c r="B85" s="86" t="s">
        <v>1493</v>
      </c>
      <c r="C85" s="80" t="s">
        <v>1494</v>
      </c>
      <c r="D85" s="93" t="s">
        <v>27</v>
      </c>
      <c r="E85" s="80"/>
      <c r="F85" s="93" t="s">
        <v>1509</v>
      </c>
      <c r="G85" s="93" t="s">
        <v>167</v>
      </c>
      <c r="H85" s="87">
        <v>325.27053899999993</v>
      </c>
      <c r="I85" s="89">
        <v>25550</v>
      </c>
      <c r="J85" s="80"/>
      <c r="K85" s="87">
        <v>322.30410340399999</v>
      </c>
      <c r="L85" s="88">
        <v>4.8188156610138347E-4</v>
      </c>
      <c r="M85" s="88">
        <f t="shared" si="2"/>
        <v>1.1477801453650169E-2</v>
      </c>
      <c r="N85" s="88">
        <f>K85/'סכום נכסי הקרן'!$C$42</f>
        <v>8.8667243088282383E-5</v>
      </c>
    </row>
    <row r="86" spans="2:14">
      <c r="B86" s="86" t="s">
        <v>1495</v>
      </c>
      <c r="C86" s="80" t="s">
        <v>1496</v>
      </c>
      <c r="D86" s="93" t="s">
        <v>27</v>
      </c>
      <c r="E86" s="80"/>
      <c r="F86" s="93" t="s">
        <v>1509</v>
      </c>
      <c r="G86" s="93" t="s">
        <v>167</v>
      </c>
      <c r="H86" s="87">
        <v>624.91865699999983</v>
      </c>
      <c r="I86" s="89">
        <v>20180</v>
      </c>
      <c r="J86" s="80"/>
      <c r="K86" s="87">
        <v>489.07431352300006</v>
      </c>
      <c r="L86" s="88">
        <v>2.4151445681159413E-4</v>
      </c>
      <c r="M86" s="88">
        <f t="shared" si="2"/>
        <v>1.7416774429523385E-2</v>
      </c>
      <c r="N86" s="88">
        <f>K86/'סכום נכסי הקרן'!$C$42</f>
        <v>1.3454644414198448E-4</v>
      </c>
    </row>
    <row r="87" spans="2:14">
      <c r="B87" s="86" t="s">
        <v>1497</v>
      </c>
      <c r="C87" s="80" t="s">
        <v>1498</v>
      </c>
      <c r="D87" s="93" t="s">
        <v>1171</v>
      </c>
      <c r="E87" s="80"/>
      <c r="F87" s="93" t="s">
        <v>1509</v>
      </c>
      <c r="G87" s="93" t="s">
        <v>165</v>
      </c>
      <c r="H87" s="87">
        <v>1444.2050999999999</v>
      </c>
      <c r="I87" s="89">
        <v>2370</v>
      </c>
      <c r="J87" s="80"/>
      <c r="K87" s="87">
        <v>118.29079596699999</v>
      </c>
      <c r="L87" s="88">
        <v>1.2679588235294116E-5</v>
      </c>
      <c r="M87" s="88">
        <f t="shared" si="2"/>
        <v>4.212537958915164E-3</v>
      </c>
      <c r="N87" s="88">
        <f>K87/'סכום נכסי הקרן'!$C$42</f>
        <v>3.254230600956796E-5</v>
      </c>
    </row>
    <row r="88" spans="2:14">
      <c r="B88" s="86" t="s">
        <v>1499</v>
      </c>
      <c r="C88" s="80" t="s">
        <v>1500</v>
      </c>
      <c r="D88" s="93" t="s">
        <v>137</v>
      </c>
      <c r="E88" s="80"/>
      <c r="F88" s="93" t="s">
        <v>1509</v>
      </c>
      <c r="G88" s="93" t="s">
        <v>169</v>
      </c>
      <c r="H88" s="87">
        <v>2061.2072899999998</v>
      </c>
      <c r="I88" s="89">
        <v>8545</v>
      </c>
      <c r="J88" s="80"/>
      <c r="K88" s="87">
        <v>426.78099784699998</v>
      </c>
      <c r="L88" s="88">
        <v>3.9191243484207864E-5</v>
      </c>
      <c r="M88" s="88">
        <f t="shared" si="2"/>
        <v>1.5198402706460151E-2</v>
      </c>
      <c r="N88" s="88">
        <f>K88/'סכום נכסי הקרן'!$C$42</f>
        <v>1.1740928546021742E-4</v>
      </c>
    </row>
    <row r="89" spans="2:14">
      <c r="B89" s="86" t="s">
        <v>1501</v>
      </c>
      <c r="C89" s="80" t="s">
        <v>1502</v>
      </c>
      <c r="D89" s="93" t="s">
        <v>125</v>
      </c>
      <c r="E89" s="80"/>
      <c r="F89" s="93" t="s">
        <v>1509</v>
      </c>
      <c r="G89" s="93" t="s">
        <v>168</v>
      </c>
      <c r="H89" s="87">
        <v>1110.9269999999999</v>
      </c>
      <c r="I89" s="89">
        <v>3470</v>
      </c>
      <c r="J89" s="80"/>
      <c r="K89" s="87">
        <v>175.77263631400001</v>
      </c>
      <c r="L89" s="88">
        <v>1.2697121477423044E-5</v>
      </c>
      <c r="M89" s="88">
        <f t="shared" si="2"/>
        <v>6.25956480010398E-3</v>
      </c>
      <c r="N89" s="88">
        <f>K89/'סכום נכסי הקרן'!$C$42</f>
        <v>4.8355807163850922E-5</v>
      </c>
    </row>
    <row r="90" spans="2:14">
      <c r="B90" s="86" t="s">
        <v>1503</v>
      </c>
      <c r="C90" s="80" t="s">
        <v>1504</v>
      </c>
      <c r="D90" s="93" t="s">
        <v>1171</v>
      </c>
      <c r="E90" s="80"/>
      <c r="F90" s="93" t="s">
        <v>1509</v>
      </c>
      <c r="G90" s="93" t="s">
        <v>165</v>
      </c>
      <c r="H90" s="87">
        <v>1893.2017999999998</v>
      </c>
      <c r="I90" s="89">
        <v>24485</v>
      </c>
      <c r="J90" s="80"/>
      <c r="K90" s="87">
        <v>1602.030392315</v>
      </c>
      <c r="L90" s="88">
        <v>1.819412785370136E-5</v>
      </c>
      <c r="M90" s="88">
        <f t="shared" si="2"/>
        <v>5.7051047664311717E-2</v>
      </c>
      <c r="N90" s="88">
        <f>K90/'סכום נכסי הקרן'!$C$42</f>
        <v>4.407254413765791E-4</v>
      </c>
    </row>
    <row r="91" spans="2:14">
      <c r="B91" s="86" t="s">
        <v>1505</v>
      </c>
      <c r="C91" s="80" t="s">
        <v>1506</v>
      </c>
      <c r="D91" s="93" t="s">
        <v>1171</v>
      </c>
      <c r="E91" s="80"/>
      <c r="F91" s="93" t="s">
        <v>1509</v>
      </c>
      <c r="G91" s="93" t="s">
        <v>165</v>
      </c>
      <c r="H91" s="87">
        <v>2082.0105119999998</v>
      </c>
      <c r="I91" s="89">
        <v>3122</v>
      </c>
      <c r="J91" s="80"/>
      <c r="K91" s="87">
        <v>224.64127214899992</v>
      </c>
      <c r="L91" s="88">
        <v>8.6033492231404949E-5</v>
      </c>
      <c r="M91" s="88">
        <f t="shared" si="2"/>
        <v>7.9998606682015177E-3</v>
      </c>
      <c r="N91" s="88">
        <f>K91/'סכום נכסי הקרן'!$C$42</f>
        <v>6.1799778764619898E-5</v>
      </c>
    </row>
    <row r="92" spans="2:14">
      <c r="D92" s="1"/>
      <c r="E92" s="1"/>
      <c r="F92" s="1"/>
      <c r="G92" s="1"/>
    </row>
    <row r="93" spans="2:14">
      <c r="D93" s="1"/>
      <c r="E93" s="1"/>
      <c r="F93" s="1"/>
      <c r="G93" s="1"/>
    </row>
    <row r="94" spans="2:14">
      <c r="D94" s="1"/>
      <c r="E94" s="1"/>
      <c r="F94" s="1"/>
      <c r="G94" s="1"/>
    </row>
    <row r="95" spans="2:14">
      <c r="B95" s="95" t="s">
        <v>255</v>
      </c>
      <c r="D95" s="1"/>
      <c r="E95" s="1"/>
      <c r="F95" s="1"/>
      <c r="G95" s="1"/>
    </row>
    <row r="96" spans="2:14">
      <c r="B96" s="95" t="s">
        <v>114</v>
      </c>
      <c r="D96" s="1"/>
      <c r="E96" s="1"/>
      <c r="F96" s="1"/>
      <c r="G96" s="1"/>
    </row>
    <row r="97" spans="2:7">
      <c r="B97" s="95" t="s">
        <v>238</v>
      </c>
      <c r="D97" s="1"/>
      <c r="E97" s="1"/>
      <c r="F97" s="1"/>
      <c r="G97" s="1"/>
    </row>
    <row r="98" spans="2:7">
      <c r="B98" s="95" t="s">
        <v>246</v>
      </c>
      <c r="D98" s="1"/>
      <c r="E98" s="1"/>
      <c r="F98" s="1"/>
      <c r="G98" s="1"/>
    </row>
    <row r="99" spans="2:7">
      <c r="B99" s="95" t="s">
        <v>253</v>
      </c>
      <c r="D99" s="1"/>
      <c r="E99" s="1"/>
      <c r="F99" s="1"/>
      <c r="G99" s="1"/>
    </row>
    <row r="100" spans="2:7">
      <c r="D100" s="1"/>
      <c r="E100" s="1"/>
      <c r="F100" s="1"/>
      <c r="G100" s="1"/>
    </row>
    <row r="101" spans="2:7">
      <c r="D101" s="1"/>
      <c r="E101" s="1"/>
      <c r="F101" s="1"/>
      <c r="G101" s="1"/>
    </row>
    <row r="102" spans="2:7"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94 B96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N12" sqref="N12:N19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6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181</v>
      </c>
      <c r="C1" s="78" t="s" vm="1">
        <v>262</v>
      </c>
    </row>
    <row r="2" spans="2:65">
      <c r="B2" s="57" t="s">
        <v>180</v>
      </c>
      <c r="C2" s="78" t="s">
        <v>263</v>
      </c>
    </row>
    <row r="3" spans="2:65">
      <c r="B3" s="57" t="s">
        <v>182</v>
      </c>
      <c r="C3" s="78" t="s">
        <v>264</v>
      </c>
    </row>
    <row r="4" spans="2:65">
      <c r="B4" s="57" t="s">
        <v>183</v>
      </c>
      <c r="C4" s="78">
        <v>2207</v>
      </c>
    </row>
    <row r="6" spans="2:65" ht="26.25" customHeight="1">
      <c r="B6" s="157" t="s">
        <v>211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65" ht="26.25" customHeight="1">
      <c r="B7" s="157" t="s">
        <v>93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BM7" s="3"/>
    </row>
    <row r="8" spans="2:65" s="3" customFormat="1" ht="78.75">
      <c r="B8" s="23" t="s">
        <v>117</v>
      </c>
      <c r="C8" s="31" t="s">
        <v>44</v>
      </c>
      <c r="D8" s="31" t="s">
        <v>121</v>
      </c>
      <c r="E8" s="31" t="s">
        <v>119</v>
      </c>
      <c r="F8" s="31" t="s">
        <v>65</v>
      </c>
      <c r="G8" s="31" t="s">
        <v>15</v>
      </c>
      <c r="H8" s="31" t="s">
        <v>66</v>
      </c>
      <c r="I8" s="31" t="s">
        <v>103</v>
      </c>
      <c r="J8" s="31" t="s">
        <v>240</v>
      </c>
      <c r="K8" s="31" t="s">
        <v>239</v>
      </c>
      <c r="L8" s="31" t="s">
        <v>62</v>
      </c>
      <c r="M8" s="31" t="s">
        <v>59</v>
      </c>
      <c r="N8" s="31" t="s">
        <v>184</v>
      </c>
      <c r="O8" s="21" t="s">
        <v>186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247</v>
      </c>
      <c r="K9" s="33"/>
      <c r="L9" s="33" t="s">
        <v>243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6" t="s">
        <v>30</v>
      </c>
      <c r="C11" s="82"/>
      <c r="D11" s="82"/>
      <c r="E11" s="82"/>
      <c r="F11" s="82"/>
      <c r="G11" s="82"/>
      <c r="H11" s="82"/>
      <c r="I11" s="82"/>
      <c r="J11" s="90"/>
      <c r="K11" s="92"/>
      <c r="L11" s="90">
        <v>2900.6105901689994</v>
      </c>
      <c r="M11" s="82"/>
      <c r="N11" s="91">
        <f>L11/$L$11</f>
        <v>1</v>
      </c>
      <c r="O11" s="91">
        <f>L11/'סכום נכסי הקרן'!$C$42</f>
        <v>7.9797043098945859E-4</v>
      </c>
      <c r="P11" s="5"/>
      <c r="BG11" s="96"/>
      <c r="BH11" s="3"/>
      <c r="BI11" s="96"/>
      <c r="BM11" s="96"/>
    </row>
    <row r="12" spans="2:65" s="4" customFormat="1" ht="18" customHeight="1">
      <c r="B12" s="81" t="s">
        <v>234</v>
      </c>
      <c r="C12" s="82"/>
      <c r="D12" s="82"/>
      <c r="E12" s="82"/>
      <c r="F12" s="82"/>
      <c r="G12" s="82"/>
      <c r="H12" s="82"/>
      <c r="I12" s="82"/>
      <c r="J12" s="90"/>
      <c r="K12" s="92"/>
      <c r="L12" s="90">
        <v>2900.6105901689998</v>
      </c>
      <c r="M12" s="82"/>
      <c r="N12" s="91">
        <f t="shared" ref="N12:N19" si="0">L12/$L$11</f>
        <v>1.0000000000000002</v>
      </c>
      <c r="O12" s="91">
        <f>L12/'סכום נכסי הקרן'!$C$42</f>
        <v>7.979704309894587E-4</v>
      </c>
      <c r="P12" s="5"/>
      <c r="BG12" s="96"/>
      <c r="BH12" s="3"/>
      <c r="BI12" s="96"/>
      <c r="BM12" s="96"/>
    </row>
    <row r="13" spans="2:65">
      <c r="B13" s="99" t="s">
        <v>29</v>
      </c>
      <c r="C13" s="82"/>
      <c r="D13" s="82"/>
      <c r="E13" s="82"/>
      <c r="F13" s="82"/>
      <c r="G13" s="82"/>
      <c r="H13" s="82"/>
      <c r="I13" s="82"/>
      <c r="J13" s="90"/>
      <c r="K13" s="92"/>
      <c r="L13" s="90">
        <v>2900.6105901689998</v>
      </c>
      <c r="M13" s="82"/>
      <c r="N13" s="91">
        <f t="shared" si="0"/>
        <v>1.0000000000000002</v>
      </c>
      <c r="O13" s="91">
        <f>L13/'סכום נכסי הקרן'!$C$42</f>
        <v>7.979704309894587E-4</v>
      </c>
      <c r="BH13" s="3"/>
    </row>
    <row r="14" spans="2:65" ht="20.25">
      <c r="B14" s="86" t="s">
        <v>1507</v>
      </c>
      <c r="C14" s="80" t="s">
        <v>1508</v>
      </c>
      <c r="D14" s="93" t="s">
        <v>139</v>
      </c>
      <c r="E14" s="80"/>
      <c r="F14" s="93" t="s">
        <v>1509</v>
      </c>
      <c r="G14" s="80" t="s">
        <v>1510</v>
      </c>
      <c r="H14" s="80"/>
      <c r="I14" s="93" t="s">
        <v>167</v>
      </c>
      <c r="J14" s="87">
        <v>948.58834700000011</v>
      </c>
      <c r="K14" s="89">
        <v>3053</v>
      </c>
      <c r="L14" s="87">
        <v>112.31423211199998</v>
      </c>
      <c r="M14" s="88">
        <v>8.358260269996097E-6</v>
      </c>
      <c r="N14" s="88">
        <f t="shared" si="0"/>
        <v>3.8720892936357991E-2</v>
      </c>
      <c r="O14" s="88">
        <f>L14/'סכום נכסי הקרן'!$C$42</f>
        <v>3.0898127624722268E-5</v>
      </c>
      <c r="BH14" s="4"/>
    </row>
    <row r="15" spans="2:65">
      <c r="B15" s="86" t="s">
        <v>1511</v>
      </c>
      <c r="C15" s="80" t="s">
        <v>1512</v>
      </c>
      <c r="D15" s="93" t="s">
        <v>139</v>
      </c>
      <c r="E15" s="80"/>
      <c r="F15" s="93" t="s">
        <v>1509</v>
      </c>
      <c r="G15" s="80" t="s">
        <v>1510</v>
      </c>
      <c r="H15" s="80"/>
      <c r="I15" s="93" t="s">
        <v>175</v>
      </c>
      <c r="J15" s="87">
        <v>3666.0590999999999</v>
      </c>
      <c r="K15" s="89">
        <v>1430</v>
      </c>
      <c r="L15" s="87">
        <v>166.95676734600002</v>
      </c>
      <c r="M15" s="88">
        <v>2.1224805104772E-5</v>
      </c>
      <c r="N15" s="88">
        <f t="shared" si="0"/>
        <v>5.7559180095344185E-2</v>
      </c>
      <c r="O15" s="88">
        <f>L15/'סכום נכסי הקרן'!$C$42</f>
        <v>4.5930523748081664E-5</v>
      </c>
    </row>
    <row r="16" spans="2:65">
      <c r="B16" s="86" t="s">
        <v>1513</v>
      </c>
      <c r="C16" s="80" t="s">
        <v>1514</v>
      </c>
      <c r="D16" s="93" t="s">
        <v>27</v>
      </c>
      <c r="E16" s="80"/>
      <c r="F16" s="93" t="s">
        <v>1509</v>
      </c>
      <c r="G16" s="80" t="s">
        <v>1510</v>
      </c>
      <c r="H16" s="80"/>
      <c r="I16" s="93" t="s">
        <v>167</v>
      </c>
      <c r="J16" s="87">
        <v>81.774225999999999</v>
      </c>
      <c r="K16" s="89">
        <v>32228</v>
      </c>
      <c r="L16" s="87">
        <v>102.206848385</v>
      </c>
      <c r="M16" s="88">
        <v>1.6249466601290107E-5</v>
      </c>
      <c r="N16" s="88">
        <f t="shared" si="0"/>
        <v>3.5236321873542177E-2</v>
      </c>
      <c r="O16" s="88">
        <f>L16/'סכום נכסי הקרן'!$C$42</f>
        <v>2.8117542951913737E-5</v>
      </c>
    </row>
    <row r="17" spans="2:15">
      <c r="B17" s="86" t="s">
        <v>1515</v>
      </c>
      <c r="C17" s="80" t="s">
        <v>1516</v>
      </c>
      <c r="D17" s="93" t="s">
        <v>139</v>
      </c>
      <c r="E17" s="80"/>
      <c r="F17" s="93" t="s">
        <v>1509</v>
      </c>
      <c r="G17" s="80" t="s">
        <v>1510</v>
      </c>
      <c r="H17" s="80"/>
      <c r="I17" s="93" t="s">
        <v>165</v>
      </c>
      <c r="J17" s="87">
        <v>18425.519906999994</v>
      </c>
      <c r="K17" s="89">
        <v>1563.4</v>
      </c>
      <c r="L17" s="87">
        <v>995.55118237500005</v>
      </c>
      <c r="M17" s="88">
        <v>2.4287767293862219E-5</v>
      </c>
      <c r="N17" s="88">
        <f t="shared" si="0"/>
        <v>0.34322124650210145</v>
      </c>
      <c r="O17" s="88">
        <f>L17/'סכום נכסי הקרן'!$C$42</f>
        <v>2.7388040599602109E-4</v>
      </c>
    </row>
    <row r="18" spans="2:15">
      <c r="B18" s="86" t="s">
        <v>1517</v>
      </c>
      <c r="C18" s="80" t="s">
        <v>1518</v>
      </c>
      <c r="D18" s="93" t="s">
        <v>27</v>
      </c>
      <c r="E18" s="80"/>
      <c r="F18" s="93" t="s">
        <v>1509</v>
      </c>
      <c r="G18" s="80" t="s">
        <v>1510</v>
      </c>
      <c r="H18" s="80"/>
      <c r="I18" s="93" t="s">
        <v>175</v>
      </c>
      <c r="J18" s="87">
        <v>478.33377099999996</v>
      </c>
      <c r="K18" s="89">
        <v>10851.15</v>
      </c>
      <c r="L18" s="87">
        <v>165.30094634900001</v>
      </c>
      <c r="M18" s="88">
        <v>1.2011340867695204E-4</v>
      </c>
      <c r="N18" s="88">
        <f t="shared" si="0"/>
        <v>5.698832752981469E-2</v>
      </c>
      <c r="O18" s="88">
        <f>L18/'סכום נכסי הקרן'!$C$42</f>
        <v>4.5475000280334655E-5</v>
      </c>
    </row>
    <row r="19" spans="2:15">
      <c r="B19" s="86" t="s">
        <v>1519</v>
      </c>
      <c r="C19" s="80" t="s">
        <v>1520</v>
      </c>
      <c r="D19" s="93" t="s">
        <v>139</v>
      </c>
      <c r="E19" s="80"/>
      <c r="F19" s="93" t="s">
        <v>1509</v>
      </c>
      <c r="G19" s="80" t="s">
        <v>1510</v>
      </c>
      <c r="H19" s="80"/>
      <c r="I19" s="93" t="s">
        <v>165</v>
      </c>
      <c r="J19" s="87">
        <v>1930.9731729999999</v>
      </c>
      <c r="K19" s="89">
        <v>20353.52</v>
      </c>
      <c r="L19" s="87">
        <v>1358.2806136020004</v>
      </c>
      <c r="M19" s="88">
        <v>3.9073460390140314E-5</v>
      </c>
      <c r="N19" s="88">
        <f t="shared" si="0"/>
        <v>0.46827403106283988</v>
      </c>
      <c r="O19" s="88">
        <f>L19/'סכום נכסי הקרן'!$C$42</f>
        <v>3.7366883038838545E-4</v>
      </c>
    </row>
    <row r="20" spans="2:15">
      <c r="B20" s="83"/>
      <c r="C20" s="80"/>
      <c r="D20" s="80"/>
      <c r="E20" s="80"/>
      <c r="F20" s="80"/>
      <c r="G20" s="80"/>
      <c r="H20" s="80"/>
      <c r="I20" s="80"/>
      <c r="J20" s="87"/>
      <c r="K20" s="89"/>
      <c r="L20" s="80"/>
      <c r="M20" s="80"/>
      <c r="N20" s="88"/>
      <c r="O20" s="80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95" t="s">
        <v>255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95" t="s">
        <v>114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95" t="s">
        <v>238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95" t="s">
        <v>246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5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5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5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5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59" ht="2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BG37" s="4"/>
    </row>
    <row r="38" spans="2:5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BG38" s="3"/>
    </row>
    <row r="39" spans="2:5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5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5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5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5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5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5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5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5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5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2:1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2:1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</row>
    <row r="112" spans="2:1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</row>
    <row r="113" spans="2:1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</row>
    <row r="114" spans="2:1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</row>
    <row r="115" spans="2:1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</row>
    <row r="116" spans="2:1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</row>
    <row r="117" spans="2:1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</row>
    <row r="118" spans="2:1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</row>
    <row r="119" spans="2:1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22 B24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a46656d4-8850-49b3-aebd-68bd05f7f43d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2020-03-29T06:45:53Z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