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5" hidden="1">'אג"ח קונצרני'!$B$257:$Y$338</definedName>
    <definedName name="_xlnm._FilterDatabase" localSheetId="17" hidden="1">'לא סחיר - קרנות השקעה'!$B$85:$AS$192</definedName>
    <definedName name="_xlnm._FilterDatabase" localSheetId="6" hidden="1">מניות!$A$156:$AO$214</definedName>
    <definedName name="_xlnm._FilterDatabase" localSheetId="7" hidden="1">'קרנות סל'!$B$46:$BD$91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מניות'!$B$6:$M$21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L70" i="58" l="1"/>
  <c r="L69" i="58"/>
  <c r="L68" i="58"/>
  <c r="L67" i="58"/>
  <c r="L66" i="58"/>
  <c r="L65" i="58"/>
  <c r="J64" i="58"/>
  <c r="L64" i="58" s="1"/>
  <c r="J60" i="58"/>
  <c r="L58" i="58"/>
  <c r="L57" i="58"/>
  <c r="L56" i="58"/>
  <c r="L55" i="58"/>
  <c r="L54" i="58"/>
  <c r="L53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5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J22" i="58"/>
  <c r="L20" i="58"/>
  <c r="L19" i="58"/>
  <c r="L18" i="58"/>
  <c r="L17" i="58"/>
  <c r="L16" i="58"/>
  <c r="L15" i="58"/>
  <c r="L14" i="58"/>
  <c r="L13" i="58"/>
  <c r="J12" i="58"/>
  <c r="L12" i="58" s="1"/>
  <c r="J63" i="58" l="1"/>
  <c r="L63" i="58" s="1"/>
  <c r="J11" i="58"/>
  <c r="L22" i="58"/>
  <c r="L11" i="58" l="1"/>
  <c r="J10" i="58"/>
  <c r="K58" i="58" l="1"/>
  <c r="K56" i="58"/>
  <c r="K54" i="58"/>
  <c r="K52" i="58"/>
  <c r="K50" i="58"/>
  <c r="K48" i="58"/>
  <c r="K46" i="58"/>
  <c r="K44" i="58"/>
  <c r="K42" i="58"/>
  <c r="K40" i="58"/>
  <c r="K38" i="58"/>
  <c r="K36" i="58"/>
  <c r="K34" i="58"/>
  <c r="K32" i="58"/>
  <c r="K30" i="58"/>
  <c r="K28" i="58"/>
  <c r="K26" i="58"/>
  <c r="K24" i="58"/>
  <c r="L10" i="58"/>
  <c r="K70" i="58"/>
  <c r="K68" i="58"/>
  <c r="K66" i="58"/>
  <c r="K64" i="58"/>
  <c r="K19" i="58"/>
  <c r="K17" i="58"/>
  <c r="K15" i="58"/>
  <c r="K10" i="58"/>
  <c r="K57" i="58"/>
  <c r="K55" i="58"/>
  <c r="K53" i="58"/>
  <c r="K51" i="58"/>
  <c r="K49" i="58"/>
  <c r="K47" i="58"/>
  <c r="K45" i="58"/>
  <c r="K43" i="58"/>
  <c r="K41" i="58"/>
  <c r="K39" i="58"/>
  <c r="K37" i="58"/>
  <c r="K35" i="58"/>
  <c r="K33" i="58"/>
  <c r="K31" i="58"/>
  <c r="K29" i="58"/>
  <c r="K27" i="58"/>
  <c r="K25" i="58"/>
  <c r="K23" i="58"/>
  <c r="K69" i="58"/>
  <c r="K67" i="58"/>
  <c r="K65" i="58"/>
  <c r="K20" i="58"/>
  <c r="K18" i="58"/>
  <c r="K16" i="58"/>
  <c r="K14" i="58"/>
  <c r="K12" i="58"/>
  <c r="K13" i="58"/>
  <c r="K63" i="58"/>
  <c r="K22" i="58"/>
  <c r="K11" i="58"/>
  <c r="O232" i="78" l="1"/>
  <c r="O37" i="78"/>
  <c r="N13" i="78" l="1"/>
  <c r="R13" i="61" l="1"/>
  <c r="R160" i="61"/>
  <c r="H49" i="80" l="1"/>
  <c r="H48" i="80"/>
  <c r="H47" i="80"/>
  <c r="H46" i="80"/>
  <c r="H45" i="80"/>
  <c r="H44" i="80"/>
  <c r="H43" i="80"/>
  <c r="H41" i="80"/>
  <c r="H40" i="80"/>
  <c r="H39" i="80"/>
  <c r="H38" i="80"/>
  <c r="H37" i="80"/>
  <c r="H36" i="80"/>
  <c r="H35" i="80"/>
  <c r="H34" i="80"/>
  <c r="H33" i="80"/>
  <c r="H32" i="80"/>
  <c r="H31" i="80"/>
  <c r="H30" i="80"/>
  <c r="H29" i="80"/>
  <c r="H28" i="80"/>
  <c r="H27" i="80"/>
  <c r="H26" i="80"/>
  <c r="H25" i="80"/>
  <c r="H24" i="80"/>
  <c r="H23" i="80"/>
  <c r="H22" i="80"/>
  <c r="H21" i="80"/>
  <c r="H20" i="80"/>
  <c r="H19" i="80"/>
  <c r="H18" i="80"/>
  <c r="H17" i="80"/>
  <c r="H16" i="80"/>
  <c r="H15" i="80"/>
  <c r="H14" i="80"/>
  <c r="H13" i="80"/>
  <c r="H12" i="80"/>
  <c r="H11" i="80"/>
  <c r="H10" i="80"/>
  <c r="O231" i="78" l="1"/>
  <c r="O35" i="78"/>
  <c r="O33" i="78"/>
  <c r="O22" i="78"/>
  <c r="O31" i="78"/>
  <c r="O30" i="78"/>
  <c r="O28" i="78"/>
  <c r="O23" i="78"/>
  <c r="O19" i="78"/>
  <c r="O24" i="78"/>
  <c r="O27" i="78"/>
  <c r="O16" i="78" l="1"/>
  <c r="O11" i="78" s="1"/>
  <c r="O10" i="78" s="1"/>
  <c r="N14" i="78" l="1"/>
  <c r="C49" i="84" l="1"/>
  <c r="C11" i="84"/>
  <c r="C10" i="84" s="1"/>
  <c r="C43" i="88" s="1"/>
  <c r="P11" i="78" l="1"/>
  <c r="O13" i="93"/>
  <c r="O12" i="93"/>
  <c r="O11" i="93"/>
  <c r="O10" i="93"/>
  <c r="O14" i="92"/>
  <c r="O13" i="92"/>
  <c r="O12" i="92"/>
  <c r="O11" i="92"/>
  <c r="O10" i="92"/>
  <c r="J12" i="81"/>
  <c r="J11" i="81"/>
  <c r="J10" i="81"/>
  <c r="P344" i="78" l="1"/>
  <c r="P340" i="78"/>
  <c r="P336" i="78"/>
  <c r="P332" i="78"/>
  <c r="P328" i="78"/>
  <c r="P324" i="78"/>
  <c r="P320" i="78"/>
  <c r="P316" i="78"/>
  <c r="P312" i="78"/>
  <c r="P247" i="78"/>
  <c r="P306" i="78"/>
  <c r="P302" i="78"/>
  <c r="P298" i="78"/>
  <c r="P294" i="78"/>
  <c r="P290" i="78"/>
  <c r="P286" i="78"/>
  <c r="P282" i="78"/>
  <c r="P278" i="78"/>
  <c r="P274" i="78"/>
  <c r="P270" i="78"/>
  <c r="P266" i="78"/>
  <c r="P262" i="78"/>
  <c r="P258" i="78"/>
  <c r="P254" i="78"/>
  <c r="P250" i="78"/>
  <c r="P244" i="78"/>
  <c r="P240" i="78"/>
  <c r="P235" i="78"/>
  <c r="P349" i="78"/>
  <c r="P232" i="78"/>
  <c r="P227" i="78"/>
  <c r="P223" i="78"/>
  <c r="P219" i="78"/>
  <c r="P215" i="78"/>
  <c r="P211" i="78"/>
  <c r="P207" i="78"/>
  <c r="P203" i="78"/>
  <c r="P199" i="78"/>
  <c r="P195" i="78"/>
  <c r="P191" i="78"/>
  <c r="P187" i="78"/>
  <c r="P183" i="78"/>
  <c r="P179" i="78"/>
  <c r="P175" i="78"/>
  <c r="P172" i="78"/>
  <c r="P168" i="78"/>
  <c r="P164" i="78"/>
  <c r="P160" i="78"/>
  <c r="P156" i="78"/>
  <c r="P152" i="78"/>
  <c r="P148" i="78"/>
  <c r="P144" i="78"/>
  <c r="P140" i="78"/>
  <c r="P136" i="78"/>
  <c r="P132" i="78"/>
  <c r="P128" i="78"/>
  <c r="P124" i="78"/>
  <c r="P120" i="78"/>
  <c r="P113" i="78"/>
  <c r="P109" i="78"/>
  <c r="P105" i="78"/>
  <c r="P101" i="78"/>
  <c r="P97" i="78"/>
  <c r="P95" i="78"/>
  <c r="P91" i="78"/>
  <c r="P87" i="78"/>
  <c r="P83" i="78"/>
  <c r="P79" i="78"/>
  <c r="P75" i="78"/>
  <c r="P71" i="78"/>
  <c r="P67" i="78"/>
  <c r="P63" i="78"/>
  <c r="P59" i="78"/>
  <c r="P55" i="78"/>
  <c r="P51" i="78"/>
  <c r="P47" i="78"/>
  <c r="P43" i="78"/>
  <c r="P39" i="78"/>
  <c r="P34" i="78"/>
  <c r="P30" i="78"/>
  <c r="P26" i="78"/>
  <c r="P22" i="78"/>
  <c r="P18" i="78"/>
  <c r="P70" i="78"/>
  <c r="P347" i="78"/>
  <c r="P343" i="78"/>
  <c r="P339" i="78"/>
  <c r="P335" i="78"/>
  <c r="P331" i="78"/>
  <c r="P327" i="78"/>
  <c r="P323" i="78"/>
  <c r="P319" i="78"/>
  <c r="P315" i="78"/>
  <c r="P311" i="78"/>
  <c r="P246" i="78"/>
  <c r="P305" i="78"/>
  <c r="P301" i="78"/>
  <c r="P297" i="78"/>
  <c r="P293" i="78"/>
  <c r="P289" i="78"/>
  <c r="P285" i="78"/>
  <c r="P281" i="78"/>
  <c r="P277" i="78"/>
  <c r="P273" i="78"/>
  <c r="P269" i="78"/>
  <c r="P265" i="78"/>
  <c r="P261" i="78"/>
  <c r="P257" i="78"/>
  <c r="P253" i="78"/>
  <c r="P249" i="78"/>
  <c r="P243" i="78"/>
  <c r="P239" i="78"/>
  <c r="P236" i="78"/>
  <c r="P348" i="78"/>
  <c r="P231" i="78"/>
  <c r="P226" i="78"/>
  <c r="P222" i="78"/>
  <c r="P218" i="78"/>
  <c r="P214" i="78"/>
  <c r="P210" i="78"/>
  <c r="P206" i="78"/>
  <c r="P202" i="78"/>
  <c r="P198" i="78"/>
  <c r="P194" i="78"/>
  <c r="P190" i="78"/>
  <c r="P186" i="78"/>
  <c r="P182" i="78"/>
  <c r="P178" i="78"/>
  <c r="P174" i="78"/>
  <c r="P171" i="78"/>
  <c r="P167" i="78"/>
  <c r="P163" i="78"/>
  <c r="P159" i="78"/>
  <c r="P155" i="78"/>
  <c r="P151" i="78"/>
  <c r="P147" i="78"/>
  <c r="P143" i="78"/>
  <c r="P139" i="78"/>
  <c r="P135" i="78"/>
  <c r="P131" i="78"/>
  <c r="P127" i="78"/>
  <c r="P123" i="78"/>
  <c r="P119" i="78"/>
  <c r="P112" i="78"/>
  <c r="P108" i="78"/>
  <c r="P104" i="78"/>
  <c r="P100" i="78"/>
  <c r="P118" i="78"/>
  <c r="P94" i="78"/>
  <c r="P90" i="78"/>
  <c r="P86" i="78"/>
  <c r="P82" i="78"/>
  <c r="P78" i="78"/>
  <c r="P74" i="78"/>
  <c r="P66" i="78"/>
  <c r="P346" i="78"/>
  <c r="P342" i="78"/>
  <c r="P338" i="78"/>
  <c r="P334" i="78"/>
  <c r="P330" i="78"/>
  <c r="P326" i="78"/>
  <c r="P322" i="78"/>
  <c r="P318" i="78"/>
  <c r="P314" i="78"/>
  <c r="P310" i="78"/>
  <c r="P308" i="78"/>
  <c r="P304" i="78"/>
  <c r="P300" i="78"/>
  <c r="P296" i="78"/>
  <c r="P292" i="78"/>
  <c r="P288" i="78"/>
  <c r="P284" i="78"/>
  <c r="P280" i="78"/>
  <c r="P276" i="78"/>
  <c r="P272" i="78"/>
  <c r="P268" i="78"/>
  <c r="P264" i="78"/>
  <c r="P260" i="78"/>
  <c r="P256" i="78"/>
  <c r="P252" i="78"/>
  <c r="P248" i="78"/>
  <c r="P242" i="78"/>
  <c r="P238" i="78"/>
  <c r="P351" i="78"/>
  <c r="P234" i="78"/>
  <c r="P229" i="78"/>
  <c r="P225" i="78"/>
  <c r="P221" i="78"/>
  <c r="P217" i="78"/>
  <c r="P213" i="78"/>
  <c r="P209" i="78"/>
  <c r="P345" i="78"/>
  <c r="P341" i="78"/>
  <c r="P337" i="78"/>
  <c r="P333" i="78"/>
  <c r="P329" i="78"/>
  <c r="P325" i="78"/>
  <c r="P321" i="78"/>
  <c r="P317" i="78"/>
  <c r="P313" i="78"/>
  <c r="P309" i="78"/>
  <c r="P307" i="78"/>
  <c r="P303" i="78"/>
  <c r="P299" i="78"/>
  <c r="P295" i="78"/>
  <c r="P291" i="78"/>
  <c r="P287" i="78"/>
  <c r="P283" i="78"/>
  <c r="P279" i="78"/>
  <c r="P275" i="78"/>
  <c r="P271" i="78"/>
  <c r="P267" i="78"/>
  <c r="P263" i="78"/>
  <c r="P259" i="78"/>
  <c r="P255" i="78"/>
  <c r="P251" i="78"/>
  <c r="P245" i="78"/>
  <c r="P241" i="78"/>
  <c r="P237" i="78"/>
  <c r="P350" i="78"/>
  <c r="P233" i="78"/>
  <c r="P228" i="78"/>
  <c r="P224" i="78"/>
  <c r="P220" i="78"/>
  <c r="P216" i="78"/>
  <c r="P212" i="78"/>
  <c r="P208" i="78"/>
  <c r="P204" i="78"/>
  <c r="P200" i="78"/>
  <c r="P196" i="78"/>
  <c r="P193" i="78"/>
  <c r="P185" i="78"/>
  <c r="P177" i="78"/>
  <c r="P170" i="78"/>
  <c r="P162" i="78"/>
  <c r="P154" i="78"/>
  <c r="P146" i="78"/>
  <c r="P138" i="78"/>
  <c r="P130" i="78"/>
  <c r="P122" i="78"/>
  <c r="P111" i="78"/>
  <c r="P103" i="78"/>
  <c r="P116" i="78"/>
  <c r="P89" i="78"/>
  <c r="P81" i="78"/>
  <c r="P73" i="78"/>
  <c r="P65" i="78"/>
  <c r="P60" i="78"/>
  <c r="P54" i="78"/>
  <c r="P49" i="78"/>
  <c r="P44" i="78"/>
  <c r="P38" i="78"/>
  <c r="P32" i="78"/>
  <c r="P27" i="78"/>
  <c r="P21" i="78"/>
  <c r="P16" i="78"/>
  <c r="P64" i="78"/>
  <c r="P53" i="78"/>
  <c r="P42" i="78"/>
  <c r="P31" i="78"/>
  <c r="P20" i="78"/>
  <c r="P115" i="78"/>
  <c r="P99" i="78"/>
  <c r="P77" i="78"/>
  <c r="P52" i="78"/>
  <c r="P29" i="78"/>
  <c r="P10" i="78"/>
  <c r="P205" i="78"/>
  <c r="P192" i="78"/>
  <c r="P184" i="78"/>
  <c r="P176" i="78"/>
  <c r="P169" i="78"/>
  <c r="P161" i="78"/>
  <c r="P153" i="78"/>
  <c r="P145" i="78"/>
  <c r="P137" i="78"/>
  <c r="P129" i="78"/>
  <c r="P121" i="78"/>
  <c r="P110" i="78"/>
  <c r="P102" i="78"/>
  <c r="P96" i="78"/>
  <c r="P88" i="78"/>
  <c r="P80" i="78"/>
  <c r="P72" i="78"/>
  <c r="P58" i="78"/>
  <c r="P48" i="78"/>
  <c r="P37" i="78"/>
  <c r="P25" i="78"/>
  <c r="P107" i="78"/>
  <c r="P85" i="78"/>
  <c r="P69" i="78"/>
  <c r="P46" i="78"/>
  <c r="P24" i="78"/>
  <c r="P201" i="78"/>
  <c r="P189" i="78"/>
  <c r="P181" i="78"/>
  <c r="P173" i="78"/>
  <c r="P166" i="78"/>
  <c r="P158" i="78"/>
  <c r="P150" i="78"/>
  <c r="P142" i="78"/>
  <c r="P134" i="78"/>
  <c r="P126" i="78"/>
  <c r="P93" i="78"/>
  <c r="P57" i="78"/>
  <c r="P35" i="78"/>
  <c r="P197" i="78"/>
  <c r="P188" i="78"/>
  <c r="P180" i="78"/>
  <c r="P117" i="78"/>
  <c r="P165" i="78"/>
  <c r="P157" i="78"/>
  <c r="P149" i="78"/>
  <c r="P141" i="78"/>
  <c r="P133" i="78"/>
  <c r="P125" i="78"/>
  <c r="P114" i="78"/>
  <c r="P106" i="78"/>
  <c r="P98" i="78"/>
  <c r="P92" i="78"/>
  <c r="P84" i="78"/>
  <c r="P76" i="78"/>
  <c r="P68" i="78"/>
  <c r="P61" i="78"/>
  <c r="P56" i="78"/>
  <c r="P50" i="78"/>
  <c r="P45" i="78"/>
  <c r="P40" i="78"/>
  <c r="P33" i="78"/>
  <c r="P28" i="78"/>
  <c r="P23" i="78"/>
  <c r="P17" i="78"/>
  <c r="P62" i="78"/>
  <c r="P41" i="78"/>
  <c r="P19" i="78"/>
  <c r="P13" i="78"/>
  <c r="P14" i="78"/>
  <c r="P12" i="78"/>
  <c r="N27" i="79"/>
  <c r="N26" i="79"/>
  <c r="N25" i="79"/>
  <c r="N24" i="79"/>
  <c r="N23" i="79"/>
  <c r="N22" i="79"/>
  <c r="N21" i="79"/>
  <c r="N20" i="79"/>
  <c r="N19" i="79"/>
  <c r="N18" i="79"/>
  <c r="N17" i="79"/>
  <c r="N16" i="79"/>
  <c r="N15" i="79"/>
  <c r="N14" i="79"/>
  <c r="N13" i="79"/>
  <c r="N12" i="79"/>
  <c r="N11" i="79"/>
  <c r="N10" i="79"/>
  <c r="J203" i="76" l="1"/>
  <c r="J202" i="76"/>
  <c r="J201" i="76"/>
  <c r="J199" i="76"/>
  <c r="J198" i="76"/>
  <c r="J197" i="76"/>
  <c r="J196" i="76"/>
  <c r="J195" i="76"/>
  <c r="J194" i="76"/>
  <c r="J193" i="76"/>
  <c r="J192" i="76"/>
  <c r="J191" i="76"/>
  <c r="J190" i="76"/>
  <c r="J189" i="76"/>
  <c r="J188" i="76"/>
  <c r="J187" i="76"/>
  <c r="J186" i="76"/>
  <c r="J185" i="76"/>
  <c r="J184" i="76"/>
  <c r="J183" i="76"/>
  <c r="J182" i="76"/>
  <c r="J181" i="76"/>
  <c r="J180" i="76"/>
  <c r="J179" i="76"/>
  <c r="J178" i="76"/>
  <c r="J177" i="76"/>
  <c r="J176" i="76"/>
  <c r="J175" i="76"/>
  <c r="J174" i="76"/>
  <c r="J173" i="76"/>
  <c r="J172" i="76"/>
  <c r="J171" i="76"/>
  <c r="J170" i="76"/>
  <c r="J169" i="76"/>
  <c r="J168" i="76"/>
  <c r="J167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2" i="76"/>
  <c r="J151" i="76"/>
  <c r="J150" i="76"/>
  <c r="J149" i="76"/>
  <c r="J148" i="76"/>
  <c r="J147" i="76"/>
  <c r="J146" i="76"/>
  <c r="J145" i="76"/>
  <c r="J144" i="76"/>
  <c r="J143" i="76"/>
  <c r="J142" i="76"/>
  <c r="J141" i="76"/>
  <c r="J140" i="76"/>
  <c r="J139" i="76"/>
  <c r="J138" i="76"/>
  <c r="J137" i="76"/>
  <c r="J136" i="76"/>
  <c r="J135" i="76"/>
  <c r="J134" i="76"/>
  <c r="J133" i="76"/>
  <c r="J132" i="76"/>
  <c r="J131" i="76"/>
  <c r="J130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9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J192" i="73" l="1"/>
  <c r="J191" i="73"/>
  <c r="J190" i="73"/>
  <c r="J189" i="73"/>
  <c r="J188" i="73"/>
  <c r="J187" i="73"/>
  <c r="J186" i="73"/>
  <c r="J185" i="73"/>
  <c r="J184" i="73"/>
  <c r="J183" i="73"/>
  <c r="J182" i="73"/>
  <c r="J181" i="73"/>
  <c r="J180" i="73"/>
  <c r="J179" i="73"/>
  <c r="J178" i="73"/>
  <c r="J177" i="73"/>
  <c r="J176" i="73"/>
  <c r="J175" i="73"/>
  <c r="J174" i="73"/>
  <c r="J173" i="73"/>
  <c r="J172" i="73"/>
  <c r="J171" i="73"/>
  <c r="J170" i="73"/>
  <c r="J169" i="73"/>
  <c r="J168" i="73"/>
  <c r="J167" i="73"/>
  <c r="J166" i="73"/>
  <c r="J165" i="73"/>
  <c r="J164" i="73"/>
  <c r="J163" i="73"/>
  <c r="J162" i="73"/>
  <c r="J161" i="73"/>
  <c r="J160" i="73"/>
  <c r="J159" i="73"/>
  <c r="J158" i="73"/>
  <c r="J157" i="73"/>
  <c r="J156" i="73"/>
  <c r="J155" i="73"/>
  <c r="J154" i="73"/>
  <c r="J153" i="73"/>
  <c r="J152" i="73"/>
  <c r="J151" i="73"/>
  <c r="J150" i="73"/>
  <c r="J149" i="73"/>
  <c r="J148" i="73"/>
  <c r="J147" i="73"/>
  <c r="J146" i="73"/>
  <c r="J145" i="73"/>
  <c r="J144" i="73"/>
  <c r="J143" i="73"/>
  <c r="J142" i="73"/>
  <c r="J141" i="73"/>
  <c r="J140" i="73"/>
  <c r="J139" i="73"/>
  <c r="J138" i="73"/>
  <c r="J137" i="73"/>
  <c r="J136" i="73"/>
  <c r="J135" i="73"/>
  <c r="J134" i="73"/>
  <c r="J133" i="73"/>
  <c r="J132" i="73"/>
  <c r="J131" i="73"/>
  <c r="J130" i="73"/>
  <c r="J129" i="73"/>
  <c r="J128" i="73"/>
  <c r="J127" i="73"/>
  <c r="J126" i="73"/>
  <c r="J125" i="73"/>
  <c r="J124" i="73"/>
  <c r="J123" i="73"/>
  <c r="J122" i="73"/>
  <c r="J121" i="73"/>
  <c r="J120" i="73"/>
  <c r="J119" i="73"/>
  <c r="J118" i="73"/>
  <c r="J117" i="73"/>
  <c r="J116" i="73"/>
  <c r="J115" i="73"/>
  <c r="J114" i="73"/>
  <c r="J113" i="73"/>
  <c r="J112" i="73"/>
  <c r="J111" i="73"/>
  <c r="J110" i="73"/>
  <c r="J109" i="73"/>
  <c r="J108" i="73"/>
  <c r="J107" i="73"/>
  <c r="J106" i="73"/>
  <c r="J105" i="73"/>
  <c r="J104" i="73"/>
  <c r="J103" i="73"/>
  <c r="J102" i="73"/>
  <c r="J101" i="73"/>
  <c r="J100" i="73"/>
  <c r="J99" i="73"/>
  <c r="J98" i="73"/>
  <c r="J97" i="73"/>
  <c r="J96" i="73"/>
  <c r="J95" i="73"/>
  <c r="J94" i="73"/>
  <c r="J93" i="73"/>
  <c r="J92" i="73"/>
  <c r="J91" i="73"/>
  <c r="J90" i="73"/>
  <c r="J89" i="73"/>
  <c r="J88" i="73"/>
  <c r="J87" i="73"/>
  <c r="J86" i="73"/>
  <c r="J85" i="73"/>
  <c r="J83" i="73"/>
  <c r="J82" i="73"/>
  <c r="J81" i="73"/>
  <c r="J80" i="73"/>
  <c r="J79" i="73"/>
  <c r="J78" i="73"/>
  <c r="J77" i="73"/>
  <c r="J76" i="73"/>
  <c r="J75" i="73"/>
  <c r="J74" i="73"/>
  <c r="J72" i="73"/>
  <c r="J71" i="73"/>
  <c r="J70" i="73"/>
  <c r="J68" i="73"/>
  <c r="J67" i="73"/>
  <c r="J66" i="73"/>
  <c r="J65" i="73"/>
  <c r="J64" i="73"/>
  <c r="J63" i="73"/>
  <c r="J62" i="73"/>
  <c r="J61" i="73"/>
  <c r="J60" i="73"/>
  <c r="J59" i="73"/>
  <c r="J58" i="73"/>
  <c r="J57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30" i="73"/>
  <c r="J29" i="73"/>
  <c r="J28" i="73"/>
  <c r="J26" i="73"/>
  <c r="J25" i="73"/>
  <c r="J24" i="73"/>
  <c r="J22" i="73"/>
  <c r="J21" i="73"/>
  <c r="J20" i="73"/>
  <c r="J19" i="73"/>
  <c r="J18" i="73"/>
  <c r="J17" i="73"/>
  <c r="J16" i="73"/>
  <c r="J15" i="73"/>
  <c r="J14" i="73"/>
  <c r="J13" i="73"/>
  <c r="J12" i="73"/>
  <c r="J11" i="73"/>
  <c r="L50" i="72"/>
  <c r="L49" i="72"/>
  <c r="L48" i="72"/>
  <c r="L47" i="72"/>
  <c r="L46" i="72"/>
  <c r="L45" i="72"/>
  <c r="L44" i="72"/>
  <c r="L43" i="72"/>
  <c r="L42" i="72"/>
  <c r="L41" i="72"/>
  <c r="L40" i="72"/>
  <c r="L39" i="72"/>
  <c r="L38" i="72"/>
  <c r="L37" i="72"/>
  <c r="L36" i="72"/>
  <c r="L35" i="72"/>
  <c r="L34" i="72"/>
  <c r="L33" i="72"/>
  <c r="L32" i="72"/>
  <c r="L31" i="72"/>
  <c r="L30" i="72"/>
  <c r="L29" i="72"/>
  <c r="L28" i="72"/>
  <c r="L27" i="72"/>
  <c r="L26" i="72"/>
  <c r="L25" i="72"/>
  <c r="L24" i="72"/>
  <c r="L23" i="72"/>
  <c r="L22" i="72"/>
  <c r="L21" i="72"/>
  <c r="L20" i="72"/>
  <c r="L19" i="72"/>
  <c r="L17" i="72"/>
  <c r="L16" i="72"/>
  <c r="L15" i="72"/>
  <c r="L14" i="72"/>
  <c r="L13" i="72"/>
  <c r="L12" i="72"/>
  <c r="L11" i="72"/>
  <c r="R46" i="71"/>
  <c r="R45" i="71"/>
  <c r="R44" i="71"/>
  <c r="R43" i="71"/>
  <c r="R42" i="71"/>
  <c r="R40" i="71"/>
  <c r="R39" i="71"/>
  <c r="R38" i="71"/>
  <c r="R37" i="71"/>
  <c r="R36" i="71"/>
  <c r="R34" i="71"/>
  <c r="R33" i="71"/>
  <c r="R32" i="71"/>
  <c r="R31" i="71"/>
  <c r="R30" i="71"/>
  <c r="R29" i="71"/>
  <c r="R28" i="71"/>
  <c r="R26" i="71"/>
  <c r="R25" i="71"/>
  <c r="R24" i="71"/>
  <c r="R23" i="71"/>
  <c r="R22" i="71"/>
  <c r="R21" i="71"/>
  <c r="R20" i="71"/>
  <c r="R19" i="71"/>
  <c r="R18" i="71"/>
  <c r="R17" i="71"/>
  <c r="R16" i="71"/>
  <c r="R15" i="71"/>
  <c r="R14" i="71"/>
  <c r="R13" i="71"/>
  <c r="R12" i="71"/>
  <c r="R11" i="71"/>
  <c r="O142" i="69"/>
  <c r="O141" i="69"/>
  <c r="O140" i="69"/>
  <c r="O139" i="69"/>
  <c r="O138" i="69"/>
  <c r="O137" i="69"/>
  <c r="O136" i="69"/>
  <c r="O135" i="69"/>
  <c r="O134" i="69"/>
  <c r="O133" i="69"/>
  <c r="O132" i="69"/>
  <c r="O131" i="69"/>
  <c r="O130" i="69"/>
  <c r="O129" i="69"/>
  <c r="O128" i="69"/>
  <c r="O127" i="69"/>
  <c r="O126" i="69"/>
  <c r="O125" i="69"/>
  <c r="O124" i="69"/>
  <c r="O123" i="69"/>
  <c r="O122" i="69"/>
  <c r="O121" i="69"/>
  <c r="O120" i="69"/>
  <c r="O119" i="69"/>
  <c r="O118" i="69"/>
  <c r="O117" i="69"/>
  <c r="O116" i="69"/>
  <c r="O115" i="69"/>
  <c r="O114" i="69"/>
  <c r="O113" i="69"/>
  <c r="O112" i="69"/>
  <c r="O111" i="69"/>
  <c r="O110" i="69"/>
  <c r="O109" i="69"/>
  <c r="O108" i="69"/>
  <c r="O107" i="69"/>
  <c r="O106" i="69"/>
  <c r="O105" i="69"/>
  <c r="O104" i="69"/>
  <c r="O103" i="69"/>
  <c r="O102" i="69"/>
  <c r="O101" i="69"/>
  <c r="O100" i="69"/>
  <c r="O99" i="69"/>
  <c r="O98" i="69"/>
  <c r="O97" i="69"/>
  <c r="O96" i="69"/>
  <c r="O95" i="69"/>
  <c r="O94" i="69"/>
  <c r="O93" i="69"/>
  <c r="O92" i="69"/>
  <c r="O91" i="69"/>
  <c r="O90" i="69"/>
  <c r="O89" i="69"/>
  <c r="O88" i="69"/>
  <c r="O87" i="69"/>
  <c r="O86" i="69"/>
  <c r="O85" i="69"/>
  <c r="O84" i="69"/>
  <c r="O83" i="69"/>
  <c r="O82" i="69"/>
  <c r="O81" i="69"/>
  <c r="O80" i="69"/>
  <c r="O79" i="69"/>
  <c r="O78" i="69"/>
  <c r="O77" i="69"/>
  <c r="O76" i="69"/>
  <c r="O75" i="69"/>
  <c r="O74" i="69"/>
  <c r="O73" i="69"/>
  <c r="O72" i="69"/>
  <c r="O71" i="69"/>
  <c r="O70" i="69"/>
  <c r="O69" i="69"/>
  <c r="O68" i="69"/>
  <c r="O67" i="69"/>
  <c r="O66" i="69"/>
  <c r="O65" i="69"/>
  <c r="O64" i="69"/>
  <c r="O63" i="69"/>
  <c r="O62" i="69"/>
  <c r="O61" i="69"/>
  <c r="O60" i="69"/>
  <c r="O59" i="69"/>
  <c r="O58" i="69"/>
  <c r="O57" i="69"/>
  <c r="O56" i="69"/>
  <c r="O55" i="69"/>
  <c r="O54" i="69"/>
  <c r="O53" i="69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J16" i="67"/>
  <c r="J15" i="67"/>
  <c r="J14" i="67"/>
  <c r="J13" i="67"/>
  <c r="J12" i="67"/>
  <c r="J11" i="67"/>
  <c r="K22" i="66"/>
  <c r="K21" i="66"/>
  <c r="K20" i="66"/>
  <c r="K19" i="66"/>
  <c r="K18" i="66"/>
  <c r="K17" i="66"/>
  <c r="K15" i="66"/>
  <c r="K14" i="66"/>
  <c r="K13" i="66"/>
  <c r="K12" i="66"/>
  <c r="K11" i="66"/>
  <c r="K15" i="65"/>
  <c r="K14" i="65"/>
  <c r="K13" i="65"/>
  <c r="K12" i="65"/>
  <c r="K11" i="65"/>
  <c r="N40" i="64"/>
  <c r="N39" i="64"/>
  <c r="N38" i="64"/>
  <c r="N37" i="64"/>
  <c r="N36" i="64"/>
  <c r="N35" i="64"/>
  <c r="N34" i="64"/>
  <c r="N32" i="64"/>
  <c r="N31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7" i="64"/>
  <c r="N16" i="64"/>
  <c r="N15" i="64"/>
  <c r="N14" i="64"/>
  <c r="N13" i="64"/>
  <c r="N12" i="64"/>
  <c r="N11" i="64"/>
  <c r="K36" i="64"/>
  <c r="M97" i="63" l="1"/>
  <c r="M96" i="63"/>
  <c r="M95" i="63"/>
  <c r="M94" i="63"/>
  <c r="M93" i="63"/>
  <c r="M91" i="63"/>
  <c r="M90" i="63"/>
  <c r="M89" i="63"/>
  <c r="M88" i="63"/>
  <c r="M87" i="63"/>
  <c r="M86" i="63"/>
  <c r="M85" i="63"/>
  <c r="M84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4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26" i="62" l="1"/>
  <c r="L155" i="62"/>
  <c r="N12" i="62" l="1"/>
  <c r="N214" i="62"/>
  <c r="N213" i="62"/>
  <c r="N212" i="62"/>
  <c r="N211" i="62"/>
  <c r="N210" i="62"/>
  <c r="N209" i="62"/>
  <c r="N208" i="62"/>
  <c r="N207" i="62"/>
  <c r="N206" i="62"/>
  <c r="N205" i="62"/>
  <c r="N204" i="62"/>
  <c r="N203" i="62"/>
  <c r="N202" i="62"/>
  <c r="N201" i="62"/>
  <c r="N200" i="62"/>
  <c r="N199" i="62"/>
  <c r="N198" i="62"/>
  <c r="N197" i="62"/>
  <c r="N196" i="62"/>
  <c r="N195" i="62"/>
  <c r="N193" i="62"/>
  <c r="N192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3" i="62"/>
  <c r="N152" i="62"/>
  <c r="N151" i="62"/>
  <c r="N150" i="62"/>
  <c r="N149" i="62"/>
  <c r="N148" i="62"/>
  <c r="N147" i="62"/>
  <c r="N146" i="62"/>
  <c r="N145" i="62"/>
  <c r="N194" i="62"/>
  <c r="N144" i="62"/>
  <c r="N191" i="62"/>
  <c r="N143" i="62"/>
  <c r="N142" i="62"/>
  <c r="N141" i="62"/>
  <c r="N140" i="62"/>
  <c r="N139" i="62"/>
  <c r="N138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3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4" i="62"/>
  <c r="N83" i="62"/>
  <c r="N82" i="62"/>
  <c r="N81" i="62"/>
  <c r="N80" i="62"/>
  <c r="N79" i="62"/>
  <c r="N78" i="62"/>
  <c r="N77" i="62"/>
  <c r="N76" i="62"/>
  <c r="N75" i="62"/>
  <c r="N74" i="62"/>
  <c r="N73" i="62"/>
  <c r="N72" i="62"/>
  <c r="N71" i="62"/>
  <c r="N70" i="62"/>
  <c r="N69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36" i="62"/>
  <c r="N35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1" i="62"/>
  <c r="O189" i="61"/>
  <c r="O180" i="61"/>
  <c r="S189" i="61"/>
  <c r="S180" i="61"/>
  <c r="O124" i="61" l="1"/>
  <c r="O123" i="61"/>
  <c r="S124" i="61"/>
  <c r="S123" i="61"/>
  <c r="O115" i="61"/>
  <c r="O114" i="61"/>
  <c r="O113" i="61"/>
  <c r="S115" i="61"/>
  <c r="S114" i="61"/>
  <c r="S113" i="61"/>
  <c r="O102" i="61" l="1"/>
  <c r="S102" i="61"/>
  <c r="O98" i="61"/>
  <c r="O97" i="61"/>
  <c r="O96" i="61"/>
  <c r="S98" i="61"/>
  <c r="S97" i="61"/>
  <c r="S96" i="61"/>
  <c r="O75" i="61"/>
  <c r="O74" i="61"/>
  <c r="O73" i="61"/>
  <c r="O72" i="61"/>
  <c r="S75" i="61"/>
  <c r="S74" i="61"/>
  <c r="S73" i="61"/>
  <c r="S72" i="61"/>
  <c r="R257" i="61" l="1"/>
  <c r="R250" i="61"/>
  <c r="R243" i="61"/>
  <c r="R12" i="61" s="1"/>
  <c r="Q60" i="59"/>
  <c r="Q59" i="59"/>
  <c r="Q57" i="59"/>
  <c r="Q56" i="59"/>
  <c r="Q55" i="59"/>
  <c r="Q54" i="59"/>
  <c r="Q53" i="59"/>
  <c r="Q52" i="59"/>
  <c r="Q51" i="59"/>
  <c r="Q50" i="59"/>
  <c r="Q49" i="59"/>
  <c r="Q48" i="59"/>
  <c r="Q47" i="59"/>
  <c r="Q46" i="59"/>
  <c r="Q45" i="59"/>
  <c r="Q44" i="59"/>
  <c r="Q43" i="59"/>
  <c r="Q42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R249" i="61" l="1"/>
  <c r="R11" i="61" s="1"/>
  <c r="C41" i="88"/>
  <c r="C40" i="88"/>
  <c r="C37" i="88"/>
  <c r="C35" i="88"/>
  <c r="C34" i="88"/>
  <c r="C33" i="88"/>
  <c r="C31" i="88"/>
  <c r="C28" i="88"/>
  <c r="C27" i="88"/>
  <c r="C26" i="88"/>
  <c r="C24" i="88"/>
  <c r="C21" i="88"/>
  <c r="C20" i="88"/>
  <c r="C19" i="88"/>
  <c r="C18" i="88"/>
  <c r="C17" i="88"/>
  <c r="C16" i="88"/>
  <c r="C13" i="88"/>
  <c r="C23" i="88" l="1"/>
  <c r="C38" i="88"/>
  <c r="T338" i="61" l="1"/>
  <c r="T334" i="61"/>
  <c r="T330" i="61"/>
  <c r="T326" i="61"/>
  <c r="T322" i="61"/>
  <c r="T318" i="61"/>
  <c r="T314" i="61"/>
  <c r="T310" i="61"/>
  <c r="T306" i="61"/>
  <c r="T302" i="61"/>
  <c r="T298" i="61"/>
  <c r="T294" i="61"/>
  <c r="T290" i="61"/>
  <c r="T286" i="61"/>
  <c r="T282" i="61"/>
  <c r="T278" i="61"/>
  <c r="T274" i="61"/>
  <c r="T270" i="61"/>
  <c r="T266" i="61"/>
  <c r="T262" i="61"/>
  <c r="T258" i="61"/>
  <c r="T253" i="61"/>
  <c r="T244" i="61"/>
  <c r="T239" i="61"/>
  <c r="T235" i="61"/>
  <c r="T231" i="61"/>
  <c r="T227" i="61"/>
  <c r="T223" i="61"/>
  <c r="T219" i="61"/>
  <c r="T215" i="61"/>
  <c r="T211" i="61"/>
  <c r="T207" i="61"/>
  <c r="T203" i="61"/>
  <c r="T199" i="61"/>
  <c r="T195" i="61"/>
  <c r="T191" i="61"/>
  <c r="T187" i="61"/>
  <c r="T183" i="61"/>
  <c r="T179" i="61"/>
  <c r="T175" i="61"/>
  <c r="T171" i="61"/>
  <c r="T167" i="61"/>
  <c r="T163" i="61"/>
  <c r="T158" i="61"/>
  <c r="T154" i="61"/>
  <c r="T150" i="61"/>
  <c r="T146" i="61"/>
  <c r="T142" i="61"/>
  <c r="T138" i="61"/>
  <c r="T134" i="61"/>
  <c r="T130" i="61"/>
  <c r="T126" i="61"/>
  <c r="T122" i="61"/>
  <c r="T118" i="61"/>
  <c r="T114" i="61"/>
  <c r="T110" i="61"/>
  <c r="T106" i="61"/>
  <c r="T102" i="61"/>
  <c r="T98" i="61"/>
  <c r="T94" i="61"/>
  <c r="T90" i="61"/>
  <c r="T86" i="61"/>
  <c r="T82" i="61"/>
  <c r="T78" i="61"/>
  <c r="T74" i="61"/>
  <c r="T70" i="61"/>
  <c r="T66" i="61"/>
  <c r="T62" i="61"/>
  <c r="T58" i="61"/>
  <c r="T54" i="61"/>
  <c r="T50" i="61"/>
  <c r="T46" i="61"/>
  <c r="T42" i="61"/>
  <c r="T38" i="61"/>
  <c r="T34" i="61"/>
  <c r="T30" i="61"/>
  <c r="T26" i="61"/>
  <c r="T22" i="61"/>
  <c r="T18" i="61"/>
  <c r="T14" i="61"/>
  <c r="T53" i="61"/>
  <c r="T41" i="61"/>
  <c r="T29" i="61"/>
  <c r="T337" i="61"/>
  <c r="T333" i="61"/>
  <c r="T329" i="61"/>
  <c r="T325" i="61"/>
  <c r="T321" i="61"/>
  <c r="T317" i="61"/>
  <c r="T313" i="61"/>
  <c r="T309" i="61"/>
  <c r="T305" i="61"/>
  <c r="T301" i="61"/>
  <c r="T297" i="61"/>
  <c r="T293" i="61"/>
  <c r="T289" i="61"/>
  <c r="T285" i="61"/>
  <c r="T281" i="61"/>
  <c r="T277" i="61"/>
  <c r="T273" i="61"/>
  <c r="T269" i="61"/>
  <c r="T265" i="61"/>
  <c r="T261" i="61"/>
  <c r="T252" i="61"/>
  <c r="T247" i="61"/>
  <c r="T243" i="61"/>
  <c r="T238" i="61"/>
  <c r="T234" i="61"/>
  <c r="T230" i="61"/>
  <c r="T226" i="61"/>
  <c r="T222" i="61"/>
  <c r="T218" i="61"/>
  <c r="T214" i="61"/>
  <c r="T210" i="61"/>
  <c r="T206" i="61"/>
  <c r="T202" i="61"/>
  <c r="T198" i="61"/>
  <c r="T194" i="61"/>
  <c r="T190" i="61"/>
  <c r="T186" i="61"/>
  <c r="T182" i="61"/>
  <c r="T178" i="61"/>
  <c r="T174" i="61"/>
  <c r="T170" i="61"/>
  <c r="T166" i="61"/>
  <c r="T162" i="61"/>
  <c r="T157" i="61"/>
  <c r="T153" i="61"/>
  <c r="T149" i="61"/>
  <c r="T145" i="61"/>
  <c r="T141" i="61"/>
  <c r="T137" i="61"/>
  <c r="T133" i="61"/>
  <c r="T129" i="61"/>
  <c r="T125" i="61"/>
  <c r="T121" i="61"/>
  <c r="T117" i="61"/>
  <c r="T113" i="61"/>
  <c r="T109" i="61"/>
  <c r="T105" i="61"/>
  <c r="T101" i="61"/>
  <c r="T97" i="61"/>
  <c r="T93" i="61"/>
  <c r="T89" i="61"/>
  <c r="T85" i="61"/>
  <c r="T81" i="61"/>
  <c r="T77" i="61"/>
  <c r="T73" i="61"/>
  <c r="T69" i="61"/>
  <c r="T65" i="61"/>
  <c r="T61" i="61"/>
  <c r="T57" i="61"/>
  <c r="T45" i="61"/>
  <c r="T37" i="61"/>
  <c r="T25" i="61"/>
  <c r="T335" i="61"/>
  <c r="T331" i="61"/>
  <c r="T327" i="61"/>
  <c r="T323" i="61"/>
  <c r="T319" i="61"/>
  <c r="T315" i="61"/>
  <c r="T311" i="61"/>
  <c r="T307" i="61"/>
  <c r="T303" i="61"/>
  <c r="T299" i="61"/>
  <c r="T295" i="61"/>
  <c r="T291" i="61"/>
  <c r="T287" i="61"/>
  <c r="T283" i="61"/>
  <c r="T279" i="61"/>
  <c r="T275" i="61"/>
  <c r="T271" i="61"/>
  <c r="T267" i="61"/>
  <c r="T263" i="61"/>
  <c r="T259" i="61"/>
  <c r="T254" i="61"/>
  <c r="T250" i="61"/>
  <c r="T245" i="61"/>
  <c r="T240" i="61"/>
  <c r="T236" i="61"/>
  <c r="T232" i="61"/>
  <c r="T228" i="61"/>
  <c r="T224" i="61"/>
  <c r="T220" i="61"/>
  <c r="T216" i="61"/>
  <c r="T212" i="61"/>
  <c r="T208" i="61"/>
  <c r="T204" i="61"/>
  <c r="T200" i="61"/>
  <c r="T196" i="61"/>
  <c r="T192" i="61"/>
  <c r="T188" i="61"/>
  <c r="T184" i="61"/>
  <c r="T180" i="61"/>
  <c r="T176" i="61"/>
  <c r="T172" i="61"/>
  <c r="T168" i="61"/>
  <c r="T164" i="61"/>
  <c r="T160" i="61"/>
  <c r="T155" i="61"/>
  <c r="T151" i="61"/>
  <c r="T147" i="61"/>
  <c r="T143" i="61"/>
  <c r="T139" i="61"/>
  <c r="T135" i="61"/>
  <c r="T131" i="61"/>
  <c r="T127" i="61"/>
  <c r="T123" i="61"/>
  <c r="T119" i="61"/>
  <c r="T115" i="61"/>
  <c r="T111" i="61"/>
  <c r="T107" i="61"/>
  <c r="T103" i="61"/>
  <c r="T99" i="61"/>
  <c r="T95" i="61"/>
  <c r="T91" i="61"/>
  <c r="T87" i="61"/>
  <c r="T83" i="61"/>
  <c r="T79" i="61"/>
  <c r="T75" i="61"/>
  <c r="T71" i="61"/>
  <c r="T67" i="61"/>
  <c r="T63" i="61"/>
  <c r="T59" i="61"/>
  <c r="T55" i="61"/>
  <c r="T51" i="61"/>
  <c r="T47" i="61"/>
  <c r="T43" i="61"/>
  <c r="T39" i="61"/>
  <c r="T35" i="61"/>
  <c r="T31" i="61"/>
  <c r="T27" i="61"/>
  <c r="T23" i="61"/>
  <c r="T19" i="61"/>
  <c r="T15" i="61"/>
  <c r="T11" i="61"/>
  <c r="T49" i="61"/>
  <c r="T33" i="61"/>
  <c r="T336" i="61"/>
  <c r="T320" i="61"/>
  <c r="T304" i="61"/>
  <c r="T288" i="61"/>
  <c r="T272" i="61"/>
  <c r="T255" i="61"/>
  <c r="T237" i="61"/>
  <c r="T221" i="61"/>
  <c r="T205" i="61"/>
  <c r="T189" i="61"/>
  <c r="T173" i="61"/>
  <c r="T156" i="61"/>
  <c r="T140" i="61"/>
  <c r="T124" i="61"/>
  <c r="T108" i="61"/>
  <c r="T92" i="61"/>
  <c r="T76" i="61"/>
  <c r="T60" i="61"/>
  <c r="T44" i="61"/>
  <c r="T28" i="61"/>
  <c r="T17" i="61"/>
  <c r="T104" i="61"/>
  <c r="T72" i="61"/>
  <c r="T40" i="61"/>
  <c r="T24" i="61"/>
  <c r="T144" i="61"/>
  <c r="T64" i="61"/>
  <c r="T20" i="61"/>
  <c r="T332" i="61"/>
  <c r="T316" i="61"/>
  <c r="T300" i="61"/>
  <c r="T284" i="61"/>
  <c r="T268" i="61"/>
  <c r="T251" i="61"/>
  <c r="T233" i="61"/>
  <c r="T217" i="61"/>
  <c r="T201" i="61"/>
  <c r="T185" i="61"/>
  <c r="T169" i="61"/>
  <c r="T152" i="61"/>
  <c r="T136" i="61"/>
  <c r="T120" i="61"/>
  <c r="T88" i="61"/>
  <c r="T56" i="61"/>
  <c r="T16" i="61"/>
  <c r="T324" i="61"/>
  <c r="T292" i="61"/>
  <c r="T276" i="61"/>
  <c r="T241" i="61"/>
  <c r="T209" i="61"/>
  <c r="T177" i="61"/>
  <c r="T128" i="61"/>
  <c r="T96" i="61"/>
  <c r="T80" i="61"/>
  <c r="T32" i="61"/>
  <c r="T328" i="61"/>
  <c r="T312" i="61"/>
  <c r="T296" i="61"/>
  <c r="T280" i="61"/>
  <c r="T264" i="61"/>
  <c r="T246" i="61"/>
  <c r="T229" i="61"/>
  <c r="T213" i="61"/>
  <c r="T197" i="61"/>
  <c r="T181" i="61"/>
  <c r="T165" i="61"/>
  <c r="T148" i="61"/>
  <c r="T132" i="61"/>
  <c r="T116" i="61"/>
  <c r="T100" i="61"/>
  <c r="T84" i="61"/>
  <c r="T68" i="61"/>
  <c r="T52" i="61"/>
  <c r="T36" i="61"/>
  <c r="T21" i="61"/>
  <c r="T13" i="61"/>
  <c r="T308" i="61"/>
  <c r="T260" i="61"/>
  <c r="T225" i="61"/>
  <c r="T193" i="61"/>
  <c r="T161" i="61"/>
  <c r="T112" i="61"/>
  <c r="T48" i="61"/>
  <c r="T12" i="61"/>
  <c r="T257" i="61"/>
  <c r="C15" i="88"/>
  <c r="T249" i="61"/>
  <c r="C12" i="88" l="1"/>
  <c r="C11" i="88" l="1"/>
  <c r="C10" i="88" l="1"/>
  <c r="C42" i="88" l="1"/>
  <c r="I49" i="80" l="1"/>
  <c r="I45" i="80"/>
  <c r="I40" i="80"/>
  <c r="I36" i="80"/>
  <c r="I32" i="80"/>
  <c r="I28" i="80"/>
  <c r="I24" i="80"/>
  <c r="I20" i="80"/>
  <c r="I16" i="80"/>
  <c r="I12" i="80"/>
  <c r="I44" i="80"/>
  <c r="I35" i="80"/>
  <c r="I31" i="80"/>
  <c r="I27" i="80"/>
  <c r="I19" i="80"/>
  <c r="I11" i="80"/>
  <c r="I48" i="80"/>
  <c r="I47" i="80"/>
  <c r="I43" i="80"/>
  <c r="I38" i="80"/>
  <c r="I34" i="80"/>
  <c r="I30" i="80"/>
  <c r="I26" i="80"/>
  <c r="I22" i="80"/>
  <c r="I18" i="80"/>
  <c r="I14" i="80"/>
  <c r="I10" i="80"/>
  <c r="I39" i="80"/>
  <c r="I23" i="80"/>
  <c r="I15" i="80"/>
  <c r="I46" i="80"/>
  <c r="I41" i="80"/>
  <c r="I37" i="80"/>
  <c r="I33" i="80"/>
  <c r="I29" i="80"/>
  <c r="I25" i="80"/>
  <c r="I21" i="80"/>
  <c r="I17" i="80"/>
  <c r="I13" i="80"/>
  <c r="Q344" i="78"/>
  <c r="Q340" i="78"/>
  <c r="Q336" i="78"/>
  <c r="Q332" i="78"/>
  <c r="Q328" i="78"/>
  <c r="Q324" i="78"/>
  <c r="Q320" i="78"/>
  <c r="Q316" i="78"/>
  <c r="Q312" i="78"/>
  <c r="Q247" i="78"/>
  <c r="Q306" i="78"/>
  <c r="Q302" i="78"/>
  <c r="Q298" i="78"/>
  <c r="Q294" i="78"/>
  <c r="Q290" i="78"/>
  <c r="Q286" i="78"/>
  <c r="Q282" i="78"/>
  <c r="Q278" i="78"/>
  <c r="Q274" i="78"/>
  <c r="Q270" i="78"/>
  <c r="Q266" i="78"/>
  <c r="Q262" i="78"/>
  <c r="Q258" i="78"/>
  <c r="Q254" i="78"/>
  <c r="Q250" i="78"/>
  <c r="Q244" i="78"/>
  <c r="Q347" i="78"/>
  <c r="Q343" i="78"/>
  <c r="Q339" i="78"/>
  <c r="Q335" i="78"/>
  <c r="Q331" i="78"/>
  <c r="Q327" i="78"/>
  <c r="Q323" i="78"/>
  <c r="Q319" i="78"/>
  <c r="Q315" i="78"/>
  <c r="Q311" i="78"/>
  <c r="Q246" i="78"/>
  <c r="Q305" i="78"/>
  <c r="Q301" i="78"/>
  <c r="Q297" i="78"/>
  <c r="Q293" i="78"/>
  <c r="Q289" i="78"/>
  <c r="Q285" i="78"/>
  <c r="Q281" i="78"/>
  <c r="Q277" i="78"/>
  <c r="Q273" i="78"/>
  <c r="Q269" i="78"/>
  <c r="Q265" i="78"/>
  <c r="Q261" i="78"/>
  <c r="Q257" i="78"/>
  <c r="Q253" i="78"/>
  <c r="Q249" i="78"/>
  <c r="Q243" i="78"/>
  <c r="Q239" i="78"/>
  <c r="Q236" i="78"/>
  <c r="Q348" i="78"/>
  <c r="Q231" i="78"/>
  <c r="Q226" i="78"/>
  <c r="Q223" i="78"/>
  <c r="Q219" i="78"/>
  <c r="Q215" i="78"/>
  <c r="Q211" i="78"/>
  <c r="Q207" i="78"/>
  <c r="Q203" i="78"/>
  <c r="Q199" i="78"/>
  <c r="Q195" i="78"/>
  <c r="Q191" i="78"/>
  <c r="Q187" i="78"/>
  <c r="Q183" i="78"/>
  <c r="Q179" i="78"/>
  <c r="Q175" i="78"/>
  <c r="Q172" i="78"/>
  <c r="Q168" i="78"/>
  <c r="Q164" i="78"/>
  <c r="Q160" i="78"/>
  <c r="Q156" i="78"/>
  <c r="Q152" i="78"/>
  <c r="Q148" i="78"/>
  <c r="Q144" i="78"/>
  <c r="Q140" i="78"/>
  <c r="Q136" i="78"/>
  <c r="Q132" i="78"/>
  <c r="Q128" i="78"/>
  <c r="Q124" i="78"/>
  <c r="Q120" i="78"/>
  <c r="Q113" i="78"/>
  <c r="Q109" i="78"/>
  <c r="Q105" i="78"/>
  <c r="Q346" i="78"/>
  <c r="Q342" i="78"/>
  <c r="Q338" i="78"/>
  <c r="Q334" i="78"/>
  <c r="Q330" i="78"/>
  <c r="Q326" i="78"/>
  <c r="Q322" i="78"/>
  <c r="Q318" i="78"/>
  <c r="Q314" i="78"/>
  <c r="Q310" i="78"/>
  <c r="Q308" i="78"/>
  <c r="Q304" i="78"/>
  <c r="Q300" i="78"/>
  <c r="Q296" i="78"/>
  <c r="Q292" i="78"/>
  <c r="Q288" i="78"/>
  <c r="Q284" i="78"/>
  <c r="Q280" i="78"/>
  <c r="Q276" i="78"/>
  <c r="Q272" i="78"/>
  <c r="Q268" i="78"/>
  <c r="Q264" i="78"/>
  <c r="Q260" i="78"/>
  <c r="Q256" i="78"/>
  <c r="Q252" i="78"/>
  <c r="Q248" i="78"/>
  <c r="Q242" i="78"/>
  <c r="Q238" i="78"/>
  <c r="Q351" i="78"/>
  <c r="Q234" i="78"/>
  <c r="Q229" i="78"/>
  <c r="Q225" i="78"/>
  <c r="Q222" i="78"/>
  <c r="Q218" i="78"/>
  <c r="Q214" i="78"/>
  <c r="Q210" i="78"/>
  <c r="Q206" i="78"/>
  <c r="Q202" i="78"/>
  <c r="Q198" i="78"/>
  <c r="Q194" i="78"/>
  <c r="Q190" i="78"/>
  <c r="Q186" i="78"/>
  <c r="Q182" i="78"/>
  <c r="Q178" i="78"/>
  <c r="Q174" i="78"/>
  <c r="Q171" i="78"/>
  <c r="Q167" i="78"/>
  <c r="Q163" i="78"/>
  <c r="Q159" i="78"/>
  <c r="Q155" i="78"/>
  <c r="Q151" i="78"/>
  <c r="Q147" i="78"/>
  <c r="Q143" i="78"/>
  <c r="Q139" i="78"/>
  <c r="Q135" i="78"/>
  <c r="Q131" i="78"/>
  <c r="Q127" i="78"/>
  <c r="Q123" i="78"/>
  <c r="Q119" i="78"/>
  <c r="Q112" i="78"/>
  <c r="Q108" i="78"/>
  <c r="Q104" i="78"/>
  <c r="Q100" i="78"/>
  <c r="Q118" i="78"/>
  <c r="Q94" i="78"/>
  <c r="Q90" i="78"/>
  <c r="Q86" i="78"/>
  <c r="Q82" i="78"/>
  <c r="Q78" i="78"/>
  <c r="Q74" i="78"/>
  <c r="Q70" i="78"/>
  <c r="Q66" i="78"/>
  <c r="Q62" i="78"/>
  <c r="Q58" i="78"/>
  <c r="Q54" i="78"/>
  <c r="Q50" i="78"/>
  <c r="Q46" i="78"/>
  <c r="Q42" i="78"/>
  <c r="Q38" i="78"/>
  <c r="Q33" i="78"/>
  <c r="Q29" i="78"/>
  <c r="Q345" i="78"/>
  <c r="Q341" i="78"/>
  <c r="Q337" i="78"/>
  <c r="Q333" i="78"/>
  <c r="Q329" i="78"/>
  <c r="Q313" i="78"/>
  <c r="Q299" i="78"/>
  <c r="Q283" i="78"/>
  <c r="Q267" i="78"/>
  <c r="Q251" i="78"/>
  <c r="Q237" i="78"/>
  <c r="Q233" i="78"/>
  <c r="Q224" i="78"/>
  <c r="Q217" i="78"/>
  <c r="Q209" i="78"/>
  <c r="Q201" i="78"/>
  <c r="Q193" i="78"/>
  <c r="Q185" i="78"/>
  <c r="Q177" i="78"/>
  <c r="Q170" i="78"/>
  <c r="Q162" i="78"/>
  <c r="Q154" i="78"/>
  <c r="Q146" i="78"/>
  <c r="Q138" i="78"/>
  <c r="Q130" i="78"/>
  <c r="Q122" i="78"/>
  <c r="Q111" i="78"/>
  <c r="Q103" i="78"/>
  <c r="Q98" i="78"/>
  <c r="Q95" i="78"/>
  <c r="Q89" i="78"/>
  <c r="Q84" i="78"/>
  <c r="Q79" i="78"/>
  <c r="Q73" i="78"/>
  <c r="Q68" i="78"/>
  <c r="Q63" i="78"/>
  <c r="Q57" i="78"/>
  <c r="Q52" i="78"/>
  <c r="Q47" i="78"/>
  <c r="Q41" i="78"/>
  <c r="Q35" i="78"/>
  <c r="Q30" i="78"/>
  <c r="Q25" i="78"/>
  <c r="Q21" i="78"/>
  <c r="Q17" i="78"/>
  <c r="Q12" i="78"/>
  <c r="Q325" i="78"/>
  <c r="Q309" i="78"/>
  <c r="Q295" i="78"/>
  <c r="Q279" i="78"/>
  <c r="Q263" i="78"/>
  <c r="Q245" i="78"/>
  <c r="Q235" i="78"/>
  <c r="Q232" i="78"/>
  <c r="Q216" i="78"/>
  <c r="Q208" i="78"/>
  <c r="Q200" i="78"/>
  <c r="Q192" i="78"/>
  <c r="Q184" i="78"/>
  <c r="Q176" i="78"/>
  <c r="Q169" i="78"/>
  <c r="Q161" i="78"/>
  <c r="Q145" i="78"/>
  <c r="Q129" i="78"/>
  <c r="Q110" i="78"/>
  <c r="Q97" i="78"/>
  <c r="Q88" i="78"/>
  <c r="Q77" i="78"/>
  <c r="Q67" i="78"/>
  <c r="Q56" i="78"/>
  <c r="Q45" i="78"/>
  <c r="Q34" i="78"/>
  <c r="Q24" i="78"/>
  <c r="Q16" i="78"/>
  <c r="Q321" i="78"/>
  <c r="Q307" i="78"/>
  <c r="Q291" i="78"/>
  <c r="Q275" i="78"/>
  <c r="Q259" i="78"/>
  <c r="Q241" i="78"/>
  <c r="Q350" i="78"/>
  <c r="Q228" i="78"/>
  <c r="Q221" i="78"/>
  <c r="Q213" i="78"/>
  <c r="Q205" i="78"/>
  <c r="Q197" i="78"/>
  <c r="Q189" i="78"/>
  <c r="Q181" i="78"/>
  <c r="Q173" i="78"/>
  <c r="Q166" i="78"/>
  <c r="Q158" i="78"/>
  <c r="Q150" i="78"/>
  <c r="Q142" i="78"/>
  <c r="Q134" i="78"/>
  <c r="Q126" i="78"/>
  <c r="Q115" i="78"/>
  <c r="Q107" i="78"/>
  <c r="Q101" i="78"/>
  <c r="Q116" i="78"/>
  <c r="Q92" i="78"/>
  <c r="Q87" i="78"/>
  <c r="Q81" i="78"/>
  <c r="Q76" i="78"/>
  <c r="Q71" i="78"/>
  <c r="Q65" i="78"/>
  <c r="Q60" i="78"/>
  <c r="Q55" i="78"/>
  <c r="Q49" i="78"/>
  <c r="Q44" i="78"/>
  <c r="Q39" i="78"/>
  <c r="Q32" i="78"/>
  <c r="Q27" i="78"/>
  <c r="Q23" i="78"/>
  <c r="Q19" i="78"/>
  <c r="Q14" i="78"/>
  <c r="Q10" i="78"/>
  <c r="Q317" i="78"/>
  <c r="Q287" i="78"/>
  <c r="Q271" i="78"/>
  <c r="Q255" i="78"/>
  <c r="Q240" i="78"/>
  <c r="Q349" i="78"/>
  <c r="Q227" i="78"/>
  <c r="Q220" i="78"/>
  <c r="Q212" i="78"/>
  <c r="Q204" i="78"/>
  <c r="Q196" i="78"/>
  <c r="Q188" i="78"/>
  <c r="Q180" i="78"/>
  <c r="Q117" i="78"/>
  <c r="Q165" i="78"/>
  <c r="Q157" i="78"/>
  <c r="Q149" i="78"/>
  <c r="Q141" i="78"/>
  <c r="Q133" i="78"/>
  <c r="Q125" i="78"/>
  <c r="Q114" i="78"/>
  <c r="Q106" i="78"/>
  <c r="Q99" i="78"/>
  <c r="Q96" i="78"/>
  <c r="Q91" i="78"/>
  <c r="Q85" i="78"/>
  <c r="Q80" i="78"/>
  <c r="Q75" i="78"/>
  <c r="Q69" i="78"/>
  <c r="Q64" i="78"/>
  <c r="Q59" i="78"/>
  <c r="Q53" i="78"/>
  <c r="Q48" i="78"/>
  <c r="Q43" i="78"/>
  <c r="Q37" i="78"/>
  <c r="Q31" i="78"/>
  <c r="Q26" i="78"/>
  <c r="Q22" i="78"/>
  <c r="Q18" i="78"/>
  <c r="Q13" i="78"/>
  <c r="Q153" i="78"/>
  <c r="Q137" i="78"/>
  <c r="Q121" i="78"/>
  <c r="Q102" i="78"/>
  <c r="Q93" i="78"/>
  <c r="Q83" i="78"/>
  <c r="Q72" i="78"/>
  <c r="Q61" i="78"/>
  <c r="Q51" i="78"/>
  <c r="Q40" i="78"/>
  <c r="Q28" i="78"/>
  <c r="Q20" i="78"/>
  <c r="Q11" i="78"/>
  <c r="Q303" i="78"/>
  <c r="P13" i="93"/>
  <c r="P11" i="92"/>
  <c r="P12" i="93"/>
  <c r="P14" i="92"/>
  <c r="K12" i="81"/>
  <c r="P11" i="93"/>
  <c r="P13" i="92"/>
  <c r="K11" i="81"/>
  <c r="P10" i="93"/>
  <c r="P12" i="92"/>
  <c r="K10" i="81"/>
  <c r="P10" i="92"/>
  <c r="O25" i="79"/>
  <c r="O21" i="79"/>
  <c r="O17" i="79"/>
  <c r="O13" i="79"/>
  <c r="O16" i="79"/>
  <c r="O27" i="79"/>
  <c r="O23" i="79"/>
  <c r="O19" i="79"/>
  <c r="O15" i="79"/>
  <c r="O11" i="79"/>
  <c r="O26" i="79"/>
  <c r="O22" i="79"/>
  <c r="O18" i="79"/>
  <c r="O14" i="79"/>
  <c r="O10" i="79"/>
  <c r="O24" i="79"/>
  <c r="O20" i="79"/>
  <c r="O12" i="79"/>
  <c r="K203" i="76"/>
  <c r="K198" i="76"/>
  <c r="K194" i="76"/>
  <c r="K190" i="76"/>
  <c r="K186" i="76"/>
  <c r="K182" i="76"/>
  <c r="K179" i="76"/>
  <c r="K175" i="76"/>
  <c r="K171" i="76"/>
  <c r="K167" i="76"/>
  <c r="K163" i="76"/>
  <c r="K159" i="76"/>
  <c r="K155" i="76"/>
  <c r="K151" i="76"/>
  <c r="K147" i="76"/>
  <c r="K143" i="76"/>
  <c r="K139" i="76"/>
  <c r="K135" i="76"/>
  <c r="K131" i="76"/>
  <c r="K127" i="76"/>
  <c r="K123" i="76"/>
  <c r="K119" i="76"/>
  <c r="K114" i="76"/>
  <c r="K110" i="76"/>
  <c r="K106" i="76"/>
  <c r="K102" i="76"/>
  <c r="K98" i="76"/>
  <c r="K94" i="76"/>
  <c r="K90" i="76"/>
  <c r="K86" i="76"/>
  <c r="K82" i="76"/>
  <c r="K78" i="76"/>
  <c r="K74" i="76"/>
  <c r="K70" i="76"/>
  <c r="K66" i="76"/>
  <c r="K62" i="76"/>
  <c r="K58" i="76"/>
  <c r="K54" i="76"/>
  <c r="K50" i="76"/>
  <c r="K46" i="76"/>
  <c r="K42" i="76"/>
  <c r="K38" i="76"/>
  <c r="K34" i="76"/>
  <c r="K30" i="76"/>
  <c r="K26" i="76"/>
  <c r="K22" i="76"/>
  <c r="K18" i="76"/>
  <c r="K14" i="76"/>
  <c r="K89" i="76"/>
  <c r="K77" i="76"/>
  <c r="K69" i="76"/>
  <c r="K65" i="76"/>
  <c r="K57" i="76"/>
  <c r="K53" i="76"/>
  <c r="K45" i="76"/>
  <c r="K41" i="76"/>
  <c r="K37" i="76"/>
  <c r="K29" i="76"/>
  <c r="K25" i="76"/>
  <c r="K17" i="76"/>
  <c r="K13" i="76"/>
  <c r="L13" i="74"/>
  <c r="K195" i="76"/>
  <c r="K191" i="76"/>
  <c r="K183" i="76"/>
  <c r="K168" i="76"/>
  <c r="K156" i="76"/>
  <c r="K148" i="76"/>
  <c r="K132" i="76"/>
  <c r="K124" i="76"/>
  <c r="K107" i="76"/>
  <c r="K95" i="76"/>
  <c r="K83" i="76"/>
  <c r="K75" i="76"/>
  <c r="K59" i="76"/>
  <c r="K47" i="76"/>
  <c r="K39" i="76"/>
  <c r="K27" i="76"/>
  <c r="K19" i="76"/>
  <c r="L11" i="74"/>
  <c r="K202" i="76"/>
  <c r="K197" i="76"/>
  <c r="K193" i="76"/>
  <c r="K189" i="76"/>
  <c r="K185" i="76"/>
  <c r="K181" i="76"/>
  <c r="K178" i="76"/>
  <c r="K174" i="76"/>
  <c r="K170" i="76"/>
  <c r="K166" i="76"/>
  <c r="K162" i="76"/>
  <c r="K158" i="76"/>
  <c r="K154" i="76"/>
  <c r="K150" i="76"/>
  <c r="K146" i="76"/>
  <c r="K142" i="76"/>
  <c r="K138" i="76"/>
  <c r="K134" i="76"/>
  <c r="K130" i="76"/>
  <c r="K126" i="76"/>
  <c r="K122" i="76"/>
  <c r="K118" i="76"/>
  <c r="K113" i="76"/>
  <c r="K109" i="76"/>
  <c r="K105" i="76"/>
  <c r="K101" i="76"/>
  <c r="K97" i="76"/>
  <c r="K93" i="76"/>
  <c r="K85" i="76"/>
  <c r="K81" i="76"/>
  <c r="K73" i="76"/>
  <c r="K61" i="76"/>
  <c r="K49" i="76"/>
  <c r="K33" i="76"/>
  <c r="K21" i="76"/>
  <c r="K199" i="76"/>
  <c r="K176" i="76"/>
  <c r="K160" i="76"/>
  <c r="K140" i="76"/>
  <c r="K120" i="76"/>
  <c r="K103" i="76"/>
  <c r="K87" i="76"/>
  <c r="K67" i="76"/>
  <c r="K51" i="76"/>
  <c r="K31" i="76"/>
  <c r="K11" i="76"/>
  <c r="K201" i="76"/>
  <c r="K196" i="76"/>
  <c r="K192" i="76"/>
  <c r="K188" i="76"/>
  <c r="K184" i="76"/>
  <c r="K177" i="76"/>
  <c r="K173" i="76"/>
  <c r="K169" i="76"/>
  <c r="K165" i="76"/>
  <c r="K161" i="76"/>
  <c r="K157" i="76"/>
  <c r="K153" i="76"/>
  <c r="K149" i="76"/>
  <c r="K145" i="76"/>
  <c r="K141" i="76"/>
  <c r="K137" i="76"/>
  <c r="K133" i="76"/>
  <c r="K129" i="76"/>
  <c r="K125" i="76"/>
  <c r="K121" i="76"/>
  <c r="K117" i="76"/>
  <c r="K112" i="76"/>
  <c r="K108" i="76"/>
  <c r="K104" i="76"/>
  <c r="K100" i="76"/>
  <c r="K96" i="76"/>
  <c r="K92" i="76"/>
  <c r="K88" i="76"/>
  <c r="K84" i="76"/>
  <c r="K80" i="76"/>
  <c r="K76" i="76"/>
  <c r="K72" i="76"/>
  <c r="K68" i="76"/>
  <c r="K64" i="76"/>
  <c r="K60" i="76"/>
  <c r="K56" i="76"/>
  <c r="K52" i="76"/>
  <c r="K48" i="76"/>
  <c r="K44" i="76"/>
  <c r="K40" i="76"/>
  <c r="K36" i="76"/>
  <c r="K32" i="76"/>
  <c r="K28" i="76"/>
  <c r="K24" i="76"/>
  <c r="K20" i="76"/>
  <c r="K16" i="76"/>
  <c r="K12" i="76"/>
  <c r="L12" i="74"/>
  <c r="K187" i="76"/>
  <c r="K180" i="76"/>
  <c r="K172" i="76"/>
  <c r="K164" i="76"/>
  <c r="K152" i="76"/>
  <c r="K144" i="76"/>
  <c r="K136" i="76"/>
  <c r="K128" i="76"/>
  <c r="K115" i="76"/>
  <c r="K111" i="76"/>
  <c r="K99" i="76"/>
  <c r="K91" i="76"/>
  <c r="K79" i="76"/>
  <c r="K71" i="76"/>
  <c r="K63" i="76"/>
  <c r="K55" i="76"/>
  <c r="K43" i="76"/>
  <c r="K35" i="76"/>
  <c r="K23" i="76"/>
  <c r="K15" i="76"/>
  <c r="K191" i="73"/>
  <c r="K187" i="73"/>
  <c r="K183" i="73"/>
  <c r="K179" i="73"/>
  <c r="K175" i="73"/>
  <c r="K171" i="73"/>
  <c r="K167" i="73"/>
  <c r="K163" i="73"/>
  <c r="K159" i="73"/>
  <c r="K155" i="73"/>
  <c r="K151" i="73"/>
  <c r="K147" i="73"/>
  <c r="K143" i="73"/>
  <c r="K139" i="73"/>
  <c r="K135" i="73"/>
  <c r="K131" i="73"/>
  <c r="K127" i="73"/>
  <c r="K123" i="73"/>
  <c r="K119" i="73"/>
  <c r="K115" i="73"/>
  <c r="K111" i="73"/>
  <c r="K107" i="73"/>
  <c r="K103" i="73"/>
  <c r="K99" i="73"/>
  <c r="K95" i="73"/>
  <c r="K91" i="73"/>
  <c r="K87" i="73"/>
  <c r="K82" i="73"/>
  <c r="K78" i="73"/>
  <c r="K74" i="73"/>
  <c r="K68" i="73"/>
  <c r="K64" i="73"/>
  <c r="K60" i="73"/>
  <c r="K55" i="73"/>
  <c r="K51" i="73"/>
  <c r="K47" i="73"/>
  <c r="K43" i="73"/>
  <c r="K39" i="73"/>
  <c r="K35" i="73"/>
  <c r="K31" i="73"/>
  <c r="K26" i="73"/>
  <c r="K21" i="73"/>
  <c r="K17" i="73"/>
  <c r="K13" i="73"/>
  <c r="K172" i="73"/>
  <c r="K164" i="73"/>
  <c r="K148" i="73"/>
  <c r="K136" i="73"/>
  <c r="K124" i="73"/>
  <c r="K112" i="73"/>
  <c r="K100" i="73"/>
  <c r="K92" i="73"/>
  <c r="K83" i="73"/>
  <c r="K75" i="73"/>
  <c r="K61" i="73"/>
  <c r="K57" i="73"/>
  <c r="K44" i="73"/>
  <c r="K32" i="73"/>
  <c r="K22" i="73"/>
  <c r="K190" i="73"/>
  <c r="K186" i="73"/>
  <c r="K182" i="73"/>
  <c r="K178" i="73"/>
  <c r="K174" i="73"/>
  <c r="K170" i="73"/>
  <c r="K166" i="73"/>
  <c r="K162" i="73"/>
  <c r="K158" i="73"/>
  <c r="K154" i="73"/>
  <c r="K150" i="73"/>
  <c r="K146" i="73"/>
  <c r="K142" i="73"/>
  <c r="K138" i="73"/>
  <c r="K134" i="73"/>
  <c r="K130" i="73"/>
  <c r="K126" i="73"/>
  <c r="K122" i="73"/>
  <c r="K118" i="73"/>
  <c r="K114" i="73"/>
  <c r="K110" i="73"/>
  <c r="K106" i="73"/>
  <c r="K102" i="73"/>
  <c r="K98" i="73"/>
  <c r="K94" i="73"/>
  <c r="K90" i="73"/>
  <c r="K86" i="73"/>
  <c r="K81" i="73"/>
  <c r="K77" i="73"/>
  <c r="K72" i="73"/>
  <c r="K67" i="73"/>
  <c r="K63" i="73"/>
  <c r="K59" i="73"/>
  <c r="K54" i="73"/>
  <c r="K50" i="73"/>
  <c r="K46" i="73"/>
  <c r="K42" i="73"/>
  <c r="K38" i="73"/>
  <c r="K34" i="73"/>
  <c r="K30" i="73"/>
  <c r="K25" i="73"/>
  <c r="K20" i="73"/>
  <c r="K16" i="73"/>
  <c r="K12" i="73"/>
  <c r="K156" i="73"/>
  <c r="K128" i="73"/>
  <c r="K108" i="73"/>
  <c r="K88" i="73"/>
  <c r="K70" i="73"/>
  <c r="K48" i="73"/>
  <c r="K36" i="73"/>
  <c r="K14" i="73"/>
  <c r="K189" i="73"/>
  <c r="K185" i="73"/>
  <c r="K181" i="73"/>
  <c r="K177" i="73"/>
  <c r="K173" i="73"/>
  <c r="K169" i="73"/>
  <c r="K165" i="73"/>
  <c r="K161" i="73"/>
  <c r="K157" i="73"/>
  <c r="K153" i="73"/>
  <c r="K149" i="73"/>
  <c r="K145" i="73"/>
  <c r="K141" i="73"/>
  <c r="K137" i="73"/>
  <c r="K133" i="73"/>
  <c r="K129" i="73"/>
  <c r="K125" i="73"/>
  <c r="K121" i="73"/>
  <c r="K117" i="73"/>
  <c r="K113" i="73"/>
  <c r="K109" i="73"/>
  <c r="K105" i="73"/>
  <c r="K101" i="73"/>
  <c r="K97" i="73"/>
  <c r="K93" i="73"/>
  <c r="K89" i="73"/>
  <c r="K85" i="73"/>
  <c r="K80" i="73"/>
  <c r="K76" i="73"/>
  <c r="K71" i="73"/>
  <c r="K66" i="73"/>
  <c r="K62" i="73"/>
  <c r="K58" i="73"/>
  <c r="K53" i="73"/>
  <c r="K49" i="73"/>
  <c r="K45" i="73"/>
  <c r="K41" i="73"/>
  <c r="K37" i="73"/>
  <c r="K33" i="73"/>
  <c r="K29" i="73"/>
  <c r="K24" i="73"/>
  <c r="K19" i="73"/>
  <c r="K15" i="73"/>
  <c r="K11" i="73"/>
  <c r="K192" i="73"/>
  <c r="K188" i="73"/>
  <c r="K184" i="73"/>
  <c r="K180" i="73"/>
  <c r="K176" i="73"/>
  <c r="K168" i="73"/>
  <c r="K160" i="73"/>
  <c r="K152" i="73"/>
  <c r="K144" i="73"/>
  <c r="K140" i="73"/>
  <c r="K132" i="73"/>
  <c r="K120" i="73"/>
  <c r="K116" i="73"/>
  <c r="K104" i="73"/>
  <c r="K96" i="73"/>
  <c r="K79" i="73"/>
  <c r="K65" i="73"/>
  <c r="K52" i="73"/>
  <c r="K40" i="73"/>
  <c r="K28" i="73"/>
  <c r="K18" i="73"/>
  <c r="M50" i="72"/>
  <c r="M46" i="72"/>
  <c r="M42" i="72"/>
  <c r="M38" i="72"/>
  <c r="M34" i="72"/>
  <c r="M30" i="72"/>
  <c r="M26" i="72"/>
  <c r="M22" i="72"/>
  <c r="M17" i="72"/>
  <c r="M13" i="72"/>
  <c r="M49" i="72"/>
  <c r="M45" i="72"/>
  <c r="M41" i="72"/>
  <c r="M37" i="72"/>
  <c r="M33" i="72"/>
  <c r="M29" i="72"/>
  <c r="M25" i="72"/>
  <c r="M21" i="72"/>
  <c r="M16" i="72"/>
  <c r="M12" i="72"/>
  <c r="M48" i="72"/>
  <c r="M44" i="72"/>
  <c r="M40" i="72"/>
  <c r="M36" i="72"/>
  <c r="M32" i="72"/>
  <c r="M28" i="72"/>
  <c r="M24" i="72"/>
  <c r="M20" i="72"/>
  <c r="M15" i="72"/>
  <c r="M11" i="72"/>
  <c r="M47" i="72"/>
  <c r="M43" i="72"/>
  <c r="M39" i="72"/>
  <c r="M35" i="72"/>
  <c r="M31" i="72"/>
  <c r="M27" i="72"/>
  <c r="M23" i="72"/>
  <c r="M19" i="72"/>
  <c r="M14" i="72"/>
  <c r="D10" i="88"/>
  <c r="S44" i="71"/>
  <c r="S39" i="71"/>
  <c r="S34" i="71"/>
  <c r="S30" i="71"/>
  <c r="S25" i="71"/>
  <c r="S21" i="71"/>
  <c r="S17" i="71"/>
  <c r="S13" i="71"/>
  <c r="P141" i="69"/>
  <c r="P137" i="69"/>
  <c r="P133" i="69"/>
  <c r="P129" i="69"/>
  <c r="P125" i="69"/>
  <c r="P121" i="69"/>
  <c r="P117" i="69"/>
  <c r="P113" i="69"/>
  <c r="P109" i="69"/>
  <c r="P105" i="69"/>
  <c r="P101" i="69"/>
  <c r="P97" i="69"/>
  <c r="P93" i="69"/>
  <c r="P89" i="69"/>
  <c r="P85" i="69"/>
  <c r="P81" i="69"/>
  <c r="P77" i="69"/>
  <c r="P73" i="69"/>
  <c r="P69" i="69"/>
  <c r="P65" i="69"/>
  <c r="P61" i="69"/>
  <c r="P57" i="69"/>
  <c r="P53" i="69"/>
  <c r="P49" i="69"/>
  <c r="P45" i="69"/>
  <c r="P41" i="69"/>
  <c r="P37" i="69"/>
  <c r="P33" i="69"/>
  <c r="P29" i="69"/>
  <c r="P25" i="69"/>
  <c r="P21" i="69"/>
  <c r="P17" i="69"/>
  <c r="P13" i="69"/>
  <c r="K13" i="67"/>
  <c r="L20" i="66"/>
  <c r="L15" i="66"/>
  <c r="L11" i="66"/>
  <c r="L13" i="65"/>
  <c r="O39" i="64"/>
  <c r="O35" i="64"/>
  <c r="O29" i="64"/>
  <c r="O25" i="64"/>
  <c r="O21" i="64"/>
  <c r="O17" i="64"/>
  <c r="O13" i="64"/>
  <c r="S26" i="71"/>
  <c r="S14" i="71"/>
  <c r="P138" i="69"/>
  <c r="P126" i="69"/>
  <c r="P118" i="69"/>
  <c r="P106" i="69"/>
  <c r="P98" i="69"/>
  <c r="P90" i="69"/>
  <c r="P78" i="69"/>
  <c r="P66" i="69"/>
  <c r="P58" i="69"/>
  <c r="P54" i="69"/>
  <c r="P38" i="69"/>
  <c r="P26" i="69"/>
  <c r="P14" i="69"/>
  <c r="L17" i="66"/>
  <c r="L14" i="65"/>
  <c r="O36" i="64"/>
  <c r="O22" i="64"/>
  <c r="S43" i="71"/>
  <c r="S38" i="71"/>
  <c r="S33" i="71"/>
  <c r="S29" i="71"/>
  <c r="S24" i="71"/>
  <c r="S20" i="71"/>
  <c r="S16" i="71"/>
  <c r="S12" i="71"/>
  <c r="P140" i="69"/>
  <c r="P136" i="69"/>
  <c r="P132" i="69"/>
  <c r="P128" i="69"/>
  <c r="P124" i="69"/>
  <c r="P120" i="69"/>
  <c r="P116" i="69"/>
  <c r="P112" i="69"/>
  <c r="P108" i="69"/>
  <c r="P104" i="69"/>
  <c r="P100" i="69"/>
  <c r="P96" i="69"/>
  <c r="P92" i="69"/>
  <c r="P88" i="69"/>
  <c r="P84" i="69"/>
  <c r="P80" i="69"/>
  <c r="P76" i="69"/>
  <c r="P72" i="69"/>
  <c r="P68" i="69"/>
  <c r="P64" i="69"/>
  <c r="P60" i="69"/>
  <c r="P56" i="69"/>
  <c r="P52" i="69"/>
  <c r="P48" i="69"/>
  <c r="P44" i="69"/>
  <c r="P40" i="69"/>
  <c r="P36" i="69"/>
  <c r="P32" i="69"/>
  <c r="P28" i="69"/>
  <c r="P24" i="69"/>
  <c r="P20" i="69"/>
  <c r="P16" i="69"/>
  <c r="P12" i="69"/>
  <c r="K16" i="67"/>
  <c r="K12" i="67"/>
  <c r="L19" i="66"/>
  <c r="L14" i="66"/>
  <c r="L12" i="65"/>
  <c r="O38" i="64"/>
  <c r="O34" i="64"/>
  <c r="O28" i="64"/>
  <c r="O24" i="64"/>
  <c r="O20" i="64"/>
  <c r="O16" i="64"/>
  <c r="O12" i="64"/>
  <c r="S18" i="71"/>
  <c r="P134" i="69"/>
  <c r="P114" i="69"/>
  <c r="P102" i="69"/>
  <c r="P86" i="69"/>
  <c r="P70" i="69"/>
  <c r="P46" i="69"/>
  <c r="P34" i="69"/>
  <c r="P22" i="69"/>
  <c r="L21" i="66"/>
  <c r="O31" i="64"/>
  <c r="O18" i="64"/>
  <c r="S46" i="71"/>
  <c r="S42" i="71"/>
  <c r="S37" i="71"/>
  <c r="S32" i="71"/>
  <c r="S28" i="71"/>
  <c r="S23" i="71"/>
  <c r="S19" i="71"/>
  <c r="S15" i="71"/>
  <c r="S11" i="71"/>
  <c r="P139" i="69"/>
  <c r="P135" i="69"/>
  <c r="P131" i="69"/>
  <c r="P127" i="69"/>
  <c r="P123" i="69"/>
  <c r="P119" i="69"/>
  <c r="P115" i="69"/>
  <c r="P111" i="69"/>
  <c r="P107" i="69"/>
  <c r="P103" i="69"/>
  <c r="P99" i="69"/>
  <c r="P95" i="69"/>
  <c r="P91" i="69"/>
  <c r="P87" i="69"/>
  <c r="P83" i="69"/>
  <c r="P79" i="69"/>
  <c r="P75" i="69"/>
  <c r="P71" i="69"/>
  <c r="P67" i="69"/>
  <c r="P63" i="69"/>
  <c r="P59" i="69"/>
  <c r="P55" i="69"/>
  <c r="P51" i="69"/>
  <c r="P47" i="69"/>
  <c r="P43" i="69"/>
  <c r="P39" i="69"/>
  <c r="P35" i="69"/>
  <c r="P31" i="69"/>
  <c r="P27" i="69"/>
  <c r="P23" i="69"/>
  <c r="P19" i="69"/>
  <c r="P15" i="69"/>
  <c r="P11" i="69"/>
  <c r="K15" i="67"/>
  <c r="K11" i="67"/>
  <c r="L22" i="66"/>
  <c r="L18" i="66"/>
  <c r="L13" i="66"/>
  <c r="L15" i="65"/>
  <c r="L11" i="65"/>
  <c r="O37" i="64"/>
  <c r="O32" i="64"/>
  <c r="O27" i="64"/>
  <c r="O23" i="64"/>
  <c r="O19" i="64"/>
  <c r="O15" i="64"/>
  <c r="O11" i="64"/>
  <c r="S45" i="71"/>
  <c r="S40" i="71"/>
  <c r="S36" i="71"/>
  <c r="S31" i="71"/>
  <c r="S22" i="71"/>
  <c r="P142" i="69"/>
  <c r="P130" i="69"/>
  <c r="P122" i="69"/>
  <c r="P110" i="69"/>
  <c r="P94" i="69"/>
  <c r="P82" i="69"/>
  <c r="P74" i="69"/>
  <c r="P62" i="69"/>
  <c r="P50" i="69"/>
  <c r="P42" i="69"/>
  <c r="P30" i="69"/>
  <c r="P18" i="69"/>
  <c r="K14" i="67"/>
  <c r="L12" i="66"/>
  <c r="O40" i="64"/>
  <c r="O26" i="64"/>
  <c r="O14" i="64"/>
  <c r="N97" i="63"/>
  <c r="N88" i="63"/>
  <c r="N76" i="63"/>
  <c r="N60" i="63"/>
  <c r="N44" i="63"/>
  <c r="N27" i="63"/>
  <c r="N91" i="63"/>
  <c r="N83" i="63"/>
  <c r="N75" i="63"/>
  <c r="N63" i="63"/>
  <c r="N55" i="63"/>
  <c r="N47" i="63"/>
  <c r="N34" i="63"/>
  <c r="N21" i="63"/>
  <c r="N95" i="63"/>
  <c r="N82" i="63"/>
  <c r="N74" i="63"/>
  <c r="N62" i="63"/>
  <c r="N54" i="63"/>
  <c r="N41" i="63"/>
  <c r="N33" i="63"/>
  <c r="N24" i="63"/>
  <c r="N12" i="63"/>
  <c r="N94" i="63"/>
  <c r="N89" i="63"/>
  <c r="N85" i="63"/>
  <c r="N81" i="63"/>
  <c r="N77" i="63"/>
  <c r="N73" i="63"/>
  <c r="N69" i="63"/>
  <c r="N65" i="63"/>
  <c r="N61" i="63"/>
  <c r="N57" i="63"/>
  <c r="N53" i="63"/>
  <c r="N49" i="63"/>
  <c r="N45" i="63"/>
  <c r="N40" i="63"/>
  <c r="N36" i="63"/>
  <c r="N32" i="63"/>
  <c r="N28" i="63"/>
  <c r="N23" i="63"/>
  <c r="N19" i="63"/>
  <c r="N15" i="63"/>
  <c r="N11" i="63"/>
  <c r="N93" i="63"/>
  <c r="N84" i="63"/>
  <c r="N80" i="63"/>
  <c r="N72" i="63"/>
  <c r="N68" i="63"/>
  <c r="N64" i="63"/>
  <c r="N56" i="63"/>
  <c r="N52" i="63"/>
  <c r="N48" i="63"/>
  <c r="N39" i="63"/>
  <c r="N35" i="63"/>
  <c r="N31" i="63"/>
  <c r="N22" i="63"/>
  <c r="N18" i="63"/>
  <c r="N14" i="63"/>
  <c r="N96" i="63"/>
  <c r="N87" i="63"/>
  <c r="N79" i="63"/>
  <c r="N71" i="63"/>
  <c r="N67" i="63"/>
  <c r="N59" i="63"/>
  <c r="N51" i="63"/>
  <c r="N42" i="63"/>
  <c r="N38" i="63"/>
  <c r="N30" i="63"/>
  <c r="N26" i="63"/>
  <c r="N17" i="63"/>
  <c r="N13" i="63"/>
  <c r="N90" i="63"/>
  <c r="N86" i="63"/>
  <c r="N78" i="63"/>
  <c r="N70" i="63"/>
  <c r="N66" i="63"/>
  <c r="N58" i="63"/>
  <c r="N50" i="63"/>
  <c r="N46" i="63"/>
  <c r="N37" i="63"/>
  <c r="N29" i="63"/>
  <c r="N20" i="63"/>
  <c r="N16" i="63"/>
  <c r="O214" i="62"/>
  <c r="O210" i="62"/>
  <c r="O206" i="62"/>
  <c r="O202" i="62"/>
  <c r="O198" i="62"/>
  <c r="O193" i="62"/>
  <c r="O188" i="62"/>
  <c r="O184" i="62"/>
  <c r="O180" i="62"/>
  <c r="O176" i="62"/>
  <c r="O172" i="62"/>
  <c r="O168" i="62"/>
  <c r="O164" i="62"/>
  <c r="O160" i="62"/>
  <c r="O156" i="62"/>
  <c r="O151" i="62"/>
  <c r="O147" i="62"/>
  <c r="O144" i="62"/>
  <c r="O141" i="62"/>
  <c r="O137" i="62"/>
  <c r="O133" i="62"/>
  <c r="O129" i="62"/>
  <c r="O125" i="62"/>
  <c r="O120" i="62"/>
  <c r="O116" i="62"/>
  <c r="O112" i="62"/>
  <c r="O108" i="62"/>
  <c r="O104" i="62"/>
  <c r="O100" i="62"/>
  <c r="O96" i="62"/>
  <c r="O92" i="62"/>
  <c r="O88" i="62"/>
  <c r="O83" i="62"/>
  <c r="O79" i="62"/>
  <c r="O75" i="62"/>
  <c r="O71" i="62"/>
  <c r="O67" i="62"/>
  <c r="O63" i="62"/>
  <c r="O59" i="62"/>
  <c r="O55" i="62"/>
  <c r="O51" i="62"/>
  <c r="O47" i="62"/>
  <c r="O43" i="62"/>
  <c r="O38" i="62"/>
  <c r="O34" i="62"/>
  <c r="O30" i="62"/>
  <c r="O26" i="62"/>
  <c r="O22" i="62"/>
  <c r="O18" i="62"/>
  <c r="O14" i="62"/>
  <c r="O208" i="62"/>
  <c r="O196" i="62"/>
  <c r="O178" i="62"/>
  <c r="O162" i="62"/>
  <c r="O145" i="62"/>
  <c r="O139" i="62"/>
  <c r="O122" i="62"/>
  <c r="O110" i="62"/>
  <c r="O90" i="62"/>
  <c r="O69" i="62"/>
  <c r="O53" i="62"/>
  <c r="O36" i="62"/>
  <c r="O20" i="62"/>
  <c r="O213" i="62"/>
  <c r="O209" i="62"/>
  <c r="O205" i="62"/>
  <c r="O201" i="62"/>
  <c r="O197" i="62"/>
  <c r="O192" i="62"/>
  <c r="O187" i="62"/>
  <c r="O183" i="62"/>
  <c r="O179" i="62"/>
  <c r="O175" i="62"/>
  <c r="O171" i="62"/>
  <c r="O167" i="62"/>
  <c r="O163" i="62"/>
  <c r="O159" i="62"/>
  <c r="O155" i="62"/>
  <c r="O150" i="62"/>
  <c r="O146" i="62"/>
  <c r="O191" i="62"/>
  <c r="O140" i="62"/>
  <c r="O136" i="62"/>
  <c r="O132" i="62"/>
  <c r="O128" i="62"/>
  <c r="O123" i="62"/>
  <c r="O119" i="62"/>
  <c r="O115" i="62"/>
  <c r="O111" i="62"/>
  <c r="O107" i="62"/>
  <c r="O103" i="62"/>
  <c r="O99" i="62"/>
  <c r="O95" i="62"/>
  <c r="O91" i="62"/>
  <c r="O87" i="62"/>
  <c r="O82" i="62"/>
  <c r="O78" i="62"/>
  <c r="O74" i="62"/>
  <c r="O70" i="62"/>
  <c r="O66" i="62"/>
  <c r="O62" i="62"/>
  <c r="O58" i="62"/>
  <c r="O54" i="62"/>
  <c r="O50" i="62"/>
  <c r="O46" i="62"/>
  <c r="O42" i="62"/>
  <c r="O37" i="62"/>
  <c r="O33" i="62"/>
  <c r="O29" i="62"/>
  <c r="O25" i="62"/>
  <c r="O21" i="62"/>
  <c r="O17" i="62"/>
  <c r="O13" i="62"/>
  <c r="O212" i="62"/>
  <c r="O190" i="62"/>
  <c r="O174" i="62"/>
  <c r="O149" i="62"/>
  <c r="O131" i="62"/>
  <c r="O118" i="62"/>
  <c r="O102" i="62"/>
  <c r="O86" i="62"/>
  <c r="O77" i="62"/>
  <c r="O65" i="62"/>
  <c r="O49" i="62"/>
  <c r="O28" i="62"/>
  <c r="O12" i="62"/>
  <c r="O211" i="62"/>
  <c r="O207" i="62"/>
  <c r="O203" i="62"/>
  <c r="O199" i="62"/>
  <c r="O195" i="62"/>
  <c r="O189" i="62"/>
  <c r="O185" i="62"/>
  <c r="O181" i="62"/>
  <c r="O177" i="62"/>
  <c r="O173" i="62"/>
  <c r="O169" i="62"/>
  <c r="O165" i="62"/>
  <c r="O161" i="62"/>
  <c r="O157" i="62"/>
  <c r="O152" i="62"/>
  <c r="O148" i="62"/>
  <c r="O194" i="62"/>
  <c r="O142" i="62"/>
  <c r="O138" i="62"/>
  <c r="O134" i="62"/>
  <c r="O130" i="62"/>
  <c r="O126" i="62"/>
  <c r="O121" i="62"/>
  <c r="O117" i="62"/>
  <c r="O113" i="62"/>
  <c r="O109" i="62"/>
  <c r="O105" i="62"/>
  <c r="O101" i="62"/>
  <c r="O97" i="62"/>
  <c r="O93" i="62"/>
  <c r="O89" i="62"/>
  <c r="O84" i="62"/>
  <c r="O80" i="62"/>
  <c r="O76" i="62"/>
  <c r="O72" i="62"/>
  <c r="O68" i="62"/>
  <c r="O64" i="62"/>
  <c r="O60" i="62"/>
  <c r="O56" i="62"/>
  <c r="O52" i="62"/>
  <c r="O48" i="62"/>
  <c r="O44" i="62"/>
  <c r="O39" i="62"/>
  <c r="O35" i="62"/>
  <c r="O31" i="62"/>
  <c r="O27" i="62"/>
  <c r="O23" i="62"/>
  <c r="O19" i="62"/>
  <c r="O15" i="62"/>
  <c r="O11" i="62"/>
  <c r="O204" i="62"/>
  <c r="O200" i="62"/>
  <c r="O186" i="62"/>
  <c r="O182" i="62"/>
  <c r="O170" i="62"/>
  <c r="O166" i="62"/>
  <c r="O158" i="62"/>
  <c r="O153" i="62"/>
  <c r="O143" i="62"/>
  <c r="O135" i="62"/>
  <c r="O127" i="62"/>
  <c r="O114" i="62"/>
  <c r="O106" i="62"/>
  <c r="O98" i="62"/>
  <c r="O94" i="62"/>
  <c r="O81" i="62"/>
  <c r="O73" i="62"/>
  <c r="O61" i="62"/>
  <c r="O57" i="62"/>
  <c r="O45" i="62"/>
  <c r="O40" i="62"/>
  <c r="O32" i="62"/>
  <c r="O24" i="62"/>
  <c r="O16" i="62"/>
  <c r="U338" i="61"/>
  <c r="U334" i="61"/>
  <c r="U330" i="61"/>
  <c r="U326" i="61"/>
  <c r="U322" i="61"/>
  <c r="U318" i="61"/>
  <c r="U314" i="61"/>
  <c r="U310" i="61"/>
  <c r="U306" i="61"/>
  <c r="U302" i="61"/>
  <c r="U298" i="61"/>
  <c r="U294" i="61"/>
  <c r="U290" i="61"/>
  <c r="U286" i="61"/>
  <c r="U282" i="61"/>
  <c r="U278" i="61"/>
  <c r="U274" i="61"/>
  <c r="U270" i="61"/>
  <c r="U266" i="61"/>
  <c r="U262" i="61"/>
  <c r="U258" i="61"/>
  <c r="U253" i="61"/>
  <c r="U249" i="61"/>
  <c r="U244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6" i="61"/>
  <c r="U22" i="61"/>
  <c r="U18" i="61"/>
  <c r="U14" i="61"/>
  <c r="U148" i="61"/>
  <c r="U132" i="61"/>
  <c r="U116" i="61"/>
  <c r="U108" i="61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1" i="61"/>
  <c r="U257" i="61"/>
  <c r="U252" i="61"/>
  <c r="U247" i="61"/>
  <c r="U243" i="61"/>
  <c r="U238" i="61"/>
  <c r="U234" i="61"/>
  <c r="U230" i="61"/>
  <c r="U226" i="61"/>
  <c r="U222" i="61"/>
  <c r="U218" i="61"/>
  <c r="U214" i="61"/>
  <c r="U210" i="61"/>
  <c r="U206" i="61"/>
  <c r="U202" i="61"/>
  <c r="U198" i="61"/>
  <c r="U194" i="61"/>
  <c r="U190" i="61"/>
  <c r="U186" i="61"/>
  <c r="U182" i="61"/>
  <c r="U178" i="61"/>
  <c r="U174" i="61"/>
  <c r="U170" i="61"/>
  <c r="U166" i="61"/>
  <c r="U162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81" i="61"/>
  <c r="U77" i="61"/>
  <c r="U73" i="61"/>
  <c r="U69" i="61"/>
  <c r="U65" i="61"/>
  <c r="U61" i="61"/>
  <c r="U57" i="61"/>
  <c r="U53" i="61"/>
  <c r="U49" i="61"/>
  <c r="U45" i="61"/>
  <c r="U41" i="61"/>
  <c r="U37" i="61"/>
  <c r="U33" i="61"/>
  <c r="U29" i="61"/>
  <c r="U25" i="61"/>
  <c r="U21" i="61"/>
  <c r="U17" i="61"/>
  <c r="U13" i="61"/>
  <c r="U144" i="61"/>
  <c r="U128" i="61"/>
  <c r="U124" i="61"/>
  <c r="U112" i="61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4" i="61"/>
  <c r="U260" i="61"/>
  <c r="U255" i="61"/>
  <c r="U251" i="61"/>
  <c r="U246" i="61"/>
  <c r="U241" i="61"/>
  <c r="U237" i="61"/>
  <c r="U233" i="61"/>
  <c r="U229" i="61"/>
  <c r="U225" i="61"/>
  <c r="U221" i="61"/>
  <c r="U217" i="61"/>
  <c r="U213" i="61"/>
  <c r="U209" i="61"/>
  <c r="U205" i="61"/>
  <c r="U201" i="61"/>
  <c r="U197" i="61"/>
  <c r="U193" i="61"/>
  <c r="U189" i="61"/>
  <c r="U185" i="61"/>
  <c r="U181" i="61"/>
  <c r="U177" i="61"/>
  <c r="U173" i="61"/>
  <c r="U169" i="61"/>
  <c r="U165" i="61"/>
  <c r="U161" i="61"/>
  <c r="U156" i="61"/>
  <c r="U152" i="61"/>
  <c r="U140" i="61"/>
  <c r="U136" i="61"/>
  <c r="U120" i="61"/>
  <c r="U335" i="61"/>
  <c r="U331" i="61"/>
  <c r="U327" i="61"/>
  <c r="U323" i="61"/>
  <c r="U319" i="61"/>
  <c r="U315" i="61"/>
  <c r="U311" i="61"/>
  <c r="U307" i="61"/>
  <c r="U303" i="61"/>
  <c r="U299" i="61"/>
  <c r="U295" i="61"/>
  <c r="U291" i="61"/>
  <c r="U287" i="61"/>
  <c r="U283" i="61"/>
  <c r="U279" i="61"/>
  <c r="U275" i="61"/>
  <c r="U271" i="61"/>
  <c r="U267" i="61"/>
  <c r="U263" i="61"/>
  <c r="U259" i="61"/>
  <c r="U254" i="61"/>
  <c r="U250" i="61"/>
  <c r="U245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04" i="61"/>
  <c r="U88" i="61"/>
  <c r="U72" i="61"/>
  <c r="U56" i="61"/>
  <c r="U40" i="61"/>
  <c r="U24" i="61"/>
  <c r="U15" i="61"/>
  <c r="U100" i="61"/>
  <c r="U68" i="61"/>
  <c r="U52" i="61"/>
  <c r="U36" i="61"/>
  <c r="U20" i="61"/>
  <c r="U12" i="61"/>
  <c r="U80" i="61"/>
  <c r="U32" i="61"/>
  <c r="U84" i="61"/>
  <c r="U64" i="61"/>
  <c r="U48" i="61"/>
  <c r="U19" i="61"/>
  <c r="U11" i="61"/>
  <c r="U96" i="61"/>
  <c r="U92" i="61"/>
  <c r="U76" i="61"/>
  <c r="U60" i="61"/>
  <c r="U44" i="61"/>
  <c r="U28" i="61"/>
  <c r="U16" i="61"/>
  <c r="R59" i="59"/>
  <c r="R54" i="59"/>
  <c r="R50" i="59"/>
  <c r="R46" i="59"/>
  <c r="R42" i="59"/>
  <c r="R37" i="59"/>
  <c r="R33" i="59"/>
  <c r="R29" i="59"/>
  <c r="R24" i="59"/>
  <c r="R20" i="59"/>
  <c r="R16" i="59"/>
  <c r="R12" i="59"/>
  <c r="R57" i="59"/>
  <c r="R49" i="59"/>
  <c r="R45" i="59"/>
  <c r="R40" i="59"/>
  <c r="R36" i="59"/>
  <c r="R32" i="59"/>
  <c r="R28" i="59"/>
  <c r="R23" i="59"/>
  <c r="R19" i="59"/>
  <c r="R15" i="59"/>
  <c r="R11" i="59"/>
  <c r="R56" i="59"/>
  <c r="R52" i="59"/>
  <c r="R48" i="59"/>
  <c r="R44" i="59"/>
  <c r="R39" i="59"/>
  <c r="R35" i="59"/>
  <c r="R31" i="59"/>
  <c r="R27" i="59"/>
  <c r="R22" i="59"/>
  <c r="R18" i="59"/>
  <c r="R14" i="59"/>
  <c r="R60" i="59"/>
  <c r="R55" i="59"/>
  <c r="R51" i="59"/>
  <c r="R47" i="59"/>
  <c r="R43" i="59"/>
  <c r="R38" i="59"/>
  <c r="R34" i="59"/>
  <c r="R30" i="59"/>
  <c r="R25" i="59"/>
  <c r="R17" i="59"/>
  <c r="R13" i="59"/>
  <c r="R53" i="59"/>
  <c r="R21" i="59"/>
  <c r="D41" i="88"/>
  <c r="D40" i="88"/>
  <c r="D42" i="88"/>
  <c r="D23" i="88"/>
  <c r="D28" i="88"/>
  <c r="D27" i="88"/>
  <c r="D17" i="88"/>
  <c r="D35" i="88"/>
  <c r="D31" i="88"/>
  <c r="D18" i="88"/>
  <c r="D34" i="88"/>
  <c r="D38" i="88"/>
  <c r="D21" i="88"/>
  <c r="D37" i="88"/>
  <c r="D12" i="88"/>
  <c r="D19" i="88"/>
  <c r="D20" i="88"/>
  <c r="D13" i="88"/>
  <c r="D16" i="88"/>
  <c r="D15" i="88"/>
  <c r="D26" i="88"/>
  <c r="D24" i="88"/>
  <c r="D33" i="88"/>
  <c r="D11" i="88"/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9">
    <s v="Migdal Hashkaot Neches Boded"/>
    <s v="{[Time].[Hie Time].[Yom].&amp;[20191231]}"/>
    <s v="{[Medida].[Medida].&amp;[2]}"/>
    <s v="{[Keren].[Keren].[All]}"/>
    <s v="{[Cheshbon KM].[Hie Peilut].[Peilut 7].&amp;[Kod_Peilut_L7_306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3]&amp;[NechesBoded_L2_102]&amp;[NechesBoded_L1_101]"/>
    <s v="[Neches].[Hie Neches Boded].[Neches Boded L3].&amp;[NechesBoded_L3_115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28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3" si="18">
        <n x="1" s="1"/>
        <n x="16"/>
        <n x="17"/>
      </t>
    </mdx>
    <mdx n="0" f="v">
      <t c="3" si="18">
        <n x="1" s="1"/>
        <n x="19"/>
        <n x="17"/>
      </t>
    </mdx>
    <mdx n="0" f="v">
      <t c="3" si="18">
        <n x="1" s="1"/>
        <n x="20"/>
        <n x="17"/>
      </t>
    </mdx>
    <mdx n="0" f="v">
      <t c="3" si="18">
        <n x="1" s="1"/>
        <n x="21"/>
        <n x="17"/>
      </t>
    </mdx>
    <mdx n="0" f="v">
      <t c="3" si="18">
        <n x="1" s="1"/>
        <n x="22"/>
        <n x="17"/>
      </t>
    </mdx>
    <mdx n="0" f="v">
      <t c="3" si="18">
        <n x="1" s="1"/>
        <n x="23"/>
        <n x="17"/>
      </t>
    </mdx>
    <mdx n="0" f="v">
      <t c="3" si="18">
        <n x="1" s="1"/>
        <n x="24"/>
        <n x="17"/>
      </t>
    </mdx>
    <mdx n="0" f="v">
      <t c="3" si="18">
        <n x="1" s="1"/>
        <n x="25"/>
        <n x="17"/>
      </t>
    </mdx>
    <mdx n="0" f="v">
      <t c="3" si="18">
        <n x="1" s="1"/>
        <n x="26"/>
        <n x="17"/>
      </t>
    </mdx>
    <mdx n="0" f="v">
      <t c="3" si="18">
        <n x="1" s="1"/>
        <n x="27"/>
        <n x="17"/>
      </t>
    </mdx>
    <mdx n="0" f="v">
      <t c="3" si="18">
        <n x="1" s="1"/>
        <n x="28"/>
        <n x="17"/>
      </t>
    </mdx>
  </mdxMetadata>
  <valueMetadata count="2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</valueMetadata>
</metadata>
</file>

<file path=xl/sharedStrings.xml><?xml version="1.0" encoding="utf-8"?>
<sst xmlns="http://schemas.openxmlformats.org/spreadsheetml/2006/main" count="10820" uniqueCount="3149">
  <si>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</si>
  <si>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</si>
  <si>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</si>
  <si>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</si>
  <si>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</si>
  <si>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</si>
  <si>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</si>
  <si>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</si>
  <si>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</si>
  <si>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</si>
  <si>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</si>
  <si>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</si>
  <si>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</si>
  <si>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</si>
  <si>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</si>
  <si>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</si>
  <si>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</si>
  <si>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</si>
  <si>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</si>
  <si>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</si>
  <si>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</si>
  <si>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</si>
  <si>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</si>
  <si>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</si>
  <si>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</si>
  <si>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</si>
  <si>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</si>
  <si>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</si>
  <si>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</si>
  <si>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</si>
  <si>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</si>
  <si>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</si>
  <si>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</si>
  <si>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</si>
  <si>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</si>
  <si>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</si>
  <si>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</si>
  <si>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</si>
  <si>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</si>
  <si>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</si>
  <si>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</si>
  <si>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</si>
  <si>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</si>
  <si>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</si>
  <si>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</si>
  <si>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</si>
  <si>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</si>
  <si>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</si>
  <si>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</si>
  <si>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</si>
  <si>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</si>
  <si>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</si>
  <si>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</si>
  <si>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</si>
  <si>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</si>
  <si>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</si>
  <si>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</si>
  <si>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</si>
  <si>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</si>
  <si>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</si>
  <si>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</si>
  <si>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</si>
  <si>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</si>
  <si>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</si>
  <si>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</si>
  <si>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</si>
  <si>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</si>
  <si>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</si>
  <si>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</si>
  <si>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</si>
  <si>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</si>
  <si>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</si>
  <si>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ערד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</si>
  <si>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</si>
  <si>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</si>
  <si>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</si>
  <si>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</si>
  <si>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</si>
  <si>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</si>
  <si>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</si>
  <si>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</si>
  <si>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</si>
  <si>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</si>
  <si>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</si>
  <si>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</si>
  <si>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</si>
  <si>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</si>
  <si>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</si>
  <si>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</si>
  <si>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</si>
  <si>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</si>
  <si>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</si>
  <si>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</si>
  <si>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</si>
  <si>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</si>
  <si>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</si>
  <si>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</si>
  <si>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</si>
  <si>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</si>
  <si>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</si>
  <si>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</si>
  <si>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</si>
  <si>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</si>
  <si>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</si>
  <si>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</si>
  <si>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</si>
  <si>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</si>
  <si>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</si>
  <si>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</si>
  <si>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</si>
  <si>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</si>
  <si>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</si>
  <si>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</si>
  <si>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</si>
  <si>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</si>
  <si>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</si>
  <si>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</si>
  <si>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</si>
  <si>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</si>
  <si>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</si>
  <si>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</si>
  <si>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</si>
  <si>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</si>
  <si>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</si>
  <si>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</si>
  <si>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</si>
  <si>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</si>
  <si>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</si>
  <si>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</si>
  <si>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</si>
  <si>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</si>
  <si>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</si>
  <si>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</si>
  <si>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</si>
  <si>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</si>
  <si>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</si>
  <si>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</si>
  <si>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</si>
  <si>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</si>
  <si>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</si>
  <si>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</si>
  <si>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</si>
  <si>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</si>
  <si>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</si>
  <si>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</si>
  <si>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</si>
  <si>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</si>
  <si>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</si>
  <si>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</si>
  <si>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</si>
  <si>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</si>
  <si>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</si>
  <si>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</si>
  <si>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</si>
  <si>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</si>
  <si>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</si>
  <si>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</si>
  <si>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</si>
  <si>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</si>
  <si>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</si>
  <si>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</si>
  <si>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</si>
  <si>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</si>
  <si>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</si>
  <si>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</si>
  <si>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</si>
  <si>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</si>
  <si>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</si>
  <si>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</si>
  <si>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</si>
  <si>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</si>
  <si>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</si>
  <si>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</si>
  <si>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</si>
  <si>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</si>
  <si>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</si>
  <si>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</si>
  <si>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</si>
  <si>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</si>
  <si>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</si>
  <si>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</si>
  <si>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</si>
  <si>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</si>
  <si>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</si>
  <si>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</si>
  <si>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</si>
  <si>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</si>
  <si>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</si>
  <si>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</si>
  <si>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</si>
  <si>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</si>
  <si>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</si>
  <si>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</si>
  <si>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</si>
  <si>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</si>
  <si>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</si>
  <si>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</si>
  <si>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</si>
  <si>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</si>
  <si>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</si>
  <si>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</si>
  <si>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</si>
  <si>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</si>
  <si>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</si>
  <si>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</si>
  <si>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</si>
  <si>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</si>
  <si>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</si>
  <si>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</si>
  <si>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</si>
  <si>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</si>
  <si>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</si>
  <si>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</si>
  <si>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</si>
  <si>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</si>
  <si>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</si>
  <si>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</si>
  <si>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</si>
  <si>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</si>
  <si>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</si>
  <si>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</si>
  <si>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</si>
  <si>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</si>
  <si>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</si>
  <si>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</si>
  <si>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</si>
  <si>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</si>
  <si>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</si>
  <si>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אג"ח קונצרני לא סחיר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</si>
  <si>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</si>
  <si>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</si>
  <si>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</si>
  <si>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</si>
  <si>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</si>
  <si>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</si>
  <si>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</si>
  <si>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</si>
  <si>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</si>
  <si>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</si>
  <si>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</si>
  <si>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</si>
  <si>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</si>
  <si>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</si>
  <si>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</si>
  <si>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</si>
  <si>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</si>
  <si>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</si>
  <si>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</si>
  <si>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</si>
  <si>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</si>
  <si>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</si>
  <si>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</si>
  <si>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</si>
  <si>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</si>
  <si>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</si>
  <si>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</si>
  <si>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</si>
  <si>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</si>
  <si>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</si>
  <si>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</si>
  <si>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</si>
  <si>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</si>
  <si>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</si>
  <si>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</si>
  <si>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</si>
  <si>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</si>
  <si>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</si>
  <si>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</si>
  <si>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</si>
  <si>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</si>
  <si>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</si>
  <si>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</si>
  <si>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</si>
  <si>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</si>
  <si>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</si>
  <si>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אישית (מספר אוצר 162) - מסלול כללי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</si>
  <si>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</si>
  <si>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</si>
  <si>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</si>
  <si>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</si>
  <si>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</si>
  <si>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</si>
  <si>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</si>
  <si>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</si>
  <si>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</si>
  <si>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</si>
  <si>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</si>
  <si>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</si>
  <si>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</si>
  <si>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</si>
  <si>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</si>
  <si>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</si>
  <si>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</si>
  <si>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</si>
  <si>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</si>
  <si>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</si>
  <si>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</si>
  <si>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</si>
  <si>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</si>
  <si>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</si>
  <si>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</si>
  <si>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</si>
  <si>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</si>
  <si>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</si>
  <si>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</si>
  <si>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</si>
  <si>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</si>
  <si>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</si>
  <si>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</si>
  <si>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</si>
  <si>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</si>
  <si>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</si>
  <si>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</si>
  <si>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</si>
  <si>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</si>
  <si>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</si>
  <si>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</si>
  <si>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</si>
  <si>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</si>
  <si>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</si>
  <si>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</si>
  <si>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</si>
  <si>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</si>
  <si>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</si>
  <si>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</si>
  <si>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</si>
  <si>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</si>
  <si>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</si>
  <si>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</si>
  <si>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</si>
  <si>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</si>
  <si>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</si>
  <si>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</si>
  <si>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</si>
  <si>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</si>
  <si>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</si>
  <si>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</si>
  <si>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</si>
  <si>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</si>
  <si>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</si>
  <si>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</si>
  <si>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</si>
  <si>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</si>
  <si>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</si>
  <si>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</si>
  <si>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</si>
  <si>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</si>
  <si>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</si>
  <si>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</si>
  <si>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</si>
  <si>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</si>
  <si>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</si>
  <si>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</si>
  <si>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</si>
  <si>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</si>
  <si>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</si>
  <si>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</si>
  <si>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</si>
  <si>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</si>
  <si>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</si>
  <si>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</si>
  <si>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</si>
  <si>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</si>
  <si>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</si>
  <si>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</si>
  <si>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</si>
  <si>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</si>
  <si>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</si>
  <si>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</si>
  <si>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</si>
  <si>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</si>
  <si>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</si>
  <si>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</si>
  <si>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</si>
  <si>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</si>
  <si>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</si>
  <si>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</si>
  <si>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</si>
  <si>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</si>
  <si>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</si>
  <si>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</si>
  <si>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</si>
  <si>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</si>
  <si>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</si>
  <si>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</si>
  <si>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</si>
  <si>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</si>
  <si>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</si>
  <si>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</si>
  <si>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</si>
  <si>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</si>
  <si>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</si>
  <si>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</si>
  <si>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</si>
  <si>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</si>
  <si>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</si>
  <si>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</si>
  <si>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</si>
  <si>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</si>
  <si>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</si>
  <si>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</si>
  <si>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</si>
  <si>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</si>
  <si>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</si>
  <si>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</si>
  <si>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</si>
  <si>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</si>
  <si>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</si>
  <si>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</si>
  <si>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</si>
  <si>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</si>
  <si>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</si>
  <si>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</si>
  <si>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</si>
  <si>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</si>
  <si>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</si>
  <si>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</si>
  <si>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</si>
  <si>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</si>
  <si>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</si>
  <si>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</si>
  <si>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</si>
  <si>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</si>
  <si>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</si>
  <si>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</si>
  <si>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</si>
  <si>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</si>
  <si>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</si>
  <si>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</si>
  <si>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</si>
  <si>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</si>
  <si>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</si>
  <si>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</si>
  <si>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</si>
  <si>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</si>
  <si>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</si>
  <si>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</si>
  <si>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</si>
  <si>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</si>
  <si>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</si>
  <si>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</si>
  <si>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</si>
  <si>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</si>
  <si>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</si>
  <si>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</si>
  <si>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</si>
  <si>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</si>
  <si>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</si>
  <si>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</si>
  <si>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</si>
  <si>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</si>
  <si>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</si>
  <si>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</si>
  <si>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</si>
  <si>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</si>
  <si>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</si>
  <si>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</si>
  <si>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</si>
  <si>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</si>
  <si>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</si>
  <si>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</si>
  <si>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</si>
  <si>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</si>
  <si>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</si>
  <si>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</si>
  <si>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</si>
  <si>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</si>
  <si>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</si>
  <si>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</si>
  <si>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</si>
  <si>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</si>
  <si>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</si>
  <si>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</si>
  <si>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</si>
  <si>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</si>
  <si>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</si>
  <si>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</si>
  <si>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</si>
  <si>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</si>
  <si>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</si>
  <si>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</si>
  <si>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</si>
  <si>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</si>
  <si>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</si>
  <si>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</si>
  <si>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</si>
  <si>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</si>
  <si>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</si>
  <si>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</si>
  <si>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</si>
  <si>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</si>
  <si>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</si>
  <si>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</si>
  <si>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</si>
  <si>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</si>
  <si>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</si>
  <si>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</si>
  <si>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</si>
  <si>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</si>
  <si>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</si>
  <si>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</si>
  <si>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</si>
  <si>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</si>
  <si>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</si>
  <si>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</si>
  <si>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</si>
  <si>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</si>
  <si>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</si>
  <si>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</si>
  <si>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</si>
  <si>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</si>
  <si>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</si>
  <si>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</si>
  <si>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</si>
  <si>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</si>
  <si>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</si>
  <si>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</si>
  <si>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</si>
  <si>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</si>
  <si>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</si>
  <si>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</si>
  <si>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</si>
  <si>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</si>
  <si>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</si>
  <si>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</si>
  <si>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</si>
  <si>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</si>
  <si>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</si>
  <si>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</si>
  <si>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</si>
  <si>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</si>
  <si>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</si>
  <si>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</si>
  <si>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</si>
  <si>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</si>
  <si>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</si>
  <si>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</si>
  <si>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</si>
  <si>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</si>
  <si>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</si>
  <si>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</si>
  <si>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</si>
  <si>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</si>
  <si>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</si>
  <si>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</si>
  <si>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</si>
  <si>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</si>
  <si>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</si>
  <si>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</si>
  <si>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</si>
  <si>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</si>
  <si>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</si>
  <si>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</si>
  <si>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</si>
  <si>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</si>
  <si>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</si>
  <si>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</si>
  <si>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</si>
  <si>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</si>
  <si>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</si>
  <si>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</si>
  <si>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</si>
  <si>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</si>
  <si>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</si>
  <si>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</si>
  <si>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</si>
  <si>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</si>
  <si>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</si>
  <si>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</si>
  <si>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</si>
  <si>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</si>
  <si>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</si>
  <si>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</si>
  <si>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</si>
  <si>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</si>
  <si>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</si>
  <si>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</si>
  <si>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</si>
  <si>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</si>
  <si>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</si>
  <si>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</si>
  <si>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</si>
  <si>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</si>
  <si>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</si>
  <si>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</si>
  <si>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</si>
  <si>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</si>
  <si>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</si>
  <si>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</si>
  <si>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</si>
  <si>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</si>
  <si>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</si>
  <si>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</si>
  <si>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</si>
  <si>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</si>
  <si>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</si>
  <si>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</si>
  <si>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</si>
  <si>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</si>
  <si>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</si>
  <si>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</si>
  <si>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</si>
  <si>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</si>
  <si>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</si>
  <si>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</si>
  <si>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</si>
  <si>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</si>
  <si>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</si>
  <si>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</si>
  <si>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</si>
  <si>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</si>
  <si>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</si>
  <si>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</si>
  <si>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</si>
  <si>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</si>
  <si>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</si>
  <si>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</si>
  <si>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</si>
  <si>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</si>
  <si>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</si>
  <si>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</si>
  <si>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</si>
  <si>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</si>
  <si>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</si>
  <si>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</si>
  <si>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</si>
  <si>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</si>
  <si>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</si>
  <si>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</si>
  <si>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</si>
  <si>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</si>
  <si>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</si>
  <si>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</si>
  <si>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</si>
  <si>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</si>
  <si>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</si>
  <si>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</si>
  <si>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</si>
  <si>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</si>
  <si>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</si>
  <si>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</si>
  <si>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</si>
  <si>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</si>
  <si>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</si>
  <si>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</si>
  <si>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</si>
  <si>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</si>
  <si>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</si>
  <si>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</si>
  <si>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</si>
  <si>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</si>
  <si>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</si>
  <si>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</si>
  <si>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</si>
  <si>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</si>
  <si>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</si>
  <si>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</si>
  <si>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</si>
  <si>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</si>
  <si>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</si>
  <si>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</si>
  <si>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</si>
  <si>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</si>
  <si>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</si>
  <si>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</si>
  <si>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</si>
  <si>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</si>
  <si>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</si>
  <si>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</si>
  <si>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</si>
  <si>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</si>
  <si>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</si>
  <si>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</si>
  <si>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</si>
  <si>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</si>
  <si>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</si>
  <si>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</si>
  <si>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</si>
  <si>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</si>
  <si>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</si>
  <si>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</si>
  <si>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</si>
  <si>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</si>
  <si>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</si>
  <si>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</si>
  <si>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</si>
  <si>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</si>
  <si>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</si>
  <si>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</si>
  <si>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</si>
  <si>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</si>
  <si>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</si>
  <si>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</si>
  <si>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</si>
  <si>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</si>
  <si>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</si>
  <si>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</si>
  <si>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</si>
  <si>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</si>
  <si>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</si>
  <si>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</si>
  <si>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</si>
  <si>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</si>
  <si>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</si>
  <si>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</si>
  <si>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</si>
  <si>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</si>
  <si>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</si>
  <si>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</si>
  <si>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</si>
  <si>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</si>
  <si>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</si>
  <si>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</si>
  <si>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</si>
  <si>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</si>
  <si>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</si>
  <si>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</si>
  <si>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</si>
  <si>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</si>
  <si>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</si>
  <si>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</si>
  <si>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</si>
  <si>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</si>
  <si>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</si>
  <si>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</si>
  <si>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</si>
  <si>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</si>
  <si>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</si>
  <si>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</si>
  <si>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</si>
  <si>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</si>
  <si>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</si>
  <si>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</si>
  <si>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</si>
  <si>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</si>
  <si>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</si>
  <si>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</si>
  <si>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</si>
  <si>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</si>
  <si>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</si>
  <si>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</si>
  <si>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</si>
  <si>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</si>
  <si>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</si>
  <si>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</si>
  <si>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</si>
  <si>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</si>
  <si>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</si>
  <si>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</si>
  <si>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</si>
  <si>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</si>
  <si>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</si>
  <si>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</si>
  <si>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</si>
  <si>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</si>
  <si>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</si>
  <si>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</si>
  <si>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</si>
  <si>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</si>
  <si>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</si>
  <si>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</si>
  <si>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</si>
  <si>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</si>
  <si>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</si>
  <si>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</si>
  <si>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</si>
  <si>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</si>
  <si>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</si>
  <si>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</si>
  <si>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</si>
  <si>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</si>
  <si>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</si>
  <si>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</si>
  <si>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</si>
  <si>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</si>
  <si>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</si>
  <si>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</si>
  <si>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</si>
  <si>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</si>
  <si>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</si>
  <si>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</si>
  <si>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</si>
  <si>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</si>
  <si>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</si>
  <si>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</si>
  <si>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</si>
  <si>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</si>
  <si>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</si>
  <si>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</si>
  <si>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</si>
  <si>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</si>
  <si>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</si>
  <si>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</si>
  <si>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</si>
  <si>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</si>
  <si>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</si>
  <si>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</si>
  <si>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</si>
  <si>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</si>
  <si>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</si>
  <si>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</si>
  <si>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</si>
  <si>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</si>
  <si>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</si>
  <si>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</si>
  <si>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</si>
  <si>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</si>
  <si>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</si>
  <si>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</si>
  <si>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</si>
  <si>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</si>
  <si>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</si>
  <si>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</si>
  <si>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</si>
  <si>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</si>
  <si>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</si>
  <si>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</si>
  <si>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</si>
  <si>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</si>
  <si>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</si>
  <si>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</si>
  <si>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</si>
  <si>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</si>
  <si>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</si>
  <si>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</si>
  <si>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</si>
  <si>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</si>
  <si>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</si>
  <si>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</si>
  <si>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</si>
  <si>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</si>
  <si>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</si>
  <si>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</si>
  <si>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</si>
  <si>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</si>
  <si>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</si>
  <si>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</si>
  <si>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</si>
  <si>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</si>
  <si>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</si>
  <si>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</si>
  <si>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</si>
  <si>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</si>
  <si>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</si>
  <si>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</si>
  <si>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</si>
  <si>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</si>
  <si>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</si>
  <si>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</si>
  <si>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</si>
  <si>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</si>
  <si>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</si>
  <si>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</si>
  <si>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</si>
  <si>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</si>
  <si>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</si>
  <si>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</si>
  <si>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</si>
  <si>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</si>
  <si>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</si>
  <si>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</si>
  <si>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</si>
  <si>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</si>
  <si>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</si>
  <si>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</si>
  <si>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</si>
  <si>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</si>
  <si>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</si>
  <si>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</si>
  <si>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</si>
  <si>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</si>
  <si>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</si>
  <si>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</si>
  <si>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</si>
  <si>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</si>
  <si>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</si>
  <si>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</si>
  <si>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</si>
  <si>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</si>
  <si>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</si>
  <si>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</si>
  <si>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</si>
  <si>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</si>
  <si>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</si>
  <si>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</si>
  <si>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</si>
  <si>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</si>
  <si>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</si>
  <si>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</si>
  <si>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</si>
  <si>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</si>
  <si>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</si>
  <si>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</si>
  <si>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</si>
  <si>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</si>
  <si>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</si>
  <si>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</si>
  <si>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</si>
  <si>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</si>
  <si>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</si>
  <si>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</si>
  <si>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</si>
  <si>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</si>
  <si>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</si>
  <si>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</si>
  <si>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</si>
  <si>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</si>
  <si>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</si>
  <si>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</si>
  <si>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</si>
  <si>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</si>
  <si>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</si>
  <si>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</si>
  <si>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</si>
  <si>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</si>
  <si>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</si>
  <si>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</si>
  <si>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</si>
  <si>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</si>
  <si>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</si>
  <si>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</si>
  <si>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</si>
  <si>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</si>
  <si>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</si>
  <si>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</si>
  <si>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</si>
  <si>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</si>
  <si>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</si>
  <si>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</si>
  <si>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</si>
  <si>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</si>
  <si>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</si>
  <si>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</si>
  <si>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</si>
  <si>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</si>
  <si>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</si>
  <si>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</si>
  <si>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</si>
  <si>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</si>
  <si>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</si>
  <si>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</si>
  <si>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</si>
  <si>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</si>
  <si>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</si>
  <si>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</si>
  <si>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</si>
  <si>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</si>
  <si>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</si>
  <si>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</si>
  <si>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</si>
  <si>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</si>
  <si>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</si>
  <si>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</si>
  <si>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</si>
  <si>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</si>
  <si>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</si>
  <si>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</si>
  <si>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</si>
  <si>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</si>
  <si>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</si>
  <si>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</si>
  <si>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</si>
  <si>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</si>
  <si>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</si>
  <si>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</si>
  <si>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</si>
  <si>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</si>
  <si>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</si>
  <si>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</si>
  <si>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</si>
  <si>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</si>
  <si>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</si>
  <si>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</si>
  <si>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</si>
  <si>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</si>
  <si>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</si>
  <si>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</si>
  <si>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</si>
  <si>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</si>
  <si>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</si>
  <si>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</si>
  <si>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</si>
  <si>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</si>
  <si>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</si>
  <si>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</si>
  <si>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</si>
  <si>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</si>
  <si>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</si>
  <si>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</si>
  <si>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</si>
  <si>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</si>
  <si>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</si>
  <si>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</si>
  <si>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</si>
  <si>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</si>
  <si>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</si>
  <si>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</si>
  <si>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</si>
  <si>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</si>
  <si>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</si>
  <si>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</si>
  <si>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</si>
  <si>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</si>
  <si>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</si>
  <si>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</si>
  <si>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</si>
  <si>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</si>
  <si>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</si>
  <si>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</si>
  <si>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</si>
  <si>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</si>
  <si>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</si>
  <si>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</si>
  <si>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</si>
  <si>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</si>
  <si>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</si>
  <si>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</si>
  <si>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</si>
  <si>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</si>
  <si>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</si>
  <si>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</si>
  <si>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</si>
  <si>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</si>
  <si>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</si>
  <si>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</si>
  <si>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</si>
  <si>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</si>
  <si>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</si>
  <si>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</si>
  <si>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</si>
  <si>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</si>
  <si>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</si>
  <si>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</si>
  <si>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</si>
  <si>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</si>
  <si>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</si>
  <si>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</si>
  <si>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</si>
  <si>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</si>
  <si>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</si>
  <si>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</si>
  <si>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</si>
  <si>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</si>
  <si>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</si>
  <si>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</si>
  <si>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</si>
  <si>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</si>
  <si>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</si>
  <si>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</si>
  <si>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</si>
  <si>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</si>
  <si>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</si>
  <si>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</si>
  <si>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</si>
  <si>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</si>
  <si>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</si>
  <si>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</si>
  <si>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</si>
  <si>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</si>
  <si>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</si>
  <si>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</si>
  <si>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</si>
  <si>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</si>
  <si>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</si>
  <si>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</si>
  <si>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</si>
  <si>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</si>
  <si>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</si>
  <si>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</si>
  <si>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</si>
  <si>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</si>
  <si>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</si>
  <si>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</si>
  <si>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</si>
  <si>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</si>
  <si>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</si>
  <si>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</si>
  <si>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</si>
  <si>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</si>
  <si>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</si>
  <si>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</si>
  <si>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</si>
  <si>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</si>
  <si>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</si>
  <si>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</si>
  <si>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</si>
  <si>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</si>
  <si>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</si>
  <si>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</si>
  <si>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</si>
  <si>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</si>
  <si>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</si>
  <si>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</si>
  <si>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</si>
  <si>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</si>
  <si>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</si>
  <si>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</si>
  <si>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</si>
  <si>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</si>
  <si>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</si>
  <si>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</si>
  <si>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</si>
  <si>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</si>
  <si>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</si>
  <si>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</si>
  <si>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</si>
  <si>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</si>
  <si>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</si>
  <si>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</si>
  <si>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</si>
  <si>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</si>
  <si>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</si>
  <si>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</si>
  <si>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</si>
  <si>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</si>
  <si>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</si>
  <si>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</si>
  <si>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</si>
  <si>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</si>
  <si>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</si>
  <si>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</si>
  <si>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</si>
  <si>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</si>
  <si>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</si>
  <si>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</si>
  <si>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</si>
  <si>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</si>
  <si>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</si>
  <si>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</si>
  <si>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</si>
  <si>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</si>
  <si>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</si>
  <si>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</si>
  <si>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</si>
  <si>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</si>
  <si>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</si>
  <si>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</si>
  <si>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</si>
  <si>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</si>
  <si>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</si>
  <si>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</si>
  <si>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</si>
  <si>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</si>
  <si>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איירפורט סיטי</t>
  </si>
  <si>
    <t>1095835</t>
  </si>
  <si>
    <t>אלביט מערכות</t>
  </si>
  <si>
    <t>1081124</t>
  </si>
  <si>
    <t>אמות</t>
  </si>
  <si>
    <t>1097278</t>
  </si>
  <si>
    <t>אנרגיאן נפט וגז</t>
  </si>
  <si>
    <t>1155290</t>
  </si>
  <si>
    <t>10758801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</si>
  <si>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</si>
  <si>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</si>
  <si>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</si>
  <si>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</si>
  <si>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</si>
  <si>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</si>
  <si>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</si>
  <si>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</si>
  <si>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</si>
  <si>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</si>
  <si>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</si>
  <si>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</si>
  <si>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</si>
  <si>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</si>
  <si>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</si>
  <si>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טאואר</t>
  </si>
  <si>
    <t>1082379</t>
  </si>
  <si>
    <t>520041997</t>
  </si>
  <si>
    <t>מוליכים למחצה</t>
  </si>
  <si>
    <t>טבע</t>
  </si>
  <si>
    <t>629014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</si>
  <si>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</si>
  <si>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</si>
  <si>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</si>
  <si>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</si>
  <si>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</si>
  <si>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</si>
  <si>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</si>
  <si>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</si>
  <si>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</si>
  <si>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</si>
  <si>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</si>
  <si>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פועלים</t>
  </si>
  <si>
    <t>662577</t>
  </si>
  <si>
    <t>פז נפט*</t>
  </si>
  <si>
    <t>1100007</t>
  </si>
  <si>
    <t>פריגו</t>
  </si>
  <si>
    <t>1130699</t>
  </si>
  <si>
    <t>529592</t>
  </si>
  <si>
    <t>קבוצת עזריאלי</t>
  </si>
  <si>
    <t>1119478</t>
  </si>
  <si>
    <t>שופרסל*</t>
  </si>
  <si>
    <t>777037</t>
  </si>
  <si>
    <t>שטראוס גרופ</t>
  </si>
  <si>
    <t>746016</t>
  </si>
  <si>
    <t>שפיר הנדסה*</t>
  </si>
  <si>
    <t>1133875</t>
  </si>
  <si>
    <t>סה"כ תל אביב 90</t>
  </si>
  <si>
    <t>אבגול*</t>
  </si>
  <si>
    <t>1100957</t>
  </si>
  <si>
    <t>510119068</t>
  </si>
  <si>
    <t>עץ,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</si>
  <si>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</si>
  <si>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</si>
  <si>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</si>
  <si>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</si>
  <si>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</si>
  <si>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</si>
  <si>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</si>
  <si>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</si>
  <si>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</si>
  <si>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</si>
  <si>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</si>
  <si>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</si>
  <si>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אלקטרה*</t>
  </si>
  <si>
    <t>739037</t>
  </si>
  <si>
    <t>אנלייט אנרגיה*</t>
  </si>
  <si>
    <t>720011</t>
  </si>
  <si>
    <t>520041146</t>
  </si>
  <si>
    <t>אנרגיקס*</t>
  </si>
  <si>
    <t>1123355</t>
  </si>
  <si>
    <t>513901371</t>
  </si>
  <si>
    <t>אפקון החזקות*</t>
  </si>
  <si>
    <t>578013</t>
  </si>
  <si>
    <t>520033473</t>
  </si>
  <si>
    <t>חשמל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</si>
  <si>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</si>
  <si>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</si>
  <si>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</si>
  <si>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</si>
  <si>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</si>
  <si>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</si>
  <si>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</si>
  <si>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</si>
  <si>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</si>
  <si>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</si>
  <si>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</si>
  <si>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</si>
  <si>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</si>
  <si>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</si>
  <si>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</si>
  <si>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</si>
  <si>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</si>
  <si>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</si>
  <si>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</si>
  <si>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</si>
  <si>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</si>
  <si>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</si>
  <si>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</si>
  <si>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</si>
  <si>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</si>
  <si>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</t>
  </si>
  <si>
    <t>1157403</t>
  </si>
  <si>
    <t>ישראמקו*</t>
  </si>
  <si>
    <t>232017</t>
  </si>
  <si>
    <t>ישרס</t>
  </si>
  <si>
    <t>613034</t>
  </si>
  <si>
    <t>כלל ביטוח</t>
  </si>
  <si>
    <t>224014</t>
  </si>
  <si>
    <t>520036120</t>
  </si>
  <si>
    <t>מבני תעשיה</t>
  </si>
  <si>
    <t>226019</t>
  </si>
  <si>
    <t>מטריקס*</t>
  </si>
  <si>
    <t>445015</t>
  </si>
  <si>
    <t>520039413</t>
  </si>
  <si>
    <t>מיטרוניקס*</t>
  </si>
  <si>
    <t>1091065</t>
  </si>
  <si>
    <t>511527202</t>
  </si>
  <si>
    <t>מנועי בית שמש</t>
  </si>
  <si>
    <t>1081561</t>
  </si>
  <si>
    <t>520043480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</si>
  <si>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</si>
  <si>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</si>
  <si>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</si>
  <si>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</si>
  <si>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</si>
  <si>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</si>
  <si>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</si>
  <si>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</si>
  <si>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סלקום CEL</t>
  </si>
  <si>
    <t>1101534</t>
  </si>
  <si>
    <t>סקופ*</t>
  </si>
  <si>
    <t>288019</t>
  </si>
  <si>
    <t>520037425</t>
  </si>
  <si>
    <t>פלסאון תעשיות*</t>
  </si>
  <si>
    <t>1081603</t>
  </si>
  <si>
    <t>520042912</t>
  </si>
  <si>
    <t>פרטנר</t>
  </si>
  <si>
    <t>1083484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</si>
  <si>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</si>
  <si>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</si>
  <si>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</si>
  <si>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</si>
  <si>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</si>
  <si>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</si>
  <si>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</si>
  <si>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</si>
  <si>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</si>
  <si>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</si>
  <si>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</si>
  <si>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</si>
  <si>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</si>
  <si>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רדהיל</t>
  </si>
  <si>
    <t>1122381</t>
  </si>
  <si>
    <t>514304005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</si>
  <si>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</si>
  <si>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</si>
  <si>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</si>
  <si>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</si>
  <si>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</si>
  <si>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</si>
  <si>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</si>
  <si>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</si>
  <si>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תמר פטרוליום*</t>
  </si>
  <si>
    <t>1141357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</si>
  <si>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</si>
  <si>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</si>
  <si>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</si>
  <si>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</si>
  <si>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</si>
  <si>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</si>
  <si>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</si>
  <si>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</si>
  <si>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</si>
  <si>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</si>
  <si>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</si>
  <si>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</si>
  <si>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מדיקל*</t>
  </si>
  <si>
    <t>1102458</t>
  </si>
  <si>
    <t>512434218</t>
  </si>
  <si>
    <t>מכשור רפואי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</si>
  <si>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</si>
  <si>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</si>
  <si>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</si>
  <si>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</si>
  <si>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</si>
  <si>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</si>
  <si>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</si>
  <si>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</si>
  <si>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</si>
  <si>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</si>
  <si>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</si>
  <si>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</si>
  <si>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</si>
  <si>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</si>
  <si>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</si>
  <si>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</si>
  <si>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</si>
  <si>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</si>
  <si>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</si>
  <si>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</si>
  <si>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</si>
  <si>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</si>
  <si>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</si>
  <si>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</si>
  <si>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</si>
  <si>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</si>
  <si>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</si>
  <si>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</si>
  <si>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</si>
  <si>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</si>
  <si>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</si>
  <si>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</si>
  <si>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</si>
  <si>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</si>
  <si>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</si>
  <si>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</si>
  <si>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</si>
  <si>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</si>
  <si>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</si>
  <si>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</si>
  <si>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</si>
  <si>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</si>
  <si>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</si>
  <si>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</si>
  <si>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</si>
  <si>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מ.יוחננוף ובניו</t>
  </si>
  <si>
    <t>1161264</t>
  </si>
  <si>
    <t>511344186</t>
  </si>
  <si>
    <t>מדטכניקה*</t>
  </si>
  <si>
    <t>253013</t>
  </si>
  <si>
    <t>520036195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</si>
  <si>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</si>
  <si>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</si>
  <si>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</si>
  <si>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</si>
  <si>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</si>
  <si>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</si>
  <si>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</si>
  <si>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</si>
  <si>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</si>
  <si>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נובולוג*</t>
  </si>
  <si>
    <t>1140151</t>
  </si>
  <si>
    <t>510475312</t>
  </si>
  <si>
    <t>על בד*</t>
  </si>
  <si>
    <t>625012</t>
  </si>
  <si>
    <t>520040205</t>
  </si>
  <si>
    <t>ערד השקעות ופתוח תעשיה</t>
  </si>
  <si>
    <t>731018</t>
  </si>
  <si>
    <t>520025198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</si>
  <si>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</si>
  <si>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</si>
  <si>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</si>
  <si>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</si>
  <si>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</si>
  <si>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</si>
  <si>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</si>
  <si>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</si>
  <si>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</si>
  <si>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</si>
  <si>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</si>
  <si>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</si>
  <si>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</si>
  <si>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</si>
  <si>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</si>
  <si>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</si>
  <si>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</si>
  <si>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</si>
  <si>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</si>
  <si>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</si>
  <si>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</si>
  <si>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</si>
  <si>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</si>
  <si>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</si>
  <si>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</si>
  <si>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</si>
  <si>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</si>
  <si>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</si>
  <si>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</si>
  <si>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</si>
  <si>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CAESAR STONE SDO</t>
  </si>
  <si>
    <t>IL0011259137</t>
  </si>
  <si>
    <t>511439507</t>
  </si>
  <si>
    <t>CAMTEK</t>
  </si>
  <si>
    <t>IL0010952641</t>
  </si>
  <si>
    <t>CHECK POINT SOFTWARE TECH</t>
  </si>
  <si>
    <t>IL0010824113</t>
  </si>
  <si>
    <t>520042821</t>
  </si>
  <si>
    <t>CYBERARK SOFTWARE</t>
  </si>
  <si>
    <t>IL0011334468</t>
  </si>
  <si>
    <t>ELBIT SYSTEMS LTD</t>
  </si>
  <si>
    <t>IL0010811243</t>
  </si>
  <si>
    <t>ELLOMAY CAPITAL LTD</t>
  </si>
  <si>
    <t>IL0010826357</t>
  </si>
  <si>
    <t>NYSE</t>
  </si>
  <si>
    <t>520039868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</si>
  <si>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</si>
  <si>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</si>
  <si>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</si>
  <si>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</si>
  <si>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</si>
  <si>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</si>
  <si>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</si>
  <si>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</si>
  <si>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</si>
  <si>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</si>
  <si>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</si>
  <si>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</si>
  <si>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</si>
  <si>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</si>
  <si>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</si>
  <si>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</si>
  <si>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</si>
  <si>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</si>
  <si>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</si>
  <si>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</si>
  <si>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</si>
  <si>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</si>
  <si>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</si>
  <si>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</si>
  <si>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</si>
  <si>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</si>
  <si>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</si>
  <si>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</si>
  <si>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</si>
  <si>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</si>
  <si>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</si>
  <si>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</si>
  <si>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</si>
  <si>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</si>
  <si>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SOL GEL TECHNOLOGIES LTD</t>
  </si>
  <si>
    <t>IL0011417206</t>
  </si>
  <si>
    <t>512544693</t>
  </si>
  <si>
    <t>SOLAREDGE TECHNOLOGIES</t>
  </si>
  <si>
    <t>US83417M1045</t>
  </si>
  <si>
    <t>513865329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</si>
  <si>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</si>
  <si>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</si>
  <si>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</si>
  <si>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</si>
  <si>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</si>
  <si>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</si>
  <si>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</si>
  <si>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</si>
  <si>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</si>
  <si>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</si>
  <si>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</si>
  <si>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</si>
  <si>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</si>
  <si>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</si>
  <si>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</si>
  <si>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</si>
  <si>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</si>
  <si>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</si>
  <si>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</si>
  <si>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</si>
  <si>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</si>
  <si>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</si>
  <si>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ADO PROPERTIES</t>
  </si>
  <si>
    <t>LU1250154413</t>
  </si>
  <si>
    <t>Real Estate</t>
  </si>
  <si>
    <t>AIRBUS</t>
  </si>
  <si>
    <t>NL0000235190</t>
  </si>
  <si>
    <t>ALIBABA GROUP HOLDING_SP ADR</t>
  </si>
  <si>
    <t>US01609W1027</t>
  </si>
  <si>
    <t>ALPHABET INC CL C</t>
  </si>
  <si>
    <t>US02079K1079</t>
  </si>
  <si>
    <t>AMAZON.COM INC</t>
  </si>
  <si>
    <t>US0231351067</t>
  </si>
  <si>
    <t>AROUNDTOWN</t>
  </si>
  <si>
    <t>LU1673108939</t>
  </si>
  <si>
    <t>ASML HOLDING NV</t>
  </si>
  <si>
    <t>NL0010273215</t>
  </si>
  <si>
    <t>BANK OF AMERICA CORP</t>
  </si>
  <si>
    <t>US0605051046</t>
  </si>
  <si>
    <t>BLACKROCK</t>
  </si>
  <si>
    <t>US09247X1019</t>
  </si>
  <si>
    <t>BOEING</t>
  </si>
  <si>
    <t>US0970231058</t>
  </si>
  <si>
    <t>BP PLC</t>
  </si>
  <si>
    <t>GB0007980591</t>
  </si>
  <si>
    <t>CATERPILLAR INC</t>
  </si>
  <si>
    <t>US1491231015</t>
  </si>
  <si>
    <t>CISCO SYSTEMS</t>
  </si>
  <si>
    <t>US17275R1023</t>
  </si>
  <si>
    <t>CITIGROUP INC</t>
  </si>
  <si>
    <t>US1729674242</t>
  </si>
  <si>
    <t>DANONE</t>
  </si>
  <si>
    <t>FR0000120644</t>
  </si>
  <si>
    <t>DELEK US HOLDINGS</t>
  </si>
  <si>
    <t>US24665A1034</t>
  </si>
  <si>
    <t>DEUTSCHE POST AG REG</t>
  </si>
  <si>
    <t>DE0005552004</t>
  </si>
  <si>
    <t>EIFFAGE</t>
  </si>
  <si>
    <t>FR0000130452</t>
  </si>
  <si>
    <t>ERICSSON LM B SHS</t>
  </si>
  <si>
    <t>SE0000108656</t>
  </si>
  <si>
    <t>FERROVIAL SA</t>
  </si>
  <si>
    <t>ES0118900010</t>
  </si>
  <si>
    <t>BME</t>
  </si>
  <si>
    <t>GOLDMAN SACHS GROUP INC</t>
  </si>
  <si>
    <t>US38141G1040</t>
  </si>
  <si>
    <t>HENNES &amp; MAURITZ AB B SHS</t>
  </si>
  <si>
    <t>SE0000106270</t>
  </si>
  <si>
    <t>JPMORGAN CHASE</t>
  </si>
  <si>
    <t>US46625H1005</t>
  </si>
  <si>
    <t>LEVI STRAUSS &amp; CO  CLASS A</t>
  </si>
  <si>
    <t>US52736R1023</t>
  </si>
  <si>
    <t>LOCKHEED MARTIN CORP</t>
  </si>
  <si>
    <t>US5398301094</t>
  </si>
  <si>
    <t>MASTERCARD INC CLASS A</t>
  </si>
  <si>
    <t>US57636Q1040</t>
  </si>
  <si>
    <t>MCDONALDS</t>
  </si>
  <si>
    <t>US5801351017</t>
  </si>
  <si>
    <t>MICROSOFT CORP</t>
  </si>
  <si>
    <t>US5949181045</t>
  </si>
  <si>
    <t>MOODY`S</t>
  </si>
  <si>
    <t>US6153691059</t>
  </si>
  <si>
    <t>NESTLE SA REG</t>
  </si>
  <si>
    <t>CH0038863350</t>
  </si>
  <si>
    <t>NETFLIX INC</t>
  </si>
  <si>
    <t>US64110L1061</t>
  </si>
  <si>
    <t>NIKE INC CL B</t>
  </si>
  <si>
    <t>US6541061031</t>
  </si>
  <si>
    <t>NUTRIEN LTD</t>
  </si>
  <si>
    <t>CA67077M1086</t>
  </si>
  <si>
    <t>PALO ALTO NETWORKS</t>
  </si>
  <si>
    <t>US6974351057</t>
  </si>
  <si>
    <t>PAYPAL HOLDINGS INC</t>
  </si>
  <si>
    <t>US70450Y1038</t>
  </si>
  <si>
    <t>PROLOGIS INC</t>
  </si>
  <si>
    <t>US74340W1036</t>
  </si>
  <si>
    <t>ROSS STORES</t>
  </si>
  <si>
    <t>US7782961038</t>
  </si>
  <si>
    <t>S&amp;P GLOBAL</t>
  </si>
  <si>
    <t>US78409V1044</t>
  </si>
  <si>
    <t>SAAB AB B</t>
  </si>
  <si>
    <t>SE0000112385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</si>
  <si>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</si>
  <si>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</si>
  <si>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</si>
  <si>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</si>
  <si>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</si>
  <si>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</si>
  <si>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</si>
  <si>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</si>
  <si>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TARGET CORP</t>
  </si>
  <si>
    <t>US87612E1064</t>
  </si>
  <si>
    <t>THALES SA</t>
  </si>
  <si>
    <t>FR0000121329</t>
  </si>
  <si>
    <t>TJX COMPANIES INC</t>
  </si>
  <si>
    <t>US8725401090</t>
  </si>
  <si>
    <t>TOTAL SA</t>
  </si>
  <si>
    <t>FR0000120271</t>
  </si>
  <si>
    <t>UNITED PARCEL SERVICE CL B</t>
  </si>
  <si>
    <t>US9113121068</t>
  </si>
  <si>
    <t>UNITEDHEALTH GROUP INC</t>
  </si>
  <si>
    <t>US91324P1021</t>
  </si>
  <si>
    <t>VARONIS SYSTEMS</t>
  </si>
  <si>
    <t>US9222801022</t>
  </si>
  <si>
    <t>VINCI SA</t>
  </si>
  <si>
    <t>FR0000125486</t>
  </si>
  <si>
    <t>VISA</t>
  </si>
  <si>
    <t>US92826C8394</t>
  </si>
  <si>
    <t>WAL MART STORES INC</t>
  </si>
  <si>
    <t>US9311421039</t>
  </si>
  <si>
    <t>Food &amp; Staples Retailing</t>
  </si>
  <si>
    <t>WALT DISNEY CO/THE</t>
  </si>
  <si>
    <t>US2546871060</t>
  </si>
  <si>
    <t>WELLS FARGO &amp; CO</t>
  </si>
  <si>
    <t>US9497461015</t>
  </si>
  <si>
    <t>הראל סל תא 125</t>
  </si>
  <si>
    <t>1148899</t>
  </si>
  <si>
    <t>514103811</t>
  </si>
  <si>
    <t>הראל סל תא בנקים</t>
  </si>
  <si>
    <t>1148949</t>
  </si>
  <si>
    <t>פסגות ETF תא צמיחה</t>
  </si>
  <si>
    <t>1148782</t>
  </si>
  <si>
    <t>513464289</t>
  </si>
  <si>
    <t>פסגות ETF תל אביב 125</t>
  </si>
  <si>
    <t>1148808</t>
  </si>
  <si>
    <t>פסגות סל בנקים סדרה 1</t>
  </si>
  <si>
    <t>1148774</t>
  </si>
  <si>
    <t>קסם תא 35</t>
  </si>
  <si>
    <t>1146570</t>
  </si>
  <si>
    <t>520041989</t>
  </si>
  <si>
    <t>קסם תא בנקים</t>
  </si>
  <si>
    <t>1146430</t>
  </si>
  <si>
    <t>קסם תא125</t>
  </si>
  <si>
    <t>1146356</t>
  </si>
  <si>
    <t>תכלית תא 125</t>
  </si>
  <si>
    <t>1143718</t>
  </si>
  <si>
    <t>513540310</t>
  </si>
  <si>
    <t>תכלית תא 35</t>
  </si>
  <si>
    <t>1143700</t>
  </si>
  <si>
    <t>תכלית תא בנקים</t>
  </si>
  <si>
    <t>1143726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</si>
  <si>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</si>
  <si>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</si>
  <si>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</si>
  <si>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</si>
  <si>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</si>
  <si>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</si>
  <si>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</si>
  <si>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</si>
  <si>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</si>
  <si>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</si>
  <si>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</si>
  <si>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</si>
  <si>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</si>
  <si>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</si>
  <si>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</si>
  <si>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</si>
  <si>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</si>
  <si>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</si>
  <si>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</si>
  <si>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</si>
  <si>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</si>
  <si>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</si>
  <si>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</si>
  <si>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</si>
  <si>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</si>
  <si>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</si>
  <si>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</si>
  <si>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</si>
  <si>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</si>
  <si>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</si>
  <si>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</si>
  <si>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</si>
  <si>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ETF MSCI EMERGING MAR</t>
  </si>
  <si>
    <t>LU1681045453</t>
  </si>
  <si>
    <t>AMUNDI INDEX MSCI EM UCITS</t>
  </si>
  <si>
    <t>LU1437017350</t>
  </si>
  <si>
    <t>CONSUMER STAPLES SPDR</t>
  </si>
  <si>
    <t>US81369Y3080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</si>
  <si>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</si>
  <si>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</si>
  <si>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</si>
  <si>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</si>
  <si>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</si>
  <si>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</si>
  <si>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</si>
  <si>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</si>
  <si>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</si>
  <si>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</si>
  <si>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</si>
  <si>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</si>
  <si>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</si>
  <si>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</si>
  <si>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</si>
  <si>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</si>
  <si>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</si>
  <si>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</si>
  <si>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</si>
  <si>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</si>
  <si>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</si>
  <si>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</si>
  <si>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</si>
  <si>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</si>
  <si>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</si>
  <si>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</si>
  <si>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</si>
  <si>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</si>
  <si>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</si>
  <si>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</si>
  <si>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</si>
  <si>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EUR600 INSURANCE (DE)</t>
  </si>
  <si>
    <t>DE000A0H08K7</t>
  </si>
  <si>
    <t>ISHARES MSCI CHINA ETF</t>
  </si>
  <si>
    <t>US46429B6719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</si>
  <si>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</si>
  <si>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</si>
  <si>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</si>
  <si>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</si>
  <si>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</si>
  <si>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</si>
  <si>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</si>
  <si>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</si>
  <si>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</si>
  <si>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</si>
  <si>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</si>
  <si>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</si>
  <si>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</si>
  <si>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</si>
  <si>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KRANESHARES MSCI CHINA A USD</t>
  </si>
  <si>
    <t>IE00BJLFK515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</si>
  <si>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</si>
  <si>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</si>
  <si>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</si>
  <si>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</si>
  <si>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</si>
  <si>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</si>
  <si>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</si>
  <si>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</si>
  <si>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</si>
  <si>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</si>
  <si>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</si>
  <si>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</si>
  <si>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</si>
  <si>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</si>
  <si>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</si>
  <si>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</si>
  <si>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SCHWAB FUNDAMENTAL EM L/C</t>
  </si>
  <si>
    <t>US8085247307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</si>
  <si>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</si>
  <si>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</si>
  <si>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</si>
  <si>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</si>
  <si>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</si>
  <si>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</si>
  <si>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</si>
  <si>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</si>
  <si>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OIL &amp; GAS EXP &amp; PR</t>
  </si>
  <si>
    <t>US78464A7303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</si>
  <si>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</si>
  <si>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</si>
  <si>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</si>
  <si>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</si>
  <si>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</si>
  <si>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</si>
  <si>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WISDMTREE EMERG MKT EX ST</t>
  </si>
  <si>
    <t>US97717X5784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</si>
  <si>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</si>
  <si>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</si>
  <si>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</si>
  <si>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</si>
  <si>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</si>
  <si>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</si>
  <si>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</si>
  <si>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</si>
  <si>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</si>
  <si>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</si>
  <si>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</si>
  <si>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</si>
  <si>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</si>
  <si>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</si>
  <si>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</si>
  <si>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</si>
  <si>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</si>
  <si>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</si>
  <si>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</si>
  <si>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</si>
  <si>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</si>
  <si>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</si>
  <si>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</si>
  <si>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</si>
  <si>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</si>
  <si>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</si>
  <si>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</si>
  <si>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</si>
  <si>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</si>
  <si>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</si>
  <si>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</si>
  <si>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</si>
  <si>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</si>
  <si>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</si>
  <si>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</si>
  <si>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</si>
  <si>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</si>
  <si>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</si>
  <si>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</si>
  <si>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</si>
  <si>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</si>
  <si>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</si>
  <si>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</si>
  <si>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</si>
  <si>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COMGEST GROWTH EUROPE EUR IA</t>
  </si>
  <si>
    <t>IE00B5WN3467</t>
  </si>
  <si>
    <t>מניות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</si>
  <si>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</si>
  <si>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</si>
  <si>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</si>
  <si>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</si>
  <si>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</si>
  <si>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</si>
  <si>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Tokio Marine Japan</t>
  </si>
  <si>
    <t>IE00BYYTL417</t>
  </si>
  <si>
    <t>VANGUARD EMR MK ST IN USD IN</t>
  </si>
  <si>
    <t>IE0031787223</t>
  </si>
  <si>
    <t>כתבי אופציה בישראל</t>
  </si>
  <si>
    <t>אנרג'יקס אופציה 3*</t>
  </si>
  <si>
    <t>1158922</t>
  </si>
  <si>
    <t>ברנמילר אפ 1*</t>
  </si>
  <si>
    <t>1143494</t>
  </si>
  <si>
    <t>plC 2700 FEB 2020</t>
  </si>
  <si>
    <t>82934381</t>
  </si>
  <si>
    <t>ל.ר.</t>
  </si>
  <si>
    <t>plP 2700 FEB 2020</t>
  </si>
  <si>
    <t>82934597</t>
  </si>
  <si>
    <t>SPX US 02/21/20 P2800</t>
  </si>
  <si>
    <t>SPX02202800</t>
  </si>
  <si>
    <t>SPX US 02/21/20 P3050</t>
  </si>
  <si>
    <t>SPX022093050</t>
  </si>
  <si>
    <t>SPXW US 12/19 C3150</t>
  </si>
  <si>
    <t>SPXW19C3150</t>
  </si>
  <si>
    <t>TGT 01/17/20 C135</t>
  </si>
  <si>
    <t>TGT0120C135</t>
  </si>
  <si>
    <t>MSCI EMGMKT MAR20</t>
  </si>
  <si>
    <t>MESH0</t>
  </si>
  <si>
    <t>S&amp;P500 EMINI FUT MAR20</t>
  </si>
  <si>
    <t>ESH0</t>
  </si>
  <si>
    <t>STOXX EUROPE 600 MAR20</t>
  </si>
  <si>
    <t>SXOH0</t>
  </si>
  <si>
    <t>TOPIX FUTR MAR20</t>
  </si>
  <si>
    <t>TPH0</t>
  </si>
  <si>
    <t>ערד   4.8%   סדרה    8707</t>
  </si>
  <si>
    <t>98707000</t>
  </si>
  <si>
    <t>ערד   4.8%   סדרה    8710</t>
  </si>
  <si>
    <t>98710100</t>
  </si>
  <si>
    <t>ערד   4.8%   סדרה    8711</t>
  </si>
  <si>
    <t>98711100</t>
  </si>
  <si>
    <t>ערד   4.8%   סדרה   8706</t>
  </si>
  <si>
    <t>98706000</t>
  </si>
  <si>
    <t>ערד   4.8%   סדרה   8708</t>
  </si>
  <si>
    <t>98708000</t>
  </si>
  <si>
    <t>ערד   4.8%   סדרה   8712</t>
  </si>
  <si>
    <t>98712000</t>
  </si>
  <si>
    <t>ערד   4.8%   סדרה  8714</t>
  </si>
  <si>
    <t>98715000</t>
  </si>
  <si>
    <t>ערד   4.8%   סדרה  8730</t>
  </si>
  <si>
    <t>8287302</t>
  </si>
  <si>
    <t>ערד   4.8%   סדרה  8731</t>
  </si>
  <si>
    <t>8287310</t>
  </si>
  <si>
    <t>ערד   4.8%   סדרה  8732</t>
  </si>
  <si>
    <t>8287328</t>
  </si>
  <si>
    <t>ערד   4.8%   סדרה  8733</t>
  </si>
  <si>
    <t>8287336</t>
  </si>
  <si>
    <t>ערד   4.8%   סדרה  8735</t>
  </si>
  <si>
    <t>8287351</t>
  </si>
  <si>
    <t>ערד   4.8%   סדרה  8736</t>
  </si>
  <si>
    <t>8287369</t>
  </si>
  <si>
    <t>ערד   4.8%   סדרה  8751  2024</t>
  </si>
  <si>
    <t>8287518</t>
  </si>
  <si>
    <t>ערד   4.8%   סדרה  8752   2024</t>
  </si>
  <si>
    <t>8287526</t>
  </si>
  <si>
    <t>ערד   8754    4%</t>
  </si>
  <si>
    <t>98287542</t>
  </si>
  <si>
    <t>ערד  8705   4.8%</t>
  </si>
  <si>
    <t>98705000</t>
  </si>
  <si>
    <t>ערד  8738 % 4.8  2023</t>
  </si>
  <si>
    <t>98732000</t>
  </si>
  <si>
    <t>ערד 2024 סדרה 8761</t>
  </si>
  <si>
    <t>8287617</t>
  </si>
  <si>
    <t>ערד 2025 סדרה 8765</t>
  </si>
  <si>
    <t>8287658</t>
  </si>
  <si>
    <t>ערד 2025 סדרה 8769</t>
  </si>
  <si>
    <t>8287690</t>
  </si>
  <si>
    <t>ערד 2025 סדרה 8771</t>
  </si>
  <si>
    <t>8287716</t>
  </si>
  <si>
    <t>ערד 8704 % 4.8</t>
  </si>
  <si>
    <t>98704000</t>
  </si>
  <si>
    <t>ערד 8742</t>
  </si>
  <si>
    <t>8287427</t>
  </si>
  <si>
    <t>ערד 8745</t>
  </si>
  <si>
    <t>8287450</t>
  </si>
  <si>
    <t>ערד 8746</t>
  </si>
  <si>
    <t>8287468</t>
  </si>
  <si>
    <t>ערד 8786_1/2027</t>
  </si>
  <si>
    <t>71116487</t>
  </si>
  <si>
    <t>ערד 8790 2027 4.8%</t>
  </si>
  <si>
    <t>ערד 8792</t>
  </si>
  <si>
    <t>8287928</t>
  </si>
  <si>
    <t>ערד 8793</t>
  </si>
  <si>
    <t>ערד 8794</t>
  </si>
  <si>
    <t>71120232</t>
  </si>
  <si>
    <t>ערד 8795</t>
  </si>
  <si>
    <t>71120356</t>
  </si>
  <si>
    <t>ערד 8796</t>
  </si>
  <si>
    <t>98796000</t>
  </si>
  <si>
    <t>ערד 8797</t>
  </si>
  <si>
    <t>98797000</t>
  </si>
  <si>
    <t>ערד 8798</t>
  </si>
  <si>
    <t>98798000</t>
  </si>
  <si>
    <t>ערד 8799</t>
  </si>
  <si>
    <t>98799000</t>
  </si>
  <si>
    <t>ערד 8800</t>
  </si>
  <si>
    <t>98800000</t>
  </si>
  <si>
    <t>ערד 8801</t>
  </si>
  <si>
    <t>71120935</t>
  </si>
  <si>
    <t>ערד 8802</t>
  </si>
  <si>
    <t>ערד 8803</t>
  </si>
  <si>
    <t>71121057</t>
  </si>
  <si>
    <t>ערד 8805</t>
  </si>
  <si>
    <t>ערד 8806</t>
  </si>
  <si>
    <t>ערד 8807</t>
  </si>
  <si>
    <t>3236000</t>
  </si>
  <si>
    <t>ערד 8808</t>
  </si>
  <si>
    <t>3275000</t>
  </si>
  <si>
    <t>ערד 8809</t>
  </si>
  <si>
    <t>3322000</t>
  </si>
  <si>
    <t>ערד 8811</t>
  </si>
  <si>
    <t>98811000</t>
  </si>
  <si>
    <t>ערד 8812</t>
  </si>
  <si>
    <t>98812000</t>
  </si>
  <si>
    <t>ערד 8813</t>
  </si>
  <si>
    <t>98813000</t>
  </si>
  <si>
    <t>ערד 8814</t>
  </si>
  <si>
    <t>98814000</t>
  </si>
  <si>
    <t>ערד 8815</t>
  </si>
  <si>
    <t>98815000</t>
  </si>
  <si>
    <t>ערד 8816</t>
  </si>
  <si>
    <t>98816000</t>
  </si>
  <si>
    <t>ערד 8817</t>
  </si>
  <si>
    <t>98817000</t>
  </si>
  <si>
    <t>ערד 8818</t>
  </si>
  <si>
    <t>98818000</t>
  </si>
  <si>
    <t>ערד 8819</t>
  </si>
  <si>
    <t>98819000</t>
  </si>
  <si>
    <t>ערד 8820</t>
  </si>
  <si>
    <t>98820000</t>
  </si>
  <si>
    <t>ערד 8821</t>
  </si>
  <si>
    <t>98821000</t>
  </si>
  <si>
    <t>ערד 8822</t>
  </si>
  <si>
    <t>9882200</t>
  </si>
  <si>
    <t>ערד 8823</t>
  </si>
  <si>
    <t>9882300</t>
  </si>
  <si>
    <t>ערד 8824</t>
  </si>
  <si>
    <t>9882500</t>
  </si>
  <si>
    <t>ערד 8825</t>
  </si>
  <si>
    <t>9882600</t>
  </si>
  <si>
    <t>ערד 8826</t>
  </si>
  <si>
    <t>9882700</t>
  </si>
  <si>
    <t>ערד 8827</t>
  </si>
  <si>
    <t>9882800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</si>
  <si>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</si>
  <si>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</si>
  <si>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</si>
  <si>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</si>
  <si>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</si>
  <si>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</si>
  <si>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</si>
  <si>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</si>
  <si>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</si>
  <si>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</si>
  <si>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</si>
  <si>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</si>
  <si>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</si>
  <si>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</si>
  <si>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</si>
  <si>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</si>
  <si>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</si>
  <si>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</si>
  <si>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8843</t>
  </si>
  <si>
    <t>8843000</t>
  </si>
  <si>
    <t>ערד 8844</t>
  </si>
  <si>
    <t>8844000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</si>
  <si>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</si>
  <si>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</si>
  <si>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</si>
  <si>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</si>
  <si>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</si>
  <si>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</si>
  <si>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</si>
  <si>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</si>
  <si>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</si>
  <si>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</si>
  <si>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</si>
  <si>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</si>
  <si>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</si>
  <si>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</si>
  <si>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8852</t>
  </si>
  <si>
    <t>8852000</t>
  </si>
  <si>
    <t>ערד 8853</t>
  </si>
  <si>
    <t>8853000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</si>
  <si>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</si>
  <si>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</si>
  <si>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</si>
  <si>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</si>
  <si>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</si>
  <si>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</si>
  <si>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</si>
  <si>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</si>
  <si>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</si>
  <si>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</si>
  <si>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</si>
  <si>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</si>
  <si>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</si>
  <si>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</si>
  <si>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</si>
  <si>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</si>
  <si>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</si>
  <si>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</si>
  <si>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</si>
  <si>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</si>
  <si>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</si>
  <si>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</si>
  <si>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</si>
  <si>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</si>
  <si>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</si>
  <si>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</si>
  <si>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8871</t>
  </si>
  <si>
    <t>88710000</t>
  </si>
  <si>
    <t>ערד 8872</t>
  </si>
  <si>
    <t>88720000</t>
  </si>
  <si>
    <t>ערד 8873</t>
  </si>
  <si>
    <t>88730000</t>
  </si>
  <si>
    <t>ערד 8874</t>
  </si>
  <si>
    <t>88740000</t>
  </si>
  <si>
    <t>ערד 8876</t>
  </si>
  <si>
    <t>88760000</t>
  </si>
  <si>
    <t>ערד 8877</t>
  </si>
  <si>
    <t>88770000</t>
  </si>
  <si>
    <t>ערד 8879</t>
  </si>
  <si>
    <t>88790000</t>
  </si>
  <si>
    <t>ערד 8880</t>
  </si>
  <si>
    <t>88800000</t>
  </si>
  <si>
    <t>ערד 8881</t>
  </si>
  <si>
    <t>88810000</t>
  </si>
  <si>
    <t>ערד סדרה 2024  8758  4.8%</t>
  </si>
  <si>
    <t>8287583</t>
  </si>
  <si>
    <t>ערד סדרה 2024  8759  4.8%</t>
  </si>
  <si>
    <t>8287591</t>
  </si>
  <si>
    <t>ערד סדרה 2024  8760  4.8%</t>
  </si>
  <si>
    <t>8287609</t>
  </si>
  <si>
    <t>ערד סדרה 8740  4.8%  2023</t>
  </si>
  <si>
    <t>8287401</t>
  </si>
  <si>
    <t>ערד סדרה 8743  4.8%  2023</t>
  </si>
  <si>
    <t>8287435</t>
  </si>
  <si>
    <t>ערד סדרה 8744  4.8%  2023</t>
  </si>
  <si>
    <t>8287443</t>
  </si>
  <si>
    <t>ערד סדרה 8753 2024 4.8%</t>
  </si>
  <si>
    <t>8287534</t>
  </si>
  <si>
    <t>ערד סדרה 8755 2024 4.8%</t>
  </si>
  <si>
    <t>8287559</t>
  </si>
  <si>
    <t>ערד סדרה 8756 2024 4.8%</t>
  </si>
  <si>
    <t>8287567</t>
  </si>
  <si>
    <t>ערד סדרה 8757 2024 4.8%</t>
  </si>
  <si>
    <t>8287575</t>
  </si>
  <si>
    <t>ערד סדרה 8762 %4.8 2025</t>
  </si>
  <si>
    <t>8287625</t>
  </si>
  <si>
    <t>ערד סדרה 8763 %4.8 2025</t>
  </si>
  <si>
    <t>8287633</t>
  </si>
  <si>
    <t>ערד סדרה 8764 %4.8 2025</t>
  </si>
  <si>
    <t>8287641</t>
  </si>
  <si>
    <t>ערד סדרה 8766 2025 4.8%</t>
  </si>
  <si>
    <t>8287666</t>
  </si>
  <si>
    <t>ערד סדרה 8768 2025 4.8%</t>
  </si>
  <si>
    <t>8287682</t>
  </si>
  <si>
    <t>ערד סדרה 8770   2025   4.8%</t>
  </si>
  <si>
    <t>8287708</t>
  </si>
  <si>
    <t>ערד סדרה 8772 4.8% 2025</t>
  </si>
  <si>
    <t>8287724</t>
  </si>
  <si>
    <t>ערד סדרה 8773 4.8% 2025</t>
  </si>
  <si>
    <t>8287732</t>
  </si>
  <si>
    <t>ערד סדרה 8774 2026 4.8%</t>
  </si>
  <si>
    <t>8287740</t>
  </si>
  <si>
    <t>ערד סדרה 8775 2026 4.8%</t>
  </si>
  <si>
    <t>8287757</t>
  </si>
  <si>
    <t>ערד סדרה 8777 2026 4.8%</t>
  </si>
  <si>
    <t>8287773</t>
  </si>
  <si>
    <t>ערד סדרה 8778 2026 4.8%</t>
  </si>
  <si>
    <t>8287781</t>
  </si>
  <si>
    <t>ערד סדרה 8784  4.8%  2026</t>
  </si>
  <si>
    <t>8287849</t>
  </si>
  <si>
    <t>ערד סדרה 8789 2027 4.8%</t>
  </si>
  <si>
    <t>ערד סדרה 8810 2029 4.8%</t>
  </si>
  <si>
    <t>71121438</t>
  </si>
  <si>
    <t>מקורות אג סדרה 6 ל.ס 4.9%</t>
  </si>
  <si>
    <t>1100908</t>
  </si>
  <si>
    <t>מרווח הוגן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</si>
  <si>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</si>
  <si>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</si>
  <si>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</si>
  <si>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</si>
  <si>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</si>
  <si>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</si>
  <si>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</si>
  <si>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לאומי למשכנתאות שה</t>
  </si>
  <si>
    <t>6020903</t>
  </si>
  <si>
    <t>נתיבי גז  סדרה א ל.ס 5.6%</t>
  </si>
  <si>
    <t>1103084</t>
  </si>
  <si>
    <t>אגח ל.ס חשמל 2022</t>
  </si>
  <si>
    <t>6000129</t>
  </si>
  <si>
    <t>דור גז בעמ 4.95% 5.2020 ל.ס</t>
  </si>
  <si>
    <t>1093491</t>
  </si>
  <si>
    <t>513689059</t>
  </si>
  <si>
    <t>שטרהון נדחה פועלים ג ל.ס 5.75%</t>
  </si>
  <si>
    <t>6620280</t>
  </si>
  <si>
    <t>אספיסי אל עד 6.7%   סדרה 2</t>
  </si>
  <si>
    <t>1092774</t>
  </si>
  <si>
    <t>אספיסי אל עד 6.7%   סדרה 3</t>
  </si>
  <si>
    <t>1093939</t>
  </si>
  <si>
    <t>אספיסי אל עד 7%   סדרה 1</t>
  </si>
  <si>
    <t>1092162</t>
  </si>
  <si>
    <t>אלון  חברה לדלק ל.ס</t>
  </si>
  <si>
    <t>1101567</t>
  </si>
  <si>
    <t>520041690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</si>
  <si>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</si>
  <si>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</si>
  <si>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</si>
  <si>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</si>
  <si>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</si>
  <si>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</si>
  <si>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</si>
  <si>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גמא אגח א רמ</t>
  </si>
  <si>
    <t>1160852</t>
  </si>
  <si>
    <t>512711789</t>
  </si>
  <si>
    <t>גב ים נגב אגח א</t>
  </si>
  <si>
    <t>1151141</t>
  </si>
  <si>
    <t>514189596</t>
  </si>
  <si>
    <t>אמקור א</t>
  </si>
  <si>
    <t>1133545</t>
  </si>
  <si>
    <t>510064603</t>
  </si>
  <si>
    <t>נתיבים אגח א</t>
  </si>
  <si>
    <t>1090281</t>
  </si>
  <si>
    <t>513502229</t>
  </si>
  <si>
    <t>אורמת אגח 2*</t>
  </si>
  <si>
    <t>1139161</t>
  </si>
  <si>
    <t>אורמת אגח 3*</t>
  </si>
  <si>
    <t>1139179</t>
  </si>
  <si>
    <t>צים אג"ח סדרה ד רצף מוסדיים</t>
  </si>
  <si>
    <t>6510069</t>
  </si>
  <si>
    <t>520015041</t>
  </si>
  <si>
    <t>CRSLNX 4.555 06/51</t>
  </si>
  <si>
    <t>RUBY PIPELINE 6 04/22</t>
  </si>
  <si>
    <t>TRANSED PARTNERS 3.951 09/50 12/37</t>
  </si>
  <si>
    <t>אלון דלק מניה לא סחירה</t>
  </si>
  <si>
    <t>אמריקה ישראל   נדלן*</t>
  </si>
  <si>
    <t>512480971</t>
  </si>
  <si>
    <t>מניה לא סחירה BIG USA*</t>
  </si>
  <si>
    <t>35000</t>
  </si>
  <si>
    <t>514435395</t>
  </si>
  <si>
    <t>צים מניה</t>
  </si>
  <si>
    <t>347283</t>
  </si>
  <si>
    <t xml:space="preserve"> Michelson Program*</t>
  </si>
  <si>
    <t>120 Wall Street*</t>
  </si>
  <si>
    <t>330507</t>
  </si>
  <si>
    <t>1735 MARKET INVESTOR HOLDC MAKEFET*</t>
  </si>
  <si>
    <t>180 Livingston equity*</t>
  </si>
  <si>
    <t>45499</t>
  </si>
  <si>
    <t>240 West 35th Street  mkf*</t>
  </si>
  <si>
    <t>494382</t>
  </si>
  <si>
    <t>425 Lexington*</t>
  </si>
  <si>
    <t>820 Washington*</t>
  </si>
  <si>
    <t>330506</t>
  </si>
  <si>
    <t>901 Fifth Seattle*</t>
  </si>
  <si>
    <t>Adgar Invest and Dev Poland</t>
  </si>
  <si>
    <t>BERO CENTER*</t>
  </si>
  <si>
    <t>330500</t>
  </si>
  <si>
    <t>Data Center Atlanta*</t>
  </si>
  <si>
    <t>330509</t>
  </si>
  <si>
    <t>Edeka 2*</t>
  </si>
  <si>
    <t>330502</t>
  </si>
  <si>
    <t>Eschborn Plaza*</t>
  </si>
  <si>
    <t>Fenwick*</t>
  </si>
  <si>
    <t>330514</t>
  </si>
  <si>
    <t>Hampton of Town Center  HG 3*</t>
  </si>
  <si>
    <t>MM Texas*</t>
  </si>
  <si>
    <t>386423</t>
  </si>
  <si>
    <t>North LaSalle   HG 4*</t>
  </si>
  <si>
    <t>Project Hush*</t>
  </si>
  <si>
    <t>Rialto Elite Portfolio makefet*</t>
  </si>
  <si>
    <t>508308</t>
  </si>
  <si>
    <t>ROBIN*</t>
  </si>
  <si>
    <t>505145</t>
  </si>
  <si>
    <t>Sacramento 353*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</si>
  <si>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</si>
  <si>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</si>
  <si>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</si>
  <si>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</si>
  <si>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</si>
  <si>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</si>
  <si>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</si>
  <si>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 mkf*</t>
  </si>
  <si>
    <t>494381</t>
  </si>
  <si>
    <t>הילטון מלונות</t>
  </si>
  <si>
    <t>סה"כ קרנות השקעה</t>
  </si>
  <si>
    <t>סה"כ קרנות השקעה בישראל</t>
  </si>
  <si>
    <t>Accelmed Medical Partners LP</t>
  </si>
  <si>
    <t>Evergreen V</t>
  </si>
  <si>
    <t>Evolution Venture Capital Fun I</t>
  </si>
  <si>
    <t>Medica III Investments Israel B LP</t>
  </si>
  <si>
    <t>Orbimed Israel Partners II LP</t>
  </si>
  <si>
    <t>Orbimed Israel Partners LP</t>
  </si>
  <si>
    <t>Vertex III Israel Fund LP</t>
  </si>
  <si>
    <t>קרן אנטומיה טכנולוגיה רפואית I ש מ</t>
  </si>
  <si>
    <t>קרן אנטומיה טכנולוגיה רפואית II ש מ</t>
  </si>
  <si>
    <t>ריאליטי קרן השקעות בנדל"ן III ש מ</t>
  </si>
  <si>
    <t>ריאליטי קרן השקעות בנדל"ן IV</t>
  </si>
  <si>
    <t>Accelmed Growth Partners LP</t>
  </si>
  <si>
    <t>FIMI ISRAEL OPPORTUNITY 6</t>
  </si>
  <si>
    <t>Fimi Israel Opportunity II</t>
  </si>
  <si>
    <t>Fimi Israel Opportunity IV</t>
  </si>
  <si>
    <t>Fortissimo Capital Fund Israel II</t>
  </si>
  <si>
    <t>Fortissimo Capital Fund Israel III</t>
  </si>
  <si>
    <t>Fortissimo Capital Fund Israel LP</t>
  </si>
  <si>
    <t>50431</t>
  </si>
  <si>
    <t>Helios Renewable Energy 1*</t>
  </si>
  <si>
    <t>Kedma Capital III</t>
  </si>
  <si>
    <t>MA Movilim Renewable Energies L.P*</t>
  </si>
  <si>
    <t>NOY 2 Infrastructure &amp;Energy Investments</t>
  </si>
  <si>
    <t>Noy Negev Energy LP</t>
  </si>
  <si>
    <t>Plenus II L.P</t>
  </si>
  <si>
    <t>Plenus III L.P</t>
  </si>
  <si>
    <t>Plenus Mezzanine Fund</t>
  </si>
  <si>
    <t>S.H. SKY 3 L.P</t>
  </si>
  <si>
    <t>S.H. SKY II L.P.s</t>
  </si>
  <si>
    <t>S.H. SKY LP</t>
  </si>
  <si>
    <t>Shamrock Israel Growth Fund LP</t>
  </si>
  <si>
    <t>Tene Growth Capital III PEF</t>
  </si>
  <si>
    <t>TENE GROWTH CAPITAL IV</t>
  </si>
  <si>
    <t>Vintage Migdal Co inv</t>
  </si>
  <si>
    <t>Vintage Migdal Co Investment II</t>
  </si>
  <si>
    <t>Viola Private Equity I LP</t>
  </si>
  <si>
    <t>Yesodot Gimmel</t>
  </si>
  <si>
    <t>טנא להשקעה בגדות שותפות מוגבלת</t>
  </si>
  <si>
    <t>טנא להשקעה בקיונרג'י שותפות מוגבלת</t>
  </si>
  <si>
    <t>סה"כ קרנות השקעה בחו"ל</t>
  </si>
  <si>
    <t>Horsley Bridge XII Ventures</t>
  </si>
  <si>
    <t>Israel Cleantech Ventures Cayman I A</t>
  </si>
  <si>
    <t>Israel Cleantech Ventures II Israel LP</t>
  </si>
  <si>
    <t>Magma Venture Capital II Israel Fund LP</t>
  </si>
  <si>
    <t>Omega fund lll</t>
  </si>
  <si>
    <t>Strategic Investors Fund IX L.P</t>
  </si>
  <si>
    <t>Strategic Investors Fund VIII LP</t>
  </si>
  <si>
    <t>Vintage fund of funds ISRAEL V</t>
  </si>
  <si>
    <t>Vintage Fund of Funds IV (Migdal) L.P</t>
  </si>
  <si>
    <t>Vintage Fund of Funds V ACCESS</t>
  </si>
  <si>
    <t>קרנות גידור</t>
  </si>
  <si>
    <t>Cheyne CRECH3/9/15</t>
  </si>
  <si>
    <t>XD0297816635</t>
  </si>
  <si>
    <t>Pond View class B 02/2008</t>
  </si>
  <si>
    <t>XD0038388035</t>
  </si>
  <si>
    <t>Blackstone R E Partners VIII F LP</t>
  </si>
  <si>
    <t>Blackstone Real Estate Partners IX</t>
  </si>
  <si>
    <t>Brookfield SREP III F2</t>
  </si>
  <si>
    <t>Brookfield Strategic R E Partners II</t>
  </si>
  <si>
    <t>Co Invest Antlia BSREP III</t>
  </si>
  <si>
    <t>E d R Europportunities S.C.A. SICAR</t>
  </si>
  <si>
    <t>Europan Office Incom Venture S.C.A</t>
  </si>
  <si>
    <t>Portfolio EDGE מקפת</t>
  </si>
  <si>
    <t>Waterton Residential P V XIII</t>
  </si>
  <si>
    <t>ACE IV*</t>
  </si>
  <si>
    <t>ADLS</t>
  </si>
  <si>
    <t>Advent International GPE IX L.P</t>
  </si>
  <si>
    <t>Advent International GPE VIII A</t>
  </si>
  <si>
    <t>Aksia Capital III LP</t>
  </si>
  <si>
    <t>APCS LP*</t>
  </si>
  <si>
    <t>Apollo Fund IX</t>
  </si>
  <si>
    <t>Apollo Natural Resources Partners II LP</t>
  </si>
  <si>
    <t>Arclight Energy Partners Fund II LP</t>
  </si>
  <si>
    <t>Ares Special Situations Fund IV LP*</t>
  </si>
  <si>
    <t>Argan Capital LP</t>
  </si>
  <si>
    <t>Astorg VII</t>
  </si>
  <si>
    <t>Avista Capital Partners LP</t>
  </si>
  <si>
    <t>Brookfield Capital Partners IV</t>
  </si>
  <si>
    <t>Brookfield Capital Partners V</t>
  </si>
  <si>
    <t>Brookfield coinv JCI</t>
  </si>
  <si>
    <t>Brookfield HSO Co Invest L.P</t>
  </si>
  <si>
    <t>CDL II</t>
  </si>
  <si>
    <t>CICC Growth capital fund I</t>
  </si>
  <si>
    <t>ClearWater Capital Partner I</t>
  </si>
  <si>
    <t>CMPVIIC</t>
  </si>
  <si>
    <t>co investment Anesthesia</t>
  </si>
  <si>
    <t>Copenhagen Infrastructure III</t>
  </si>
  <si>
    <t>Core Infrastructure India Fund Pte Ltd</t>
  </si>
  <si>
    <t>Court Square IV</t>
  </si>
  <si>
    <t>CRECH V</t>
  </si>
  <si>
    <t>Dover Street IX LP</t>
  </si>
  <si>
    <t>EC   1</t>
  </si>
  <si>
    <t>EC   2</t>
  </si>
  <si>
    <t>Esprit Capital I Fund</t>
  </si>
  <si>
    <t>Gavea Investment Fund III LP</t>
  </si>
  <si>
    <t>Gavea Investment Fund IV LP</t>
  </si>
  <si>
    <t>GIP GEMINI FUND CAYMAN FEEDER II LP</t>
  </si>
  <si>
    <t>Global Infrastructure Partners IV L.P</t>
  </si>
  <si>
    <t>GrafTech Co Invest LP</t>
  </si>
  <si>
    <t>GTCR harbourvest tranche B</t>
  </si>
  <si>
    <t>harbourvest A</t>
  </si>
  <si>
    <t>HARBOURVEST A AE II</t>
  </si>
  <si>
    <t>harbourvest co inv DNLD</t>
  </si>
  <si>
    <t>harbourvest co inv Dwyer</t>
  </si>
  <si>
    <t>Harbourvest co inv perston</t>
  </si>
  <si>
    <t>HarbourVest International V</t>
  </si>
  <si>
    <t>harbourvest part' co inv fund IV</t>
  </si>
  <si>
    <t>Harbourvest Project Starboard</t>
  </si>
  <si>
    <t>harbourvest Sec gridiron</t>
  </si>
  <si>
    <t>HBOS Mezzanine Portfolio</t>
  </si>
  <si>
    <t>HIG harbourvest Tranche B</t>
  </si>
  <si>
    <t>Hunter Acquisition Limited</t>
  </si>
  <si>
    <t>ICGLV</t>
  </si>
  <si>
    <t>IFM GIF</t>
  </si>
  <si>
    <t>IK harbourvest tranche B</t>
  </si>
  <si>
    <t>INCLINE   HARBOURVEST A</t>
  </si>
  <si>
    <t>InfraRed Infrastructure Fund V</t>
  </si>
  <si>
    <t>Insight harbourvest tranche B</t>
  </si>
  <si>
    <t>Investindustrial VII Harbourvest B</t>
  </si>
  <si>
    <t>JP Morgan IIF</t>
  </si>
  <si>
    <t>KASS</t>
  </si>
  <si>
    <t>KCOIV SCS</t>
  </si>
  <si>
    <t>KCOV</t>
  </si>
  <si>
    <t>KELSO INVESTMENT ASSOCIATES X   HARB B</t>
  </si>
  <si>
    <t>Klirmark III</t>
  </si>
  <si>
    <t>Klirmark Opportunity Fund II LP</t>
  </si>
  <si>
    <t>Klirmark Opportunity Fund LP</t>
  </si>
  <si>
    <t>KSO</t>
  </si>
  <si>
    <t>LS POWER FUND IV</t>
  </si>
  <si>
    <t>MediFox harbourvest</t>
  </si>
  <si>
    <t>Meridiam Infrastructure Europe III SLP</t>
  </si>
  <si>
    <t>Migdal HarbourVes Cruise.co.uk</t>
  </si>
  <si>
    <t>Migdal HarbourVes Elatec</t>
  </si>
  <si>
    <t>Migdal HarbourVes project Draco</t>
  </si>
  <si>
    <t>migdal harbourvest ABENEX partners 7</t>
  </si>
  <si>
    <t>migdal harbourvest LYTX</t>
  </si>
  <si>
    <t>Migdal HarbourVest Project Saxa</t>
  </si>
  <si>
    <t>Migdal HarbourVest Tranche B</t>
  </si>
  <si>
    <t>MTDL</t>
  </si>
  <si>
    <t>Olympus Capital Asia III LP</t>
  </si>
  <si>
    <t>ORCC</t>
  </si>
  <si>
    <t>Pamlico capital IV</t>
  </si>
  <si>
    <t>Pantheon Global Secondary Fund VI</t>
  </si>
  <si>
    <t>Paragon III HarbourVest B</t>
  </si>
  <si>
    <t>Patria Private Equity Fund VI</t>
  </si>
  <si>
    <t>PCSIII LP</t>
  </si>
  <si>
    <t>PGCO IV Co mingled Fund SCSP</t>
  </si>
  <si>
    <t>PPCSIV</t>
  </si>
  <si>
    <t>project Celtics</t>
  </si>
  <si>
    <t>Rhone Offshore Partners V LP</t>
  </si>
  <si>
    <t>Rocket Dog L.P</t>
  </si>
  <si>
    <t>SDPIII</t>
  </si>
  <si>
    <t>Selene RMOF</t>
  </si>
  <si>
    <t>Senior Loan Fund I A SLP</t>
  </si>
  <si>
    <t>Silverfleet Capital Partners II LP</t>
  </si>
  <si>
    <t>Sun Capital Partners  harbourvest B</t>
  </si>
  <si>
    <t>TDLIV</t>
  </si>
  <si>
    <t>Tene Growth Capital LP</t>
  </si>
  <si>
    <t>Thoma Bravo Fund XII A  L P</t>
  </si>
  <si>
    <t>Thoma Bravo Fund XIII</t>
  </si>
  <si>
    <t>Thoma Bravo Harbourvest B</t>
  </si>
  <si>
    <t>TPG Asia VII L.P</t>
  </si>
  <si>
    <t>Trilantic Capital Partners V Europe LP</t>
  </si>
  <si>
    <t>VESTCOM</t>
  </si>
  <si>
    <t>Victoria South American Partners II LP</t>
  </si>
  <si>
    <t>Viola Private Equity II B LP</t>
  </si>
  <si>
    <t>Warburg Pincus China II L.P</t>
  </si>
  <si>
    <t>Warburg Pincus China LP</t>
  </si>
  <si>
    <t>WestView IV harbourvest</t>
  </si>
  <si>
    <t>windjammer V har A</t>
  </si>
  <si>
    <t>WSREDII</t>
  </si>
  <si>
    <t>Infinity I China Fund Israel 2 אופ לס</t>
  </si>
  <si>
    <t>50581</t>
  </si>
  <si>
    <t>₪ / מט"ח</t>
  </si>
  <si>
    <t>+ILS/-USD 3.4937 27-10-20 (12) -893</t>
  </si>
  <si>
    <t>10011743</t>
  </si>
  <si>
    <t>+ILS/-USD 3.4941 20-10-20 (93) -884</t>
  </si>
  <si>
    <t>10011742</t>
  </si>
  <si>
    <t>+ILS/-USD 3.5042 20-10-20 (20) -898</t>
  </si>
  <si>
    <t>10011733</t>
  </si>
  <si>
    <t>+ILS/-USD 3.505 14-10-20 (11) -864</t>
  </si>
  <si>
    <t>10011735</t>
  </si>
  <si>
    <t>+ILS/-USD 3.51 12-05-20 (10) -707</t>
  </si>
  <si>
    <t>10011689</t>
  </si>
  <si>
    <t>+ILS/-USD 3.5103 12-05-20 (11) -707</t>
  </si>
  <si>
    <t>10011691</t>
  </si>
  <si>
    <t>+ILS/-USD 3.517 19-05-20 (11) -715</t>
  </si>
  <si>
    <t>10011683</t>
  </si>
  <si>
    <t>+ILS/-USD 3.5256 16-06-20 (20) -794</t>
  </si>
  <si>
    <t>10011675</t>
  </si>
  <si>
    <t>+ILS/-USD 3.53 18-06-20 (10) -680</t>
  </si>
  <si>
    <t>10011732</t>
  </si>
  <si>
    <t>+ILS/-USD 3.5309 16-06-20 (20) -791</t>
  </si>
  <si>
    <t>10011673</t>
  </si>
  <si>
    <t>+ILS/-USD 3.532 28-05-20 (11) -695</t>
  </si>
  <si>
    <t>10011708</t>
  </si>
  <si>
    <t>+ILS/-USD 3.5324 04-06-20 (20) -786</t>
  </si>
  <si>
    <t>10011670</t>
  </si>
  <si>
    <t>+ILS/-USD 3.5335 04-06-20 (11) -785</t>
  </si>
  <si>
    <t>10011666</t>
  </si>
  <si>
    <t>+ILS/-USD 3.5335 04-06-20 (12) -785</t>
  </si>
  <si>
    <t>10011668</t>
  </si>
  <si>
    <t>+ILS/-USD 3.537 21-05-20 (20) -680</t>
  </si>
  <si>
    <t>10011710</t>
  </si>
  <si>
    <t>+ILS/-USD 3.54 14-05-20 (20) -675</t>
  </si>
  <si>
    <t>10011701</t>
  </si>
  <si>
    <t>+ILS/-USD 3.542 07-05-20 (20) -613</t>
  </si>
  <si>
    <t>10011721</t>
  </si>
  <si>
    <t>+ILS/-USD 3.542 14-05-20 (12) -675</t>
  </si>
  <si>
    <t>10011699</t>
  </si>
  <si>
    <t>+ILS/-USD 3.548 07-05-20 (11) -610</t>
  </si>
  <si>
    <t>10011719</t>
  </si>
  <si>
    <t>+ILS/-USD 3.55 07-05-20 (12) -610</t>
  </si>
  <si>
    <t>10011723</t>
  </si>
  <si>
    <t>+ILS/-USD 3.551 09-06-20 (11) -810</t>
  </si>
  <si>
    <t>10011664</t>
  </si>
  <si>
    <t>+ILS/-USD 3.552 02-06-20 (10) -800</t>
  </si>
  <si>
    <t>10011662</t>
  </si>
  <si>
    <t>+ILS/-USD 3.385 19-11-20 (20) -930</t>
  </si>
  <si>
    <t>10011810</t>
  </si>
  <si>
    <t>+ILS/-USD 3.415 19-11-20 (11) -925</t>
  </si>
  <si>
    <t>10011806</t>
  </si>
  <si>
    <t>+ILS/-USD 3.4166 05-11-20 (12) -904</t>
  </si>
  <si>
    <t>10011808</t>
  </si>
  <si>
    <t>+ILS/-USD 3.4174 05-11-20 (10) -906</t>
  </si>
  <si>
    <t>10011804</t>
  </si>
  <si>
    <t>+ILS/-USD 3.4312 23-11-20 (11) -938</t>
  </si>
  <si>
    <t>10011802</t>
  </si>
  <si>
    <t>+ILS/-USD 3.4315 16-11-20 (11) -925</t>
  </si>
  <si>
    <t>10011796</t>
  </si>
  <si>
    <t>+ILS/-USD 3.433 30-11-20 (12) -950</t>
  </si>
  <si>
    <t>10011800</t>
  </si>
  <si>
    <t>10011798</t>
  </si>
  <si>
    <t>+ILS/-USD 3.45 27-10-20 (11) -892</t>
  </si>
  <si>
    <t>10011774</t>
  </si>
  <si>
    <t>+ILS/-USD 3.4504 27-10-20 (20) -896</t>
  </si>
  <si>
    <t>10011772</t>
  </si>
  <si>
    <t>+ILS/-USD 3.4519 22-10-20 (12) -881</t>
  </si>
  <si>
    <t>10011783</t>
  </si>
  <si>
    <t>+ILS/-USD 3.453 03-11-20 (20) -925</t>
  </si>
  <si>
    <t>10011779</t>
  </si>
  <si>
    <t>+ILS/-USD 3.4557 03-11-20 (11) -908</t>
  </si>
  <si>
    <t>10011777</t>
  </si>
  <si>
    <t>+ILS/-USD 3.4614 07-07-20 (20) -596</t>
  </si>
  <si>
    <t>10011869</t>
  </si>
  <si>
    <t>+ILS/-USD 3.4662 02-07-20 (20) -588</t>
  </si>
  <si>
    <t>10011868</t>
  </si>
  <si>
    <t>+ILS/-USD 3.4672 02-07-20 (12) -588</t>
  </si>
  <si>
    <t>10011871</t>
  </si>
  <si>
    <t>+ILS/-USD 3.4697 09-07-20 (11) -603</t>
  </si>
  <si>
    <t>10011873</t>
  </si>
  <si>
    <t>+ILS/-USD 3.4704 03-12-20 (11) -996</t>
  </si>
  <si>
    <t>10011768</t>
  </si>
  <si>
    <t>+ILS/-USD 3.471 03-12-20 (10) -997</t>
  </si>
  <si>
    <t>10011764</t>
  </si>
  <si>
    <t>+ILS/-USD 3.473 03-12-20 (12) -994</t>
  </si>
  <si>
    <t>10011766</t>
  </si>
  <si>
    <t>+ILS/-USD 3.475 22-01-20 (12) -220</t>
  </si>
  <si>
    <t>10011900</t>
  </si>
  <si>
    <t>+ILS/-USD 3.4858 06-02-20 (20) -402</t>
  </si>
  <si>
    <t>10011792</t>
  </si>
  <si>
    <t>+ILS/-USD 3.4867 06-02-20 (12) -403</t>
  </si>
  <si>
    <t>10011794</t>
  </si>
  <si>
    <t>+ILS/-USD 3.49 15-09-20 (11) -863</t>
  </si>
  <si>
    <t>10011761</t>
  </si>
  <si>
    <t>+ILS/-USD 3.493 15-09-20 (10) -865</t>
  </si>
  <si>
    <t>10011759</t>
  </si>
  <si>
    <t>+ILS/-USD 3.4969 19-02-20 (20) -351</t>
  </si>
  <si>
    <t>10011858</t>
  </si>
  <si>
    <t>+ILS/-USD 3.4975 25-02-20 (11) -340</t>
  </si>
  <si>
    <t>10011889</t>
  </si>
  <si>
    <t>+ILS/-USD 3.4993 28-01-20 (11) -257</t>
  </si>
  <si>
    <t>10011895</t>
  </si>
  <si>
    <t>+ILS/-USD 3.5 25-02-20 (12) -339</t>
  </si>
  <si>
    <t>10011891</t>
  </si>
  <si>
    <t>+ILS/-USD 3.503 26-02-20 (11) -340</t>
  </si>
  <si>
    <t>10011892</t>
  </si>
  <si>
    <t>+ILS/-USD 3.504 11-06-20 (11) -695</t>
  </si>
  <si>
    <t>10011749</t>
  </si>
  <si>
    <t>+ILS/-USD 3.505 11-06-20 (10) -695</t>
  </si>
  <si>
    <t>10011747</t>
  </si>
  <si>
    <t>+ILS/-USD 3.5085 30-01-20 (20) -295</t>
  </si>
  <si>
    <t>10011874</t>
  </si>
  <si>
    <t>+ILS/-USD 3.5153 13-02-20 (11) -312</t>
  </si>
  <si>
    <t>10011884</t>
  </si>
  <si>
    <t>+ILS/-USD 3.5157 04-02-20 (20) -328</t>
  </si>
  <si>
    <t>10011854</t>
  </si>
  <si>
    <t>+ILS/-USD 3.5164 04-02-20 (11) -326</t>
  </si>
  <si>
    <t>10011852</t>
  </si>
  <si>
    <t>+ILS/-USD 3.39315 24-11-20 (12) -698.5</t>
  </si>
  <si>
    <t>10011966</t>
  </si>
  <si>
    <t>+ILS/-USD 3.3963 18-11-20 (12) -687</t>
  </si>
  <si>
    <t>10011962</t>
  </si>
  <si>
    <t>+ILS/-USD 3.3983 18-11-20 (11) -687</t>
  </si>
  <si>
    <t>10011960</t>
  </si>
  <si>
    <t>+ILS/-USD 3.4308 17-06-20 (11) -382</t>
  </si>
  <si>
    <t>10012003</t>
  </si>
  <si>
    <t>+ILS/-USD 3.4336 12-11-20 (10) -714</t>
  </si>
  <si>
    <t>10011958</t>
  </si>
  <si>
    <t>+ILS/-USD 3.4398 26-06-20 (12) -402</t>
  </si>
  <si>
    <t>10012002</t>
  </si>
  <si>
    <t>+ILS/-USD 3.44 06-05-20 (20) -306</t>
  </si>
  <si>
    <t>10011981</t>
  </si>
  <si>
    <t>+ILS/-USD 3.44 20-05-20 (10) -336</t>
  </si>
  <si>
    <t>10011984</t>
  </si>
  <si>
    <t>+ILS/-USD 3.44 20-05-20 (20) -335</t>
  </si>
  <si>
    <t>10011990</t>
  </si>
  <si>
    <t>+ILS/-USD 3.441 06-05-20 (10) -306</t>
  </si>
  <si>
    <t>10011979</t>
  </si>
  <si>
    <t>+ILS/-USD 3.4413 20-05-20 (12) -337</t>
  </si>
  <si>
    <t>10011988</t>
  </si>
  <si>
    <t>+ILS/-USD 3.4414 20-05-20 (11) -336</t>
  </si>
  <si>
    <t>10011986</t>
  </si>
  <si>
    <t>+ILS/-USD 3.4429 17-03-20 (12) -221</t>
  </si>
  <si>
    <t>10011973</t>
  </si>
  <si>
    <t>+ILS/-USD 3.4431 16-03-20 (20) -194</t>
  </si>
  <si>
    <t>10012012</t>
  </si>
  <si>
    <t>+ILS/-USD 3.4435 03-06-20 (20) -360</t>
  </si>
  <si>
    <t>10011992</t>
  </si>
  <si>
    <t>+ILS/-USD 3.4437 11-03-20 (12) -183</t>
  </si>
  <si>
    <t>10012011</t>
  </si>
  <si>
    <t>+ILS/-USD 3.4438 11-03-20 (11) -182</t>
  </si>
  <si>
    <t>10012010</t>
  </si>
  <si>
    <t>+ILS/-USD 3.4443 15-06-20 (12) -387</t>
  </si>
  <si>
    <t>10011995</t>
  </si>
  <si>
    <t>+ILS/-USD 3.4456 03-06-20 (20) -359</t>
  </si>
  <si>
    <t>10011998</t>
  </si>
  <si>
    <t>+ILS/-USD 3.4458 17-03-20 (20) -222</t>
  </si>
  <si>
    <t>10011975</t>
  </si>
  <si>
    <t>+ILS/-USD 3.446 17-03-20 (11) -222</t>
  </si>
  <si>
    <t>10011977</t>
  </si>
  <si>
    <t>+ILS/-USD 3.446 26-06-20 (20) -400</t>
  </si>
  <si>
    <t>10012000</t>
  </si>
  <si>
    <t>+ILS/-USD 3.4467 03-06-20 (11) -358</t>
  </si>
  <si>
    <t>10011993</t>
  </si>
  <si>
    <t>+ILS/-USD 3.4468 22-04-20 (11) -277</t>
  </si>
  <si>
    <t>10011991</t>
  </si>
  <si>
    <t>+ILS/-USD 3.4481 18-03-20 (12) -219</t>
  </si>
  <si>
    <t>10011968</t>
  </si>
  <si>
    <t>+ILS/-USD 3.4492 01-04-20 (20) -168</t>
  </si>
  <si>
    <t>10012027</t>
  </si>
  <si>
    <t>+ILS/-USD 3.4503 24-03-20 (10) -209</t>
  </si>
  <si>
    <t>10012014</t>
  </si>
  <si>
    <t>+ILS/-USD 3.4515 16-03-20 (20) -205</t>
  </si>
  <si>
    <t>10011982</t>
  </si>
  <si>
    <t>+ILS/-USD 3.4515 26-03-20 (20) -175</t>
  </si>
  <si>
    <t>10012025</t>
  </si>
  <si>
    <t>+ILS/-USD 3.4527 26-03-20 (20) -173</t>
  </si>
  <si>
    <t>10012024</t>
  </si>
  <si>
    <t>+ILS/-USD 3.4973 15-01-20 (11) -127</t>
  </si>
  <si>
    <t>10011950</t>
  </si>
  <si>
    <t>+ILS/-USD 3.4973 15-01-20 (12) -127</t>
  </si>
  <si>
    <t>10011952</t>
  </si>
  <si>
    <t>+ILS/-USD 3.5068 20-02-20 (20) -202</t>
  </si>
  <si>
    <t>10011946</t>
  </si>
  <si>
    <t>+ILS/-USD 3.5083 11-02-20 (11) -217</t>
  </si>
  <si>
    <t>10011913</t>
  </si>
  <si>
    <t>+ILS/-USD 3.51 06-03-20 (20) -249</t>
  </si>
  <si>
    <t>10011924</t>
  </si>
  <si>
    <t>+ILS/-USD 3.511 05-02-20 (20) -190</t>
  </si>
  <si>
    <t>10011914</t>
  </si>
  <si>
    <t>+ILS/-USD 3.5119 20-02-20 (10) -201</t>
  </si>
  <si>
    <t>10011940</t>
  </si>
  <si>
    <t>+ILS/-USD 3.5128 20-02-20 (12) -202</t>
  </si>
  <si>
    <t>10011944</t>
  </si>
  <si>
    <t>+ILS/-USD 3.513 06-03-20 (11) -248</t>
  </si>
  <si>
    <t>10011922</t>
  </si>
  <si>
    <t>+ILS/-USD 3.513 20-02-20 (11) -201</t>
  </si>
  <si>
    <t>10011942</t>
  </si>
  <si>
    <t>+ILS/-USD 3.513 23-01-20 (11) -168.5</t>
  </si>
  <si>
    <t>10011930</t>
  </si>
  <si>
    <t>+ILS/-USD 3.517 29-01-20 (12) -190</t>
  </si>
  <si>
    <t>10011911</t>
  </si>
  <si>
    <t>+USD/-ILS 3.42 15-09-20 (11) -545</t>
  </si>
  <si>
    <t>10012020</t>
  </si>
  <si>
    <t>+USD/-ILS 3.4235 15-09-20 (10) -545</t>
  </si>
  <si>
    <t>10012018</t>
  </si>
  <si>
    <t>+USD/-CAD 1.33546 09-01-20 (10) -49.4</t>
  </si>
  <si>
    <t>10011677</t>
  </si>
  <si>
    <t>+USD/-CAD 1.33558 09-01-20 (11) -49.2</t>
  </si>
  <si>
    <t>10011679</t>
  </si>
  <si>
    <t>+USD/-CAD 1.336 09-01-20 (20) -49</t>
  </si>
  <si>
    <t>10011681</t>
  </si>
  <si>
    <t>+USD/-EUR 1.147715 30-03-20 (10) +239.15</t>
  </si>
  <si>
    <t>10011704</t>
  </si>
  <si>
    <t>+USD/-EUR 1.14825 30-03-20 (12) +239.9</t>
  </si>
  <si>
    <t>10011706</t>
  </si>
  <si>
    <t>+USD/-EUR 1.14919 24-02-20 (11) +204.9</t>
  </si>
  <si>
    <t>10011714</t>
  </si>
  <si>
    <t>+USD/-EUR 1.14923 24-02-20 (10) +204.3</t>
  </si>
  <si>
    <t>10011712</t>
  </si>
  <si>
    <t>+USD/-EUR 1.14998 24-02-20 (12) +204.8</t>
  </si>
  <si>
    <t>10011716</t>
  </si>
  <si>
    <t>+USD/-EUR 1.15135 13-01-20 (10) +189.5</t>
  </si>
  <si>
    <t>10011685</t>
  </si>
  <si>
    <t>+USD/-EUR 1.15137 13-01-20 (12) +189.7</t>
  </si>
  <si>
    <t>10011687</t>
  </si>
  <si>
    <t>+USD/-EUR 1.15185 27-01-20 (12) +197.5</t>
  </si>
  <si>
    <t>10011693</t>
  </si>
  <si>
    <t>+USD/-EUR 1.1639 27-04-20 (20) +249</t>
  </si>
  <si>
    <t>10011728</t>
  </si>
  <si>
    <t>+USD/-EUR 1.16395 27-04-20 (10) +249.5</t>
  </si>
  <si>
    <t>10011726</t>
  </si>
  <si>
    <t>+USD/-GBP 1.27965 03-02-20 (12) +116.5</t>
  </si>
  <si>
    <t>10011695</t>
  </si>
  <si>
    <t>+USD/-GBP 1.27965 03-02-20 (20) +116.5</t>
  </si>
  <si>
    <t>10011697</t>
  </si>
  <si>
    <t>+USD/-GBP 1.2817 02-03-20 (12) +117</t>
  </si>
  <si>
    <t>10011739</t>
  </si>
  <si>
    <t>+USD/-GBP 1.2817 02-03-20 (20) +117</t>
  </si>
  <si>
    <t>10011741</t>
  </si>
  <si>
    <t>+USD/-GBP 1.28271 02-03-20 (10) +117.1</t>
  </si>
  <si>
    <t>10011737</t>
  </si>
  <si>
    <t>+USD/-JPY 106.733 10-02-20 (12) -183.7</t>
  </si>
  <si>
    <t>10011702</t>
  </si>
  <si>
    <t>+EUR/-USD 1.12285 21-01-20 (20) +128.5</t>
  </si>
  <si>
    <t>10000051</t>
  </si>
  <si>
    <t>+EUR/-USD 1.12406 21-01-20 (12) +125.6</t>
  </si>
  <si>
    <t>10000056</t>
  </si>
  <si>
    <t>+EUR/-USD 1.1318 04-05-20 (12) +202</t>
  </si>
  <si>
    <t>10000035</t>
  </si>
  <si>
    <t>+USD/-CAD 1.3072 18-02-20 (10) -38</t>
  </si>
  <si>
    <t>10011752</t>
  </si>
  <si>
    <t>+USD/-CAD 1.30724 18-02-20 (12) -37.6</t>
  </si>
  <si>
    <t>10011754</t>
  </si>
  <si>
    <t>+USD/-CAD 1.30725 18-02-20 (20) -37.5</t>
  </si>
  <si>
    <t>10011756</t>
  </si>
  <si>
    <t>+USD/-EUR 1.11335 20-04-20 (10) +176.5</t>
  </si>
  <si>
    <t>10011883</t>
  </si>
  <si>
    <t>+USD/-EUR 1.1218 04-05-20 (12) +193</t>
  </si>
  <si>
    <t>10000061</t>
  </si>
  <si>
    <t>+USD/-EUR 1.12187 04-05-20 (20) +193.7</t>
  </si>
  <si>
    <t>10000063</t>
  </si>
  <si>
    <t>+USD/-EUR 1.12622 20-04-20 (10) +225.2</t>
  </si>
  <si>
    <t>10011811</t>
  </si>
  <si>
    <t>+USD/-EUR 1.1274 21-01-20 (12) +155</t>
  </si>
  <si>
    <t>10000032</t>
  </si>
  <si>
    <t>+USD/-EUR 1.1282 04-05-20 (12) +239</t>
  </si>
  <si>
    <t>10000022</t>
  </si>
  <si>
    <t>+USD/-EUR 1.1297 21-01-20 (12) +155</t>
  </si>
  <si>
    <t>10000037</t>
  </si>
  <si>
    <t>+USD/-EUR 1.1297 21-01-20 (20) +155</t>
  </si>
  <si>
    <t>10000036</t>
  </si>
  <si>
    <t>+USD/-EUR 1.13 21-01-20 (20) +157</t>
  </si>
  <si>
    <t>+USD/-EUR 1.1593 27-04-20 (11) +251</t>
  </si>
  <si>
    <t>10011750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</si>
  <si>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</si>
  <si>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</si>
  <si>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</si>
  <si>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</si>
  <si>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</si>
  <si>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</si>
  <si>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1.23453 03-02-20 (20) +71.3</t>
  </si>
  <si>
    <t>10011864</t>
  </si>
  <si>
    <t>+USD/-GBP 1.23637 23-04-20 (10) +97.7</t>
  </si>
  <si>
    <t>10011860</t>
  </si>
  <si>
    <t>+USD/-GBP 1.23675 23-04-20 (11) +97.5</t>
  </si>
  <si>
    <t>10011862</t>
  </si>
  <si>
    <t>+USD/-GBP 1.25345 02-03-20 (20) +117.5</t>
  </si>
  <si>
    <t>10011781</t>
  </si>
  <si>
    <t>+USD/-GBP 1.26118 02-03-20 (10) +117.8</t>
  </si>
  <si>
    <t>10011795</t>
  </si>
  <si>
    <t>+EUR/-USD 1.11132 21-01-20 (20) +37.2</t>
  </si>
  <si>
    <t>10000093</t>
  </si>
  <si>
    <t>+EUR/-USD 1.12313 12-03-20 (12) +108.3</t>
  </si>
  <si>
    <t>10000049</t>
  </si>
  <si>
    <t>+GBP/-USD 1.29927 16-01-20 (20) +14.7</t>
  </si>
  <si>
    <t>10000060</t>
  </si>
  <si>
    <t>+GBP/-USD 1.3364 03-02-20 (20) +24</t>
  </si>
  <si>
    <t>10012022</t>
  </si>
  <si>
    <t>+JPY/-USD 107.742 10-02-20 (12) -68.8</t>
  </si>
  <si>
    <t>10011948</t>
  </si>
  <si>
    <t>+USD/-EUR 1.10684 12-03-20 (20) +121.4</t>
  </si>
  <si>
    <t>10000067</t>
  </si>
  <si>
    <t>+USD/-EUR 1.108 12-03-20 (12) +117</t>
  </si>
  <si>
    <t>10000070</t>
  </si>
  <si>
    <t>+USD/-EUR 1.10845 12-03-20 (12) +121.5</t>
  </si>
  <si>
    <t>10000044</t>
  </si>
  <si>
    <t>+USD/-EUR 1.10949 05-03-20 (20) +74.9</t>
  </si>
  <si>
    <t>+USD/-EUR 1.1105 21-01-20 (20) +73</t>
  </si>
  <si>
    <t>10000073</t>
  </si>
  <si>
    <t>+USD/-EUR 1.1108 21-01-20 (12) +73</t>
  </si>
  <si>
    <t>10000072</t>
  </si>
  <si>
    <t>+USD/-EUR 1.11155 20-04-20 (12) +151.5</t>
  </si>
  <si>
    <t>10011909</t>
  </si>
  <si>
    <t>+USD/-EUR 1.1123 04-05-20 (12) +153</t>
  </si>
  <si>
    <t>10000069</t>
  </si>
  <si>
    <t>+USD/-EUR 1.1123 04-05-20 (20) +153</t>
  </si>
  <si>
    <t>10000068</t>
  </si>
  <si>
    <t>+USD/-EUR 1.11272 12-03-20 (12) +107.2</t>
  </si>
  <si>
    <t>10000071</t>
  </si>
  <si>
    <t>+USD/-EUR 1.1158 04-05-20 (20) +144</t>
  </si>
  <si>
    <t>10000046</t>
  </si>
  <si>
    <t>+USD/-EUR 1.1171 04-05-20 (20) +95</t>
  </si>
  <si>
    <t>+USD/-EUR 1.1183 13-01-20 (12) +63</t>
  </si>
  <si>
    <t>10011917</t>
  </si>
  <si>
    <t>+USD/-EUR 1.11933 05-03-20 (20) +98.3</t>
  </si>
  <si>
    <t>10000081</t>
  </si>
  <si>
    <t>+USD/-EUR 1.12086 20-04-20 (12) +118.6</t>
  </si>
  <si>
    <t>10011956</t>
  </si>
  <si>
    <t>+USD/-EUR 1.1219 20-04-20 (12) +129</t>
  </si>
  <si>
    <t>10011920</t>
  </si>
  <si>
    <t>+USD/-EUR 1.1224 08-06-20 (11) +139</t>
  </si>
  <si>
    <t>10011970</t>
  </si>
  <si>
    <t>+USD/-EUR 1.1225 20-04-20 (12) +119</t>
  </si>
  <si>
    <t>10011953</t>
  </si>
  <si>
    <t>+USD/-EUR 1.12275 05-03-20 (12) +100.5</t>
  </si>
  <si>
    <t>10000077</t>
  </si>
  <si>
    <t>+USD/-EUR 1.12275 20-07-20 (12) +156.5</t>
  </si>
  <si>
    <t>10012015</t>
  </si>
  <si>
    <t>+USD/-EUR 1.12321 29-06-20 (10) +142.1</t>
  </si>
  <si>
    <t>10012009</t>
  </si>
  <si>
    <t>+USD/-EUR 1.12332 29-06-20 (11) +142.2</t>
  </si>
  <si>
    <t>10012007</t>
  </si>
  <si>
    <t>+USD/-EUR 1.1234 29-06-20 (20) +142</t>
  </si>
  <si>
    <t>10012005</t>
  </si>
  <si>
    <t>+USD/-EUR 1.12345 12-03-20 (12) +105.5</t>
  </si>
  <si>
    <t>10000079</t>
  </si>
  <si>
    <t>+USD/-EUR 1.1235 05-03-20 (20) +101</t>
  </si>
  <si>
    <t>10000047</t>
  </si>
  <si>
    <t>+USD/-EUR 1.12355 05-03-20 (12) +100.5</t>
  </si>
  <si>
    <t>10000076</t>
  </si>
  <si>
    <t>+USD/-EUR 1.1241 20-04-20 (12) +127</t>
  </si>
  <si>
    <t>10011932</t>
  </si>
  <si>
    <t>+USD/-EUR 1.12505 04-05-20 (12) +136.5</t>
  </si>
  <si>
    <t>10000084</t>
  </si>
  <si>
    <t>+USD/-EUR 1.1262 20-04-20 (12) +133</t>
  </si>
  <si>
    <t>10011919</t>
  </si>
  <si>
    <t>+USD/-GBP 1.23785 18-05-20 (10) +88.5</t>
  </si>
  <si>
    <t>10011902</t>
  </si>
  <si>
    <t>+USD/-GBP 1.23814 18-05-20 (12) +88.4</t>
  </si>
  <si>
    <t>10011904</t>
  </si>
  <si>
    <t>+USD/-GBP 1.29565 18-05-20 (12) +73.5</t>
  </si>
  <si>
    <t>10011934</t>
  </si>
  <si>
    <t>+USD/-JPY 107.03 26-05-20 (10) -135</t>
  </si>
  <si>
    <t>10011936</t>
  </si>
  <si>
    <t>+USD/-JPY 107.05 26-05-20 (12) -135</t>
  </si>
  <si>
    <t>10011938</t>
  </si>
  <si>
    <t>IRS</t>
  </si>
  <si>
    <t>10000000</t>
  </si>
  <si>
    <t>10000002</t>
  </si>
  <si>
    <t/>
  </si>
  <si>
    <t>דולר ניו-זילנד</t>
  </si>
  <si>
    <t>כתר נורבגי</t>
  </si>
  <si>
    <t>רובל רוסי</t>
  </si>
  <si>
    <t>יואן סיני</t>
  </si>
  <si>
    <t>פועלים סהר</t>
  </si>
  <si>
    <t>בנק דיסקונט לישראל בע"מ</t>
  </si>
  <si>
    <t>30111000</t>
  </si>
  <si>
    <t>30011000</t>
  </si>
  <si>
    <t>בנק הפועלים בע"מ</t>
  </si>
  <si>
    <t>30112000</t>
  </si>
  <si>
    <t>30012000</t>
  </si>
  <si>
    <t>בנק לאומי לישראל בע"מ</t>
  </si>
  <si>
    <t>34110000</t>
  </si>
  <si>
    <t>30110000</t>
  </si>
  <si>
    <t>בנק מזרחי טפחות בע"מ</t>
  </si>
  <si>
    <t>30120000</t>
  </si>
  <si>
    <t>יו בנק</t>
  </si>
  <si>
    <t>30026000</t>
  </si>
  <si>
    <t>30395000</t>
  </si>
  <si>
    <t>דירוג פנימי</t>
  </si>
  <si>
    <t>32095000</t>
  </si>
  <si>
    <t>31012000</t>
  </si>
  <si>
    <t>30312000</t>
  </si>
  <si>
    <t>31712000</t>
  </si>
  <si>
    <t>31112000</t>
  </si>
  <si>
    <t>30212000</t>
  </si>
  <si>
    <t>31212000</t>
  </si>
  <si>
    <t>32012000</t>
  </si>
  <si>
    <t>30710000</t>
  </si>
  <si>
    <t>32010000</t>
  </si>
  <si>
    <t>34610000</t>
  </si>
  <si>
    <t>34510000</t>
  </si>
  <si>
    <t>30810000</t>
  </si>
  <si>
    <t>33810000</t>
  </si>
  <si>
    <t>31710000</t>
  </si>
  <si>
    <t>30310000</t>
  </si>
  <si>
    <t>31210000</t>
  </si>
  <si>
    <t>31110000</t>
  </si>
  <si>
    <t>30210000</t>
  </si>
  <si>
    <t>34010000</t>
  </si>
  <si>
    <t>32610000</t>
  </si>
  <si>
    <t>34520000</t>
  </si>
  <si>
    <t>31720000</t>
  </si>
  <si>
    <t>31220000</t>
  </si>
  <si>
    <t>32020000</t>
  </si>
  <si>
    <t>34020000</t>
  </si>
  <si>
    <t>30320000</t>
  </si>
  <si>
    <t>31120000</t>
  </si>
  <si>
    <t>32011000</t>
  </si>
  <si>
    <t>30311000</t>
  </si>
  <si>
    <t>30211000</t>
  </si>
  <si>
    <t>30326000</t>
  </si>
  <si>
    <t>31726000</t>
  </si>
  <si>
    <t>30226000</t>
  </si>
  <si>
    <t>UBS</t>
  </si>
  <si>
    <t>30391000</t>
  </si>
  <si>
    <t>32091000</t>
  </si>
  <si>
    <t>31791000</t>
  </si>
  <si>
    <t>30891000</t>
  </si>
  <si>
    <t>30291000</t>
  </si>
  <si>
    <t>סוויסקי</t>
  </si>
  <si>
    <t>30396000</t>
  </si>
  <si>
    <t>שעבוד פוליסות ב.חיים - לא צמוד</t>
  </si>
  <si>
    <t>לא</t>
  </si>
  <si>
    <t>333360107</t>
  </si>
  <si>
    <t>AA+</t>
  </si>
  <si>
    <t>שעבוד פוליסות ב.חיים - מדד מחירים לצרכן7891</t>
  </si>
  <si>
    <t>333360307</t>
  </si>
  <si>
    <t>כן</t>
  </si>
  <si>
    <t>AA</t>
  </si>
  <si>
    <t>A+</t>
  </si>
  <si>
    <t>A</t>
  </si>
  <si>
    <t>Baa1.il</t>
  </si>
  <si>
    <t>D</t>
  </si>
  <si>
    <t>אדנים 2022 6.2%</t>
  </si>
  <si>
    <t>7252844</t>
  </si>
  <si>
    <t>אדנים 2028 5.65%</t>
  </si>
  <si>
    <t>7252851</t>
  </si>
  <si>
    <t>בנק הפועלים 6</t>
  </si>
  <si>
    <t>6626253</t>
  </si>
  <si>
    <t>בנק הפועלים פקדון</t>
  </si>
  <si>
    <t>6620405</t>
  </si>
  <si>
    <t>בנק מזרחי 5.51% 5/2023</t>
  </si>
  <si>
    <t>טפחות פקדון 2029 5.75%</t>
  </si>
  <si>
    <t>6682264</t>
  </si>
  <si>
    <t>משכן 2021 5.25%</t>
  </si>
  <si>
    <t>6477178</t>
  </si>
  <si>
    <t>משכן 2028 5.6%</t>
  </si>
  <si>
    <t>6477574</t>
  </si>
  <si>
    <t>פועלים 2024 5.1%</t>
  </si>
  <si>
    <t>6620264</t>
  </si>
  <si>
    <t>פועלים 26/5/2018 5</t>
  </si>
  <si>
    <t>6626394</t>
  </si>
  <si>
    <t>פועלים פקדון 5.05%</t>
  </si>
  <si>
    <t>6620447</t>
  </si>
  <si>
    <t>פועלים פקדון 5.05% 2027</t>
  </si>
  <si>
    <t>6620512</t>
  </si>
  <si>
    <t>אוצר השלטון 2022 6.5%</t>
  </si>
  <si>
    <t>6396220</t>
  </si>
  <si>
    <t>אוצר השלטון 2023 6.2%</t>
  </si>
  <si>
    <t>6396329</t>
  </si>
  <si>
    <t>ירושלים 2022 6.3%</t>
  </si>
  <si>
    <t>7265499</t>
  </si>
  <si>
    <t>נדלן קרית הלאום</t>
  </si>
  <si>
    <t>השכרה</t>
  </si>
  <si>
    <t>ישראל גלילי 3, ראשון לציון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</si>
  <si>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</si>
  <si>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</si>
  <si>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</si>
  <si>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</si>
  <si>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</si>
  <si>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</si>
  <si>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קניון הזהב ראשלצ</t>
  </si>
  <si>
    <t>קניון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</si>
  <si>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</si>
  <si>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</si>
  <si>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</si>
  <si>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</si>
  <si>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</si>
  <si>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</si>
  <si>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</si>
  <si>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</si>
  <si>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</si>
  <si>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</si>
  <si>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</si>
  <si>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</si>
  <si>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</si>
  <si>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</si>
  <si>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</si>
  <si>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מתקן ראשל'צ</t>
  </si>
  <si>
    <t>סחרוב 12, ראשון לציון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</si>
  <si>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</si>
  <si>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</si>
  <si>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</si>
  <si>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</si>
  <si>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</si>
  <si>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</si>
  <si>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רוטשילד 1 תא</t>
  </si>
  <si>
    <t>רוטשילד 1, תל אביב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</si>
  <si>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</si>
  <si>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</si>
  <si>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</si>
  <si>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</si>
  <si>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סופר פארם בת ים</t>
  </si>
  <si>
    <t>שד העצמאות 67, בת ים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</si>
  <si>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</si>
  <si>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</si>
  <si>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</si>
  <si>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</si>
  <si>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</si>
  <si>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</si>
  <si>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</si>
  <si>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</si>
  <si>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</si>
  <si>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</si>
  <si>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</si>
  <si>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</si>
  <si>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</si>
  <si>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</si>
  <si>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אלביט נתניה - עלות</t>
  </si>
  <si>
    <t>המחשב 2, איזור תעשיה ספיר, נתניה</t>
  </si>
  <si>
    <t>נדלן בית גהה</t>
  </si>
  <si>
    <t>אפעל 15, קריית אריה, פתח תקוה</t>
  </si>
  <si>
    <t>נדלן מגדלי הסיבים פת-עלות-לא מניב</t>
  </si>
  <si>
    <t>נדלן פסגות ירושלים</t>
  </si>
  <si>
    <t>מרכז מסחרי, שכונת רוממה, ירושלים</t>
  </si>
  <si>
    <t>נדלן אחד העם 56 ת"א</t>
  </si>
  <si>
    <t>אחד העם 56, תל אביב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</si>
  <si>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</si>
  <si>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</si>
  <si>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</si>
  <si>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</si>
  <si>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קרדן אן.וי אגח ב חש 2/18</t>
  </si>
  <si>
    <t>1143270</t>
  </si>
  <si>
    <t>דיסקונט שטרי הון נדחים  סדב</t>
  </si>
  <si>
    <t>דרך ארץ   חוב נחות</t>
  </si>
  <si>
    <t>90150100</t>
  </si>
  <si>
    <t>90150200</t>
  </si>
  <si>
    <t>Citymark Building*</t>
  </si>
  <si>
    <t>Accelmed growth partners</t>
  </si>
  <si>
    <t>NOY 2 infra &amp; energy investment LP</t>
  </si>
  <si>
    <t>ANATOMY 2</t>
  </si>
  <si>
    <t>ANATOMY I</t>
  </si>
  <si>
    <t>Ares Special Situations Fund IV</t>
  </si>
  <si>
    <t>Argan Capital L.P</t>
  </si>
  <si>
    <t>Avista Capital Partners L.P</t>
  </si>
  <si>
    <t>Accelmed medical</t>
  </si>
  <si>
    <t>Brookfield  RE  II</t>
  </si>
  <si>
    <t>Blackstone RE VIII</t>
  </si>
  <si>
    <t>Fortissimo Capital Fund II</t>
  </si>
  <si>
    <t>Fortissimo Capital Fund I - makefet</t>
  </si>
  <si>
    <t>Fortissimo Capital Fund III</t>
  </si>
  <si>
    <t>Graph Tech Brookfield</t>
  </si>
  <si>
    <t>Gavea III</t>
  </si>
  <si>
    <t>Gavea IV</t>
  </si>
  <si>
    <t>Klirmark Opportunity I</t>
  </si>
  <si>
    <t>Klirmark Opportunity II</t>
  </si>
  <si>
    <t>Israel Cleantech Ventures II</t>
  </si>
  <si>
    <t>KOTAK- CIIF I</t>
  </si>
  <si>
    <t>Olympus Capital Asia III L.P</t>
  </si>
  <si>
    <t>Orbimed Israel Partners I</t>
  </si>
  <si>
    <t>Reality III</t>
  </si>
  <si>
    <t>Rhone Capital Partners V</t>
  </si>
  <si>
    <t>Rothschild Real Estate</t>
  </si>
  <si>
    <t>Selene -mak</t>
  </si>
  <si>
    <t>Shamrock Israel Growth I</t>
  </si>
  <si>
    <t>Silverfleet II</t>
  </si>
  <si>
    <t>Sky I</t>
  </si>
  <si>
    <t>Sky II</t>
  </si>
  <si>
    <t>Tene Growth II</t>
  </si>
  <si>
    <t>Tene Growth II- Qnergy</t>
  </si>
  <si>
    <t>Tene Growth III</t>
  </si>
  <si>
    <t>THOMA BRAVO XII</t>
  </si>
  <si>
    <t>Trilantic capital partners V</t>
  </si>
  <si>
    <t>VICTORIA I</t>
  </si>
  <si>
    <t>Vintage IV Migdal LP</t>
  </si>
  <si>
    <t>Viola PE II LP</t>
  </si>
  <si>
    <t>FIMI 6</t>
  </si>
  <si>
    <t>Advent</t>
  </si>
  <si>
    <t>meridiam III</t>
  </si>
  <si>
    <t>Orbimed  II</t>
  </si>
  <si>
    <t>NOY 2 co-investment Ashalim plot A</t>
  </si>
  <si>
    <t>apollo  II</t>
  </si>
  <si>
    <t>Bluebay SLFI</t>
  </si>
  <si>
    <t>harbourvest ח-ן מנוהל</t>
  </si>
  <si>
    <t>harbourvest DOVER</t>
  </si>
  <si>
    <t>Warburg Pincus China I</t>
  </si>
  <si>
    <t>Permira</t>
  </si>
  <si>
    <t>SVB VIII</t>
  </si>
  <si>
    <t>sky III</t>
  </si>
  <si>
    <t>Crescent mezzanine VII</t>
  </si>
  <si>
    <t>ARES private credit solutions</t>
  </si>
  <si>
    <t>Migdal-HarbourVest 2016 Fund L.P. (Tranche B)</t>
  </si>
  <si>
    <t>harbourvest part' co inv fund IV (Tranche B)</t>
  </si>
  <si>
    <t>waterton</t>
  </si>
  <si>
    <t>Vintage Migdal Co-investment</t>
  </si>
  <si>
    <t>Kartesia Credit Opportunities IV SCS</t>
  </si>
  <si>
    <t>ICG SDP III</t>
  </si>
  <si>
    <t>HARBOURVEST project Celtics</t>
  </si>
  <si>
    <t>infrared infrastructure fund v</t>
  </si>
  <si>
    <t>tene growth capital IV</t>
  </si>
  <si>
    <t>HARBOURVEST pamlico</t>
  </si>
  <si>
    <t>Patria VI</t>
  </si>
  <si>
    <t>Migdal-HarbourVes project Draco</t>
  </si>
  <si>
    <t>Enlight</t>
  </si>
  <si>
    <t>Helios Renewable Energy 1</t>
  </si>
  <si>
    <t>ICGL V</t>
  </si>
  <si>
    <t>ACE IV</t>
  </si>
  <si>
    <t>SVB IX</t>
  </si>
  <si>
    <t>Migdal-HarbourVest Project Saxa</t>
  </si>
  <si>
    <t>Vintage Fund of Funds (access) V</t>
  </si>
  <si>
    <t>PGCO IV Co-mingled Fund SCSP</t>
  </si>
  <si>
    <t>TPG ASIA VII L.P</t>
  </si>
  <si>
    <t xml:space="preserve">ADLS </t>
  </si>
  <si>
    <t>ADLS  co-inv</t>
  </si>
  <si>
    <t>KELSO INVESTMENT ASSOCIATES X - HARB B</t>
  </si>
  <si>
    <t xml:space="preserve">TDLIV </t>
  </si>
  <si>
    <t>JP Morgan IIF - עמיתים</t>
  </si>
  <si>
    <t>EC1 ADLS  co-inv</t>
  </si>
  <si>
    <t xml:space="preserve">WSREDII </t>
  </si>
  <si>
    <t>JCI Power Solut</t>
  </si>
  <si>
    <t>KSO I</t>
  </si>
  <si>
    <t>Reality IV</t>
  </si>
  <si>
    <t>EC2 ADLS  co-inv</t>
  </si>
  <si>
    <t>Kartesia Credit Opportunities V</t>
  </si>
  <si>
    <t>PERMIRA CREDIT SOLUTIONS IV</t>
  </si>
  <si>
    <t>BROOKFIELD HSO CO-INVEST L.P</t>
  </si>
  <si>
    <t>KLIRMARK III</t>
  </si>
  <si>
    <t>GLOBAL INFRASTRUCTURE PARTNERS IV</t>
  </si>
  <si>
    <t>Arclight Energy Partners Fund VII L.P</t>
  </si>
  <si>
    <t>VINTAGE MIGDAL CO-INVESTMENT II LP</t>
  </si>
  <si>
    <t>PERMIRA VII PCS</t>
  </si>
  <si>
    <t>סה"כ יתרות התחייבות להשקעה</t>
  </si>
  <si>
    <t>גורם 111</t>
  </si>
  <si>
    <t>גורם 112</t>
  </si>
  <si>
    <t>גורם 151</t>
  </si>
  <si>
    <t>גורם 80</t>
  </si>
  <si>
    <t>גורם 37</t>
  </si>
  <si>
    <t>גורם 98</t>
  </si>
  <si>
    <t>גורם 105</t>
  </si>
  <si>
    <t>גורם 43</t>
  </si>
  <si>
    <t>גורם 104</t>
  </si>
  <si>
    <t>סה"כ בחו"ל</t>
  </si>
  <si>
    <t>brookfield III F3</t>
  </si>
  <si>
    <t>HARBOURVEST incline</t>
  </si>
  <si>
    <t>גורם 137</t>
  </si>
  <si>
    <t>גורם 148</t>
  </si>
  <si>
    <t>גורם 143</t>
  </si>
  <si>
    <t>גורם 125</t>
  </si>
  <si>
    <t>גורם 138</t>
  </si>
  <si>
    <t>גורם 149</t>
  </si>
  <si>
    <t>גורם 142</t>
  </si>
  <si>
    <t>גורם 128</t>
  </si>
  <si>
    <t>גורם 124</t>
  </si>
  <si>
    <t>גורם 139</t>
  </si>
  <si>
    <t>גורם 87</t>
  </si>
  <si>
    <t>גורם 146</t>
  </si>
  <si>
    <t>גורם 119</t>
  </si>
  <si>
    <t>בבטחונות אחרים - גורם 119</t>
  </si>
  <si>
    <t>בבטחונות אחרים - גורם 07</t>
  </si>
  <si>
    <t>בבטחונות אחרים - גורם 80</t>
  </si>
  <si>
    <t>בבטחונות אחרים-גורם 7</t>
  </si>
  <si>
    <t>בבטחונות אחרים - גורם 94</t>
  </si>
  <si>
    <t>בבטחונות אחרים - גורם 29</t>
  </si>
  <si>
    <t>בבטחונות אחרים-גורם 29</t>
  </si>
  <si>
    <t>בבטחונות אחרים - גורם 111</t>
  </si>
  <si>
    <t>בבטחונות אחרים-גורם 41</t>
  </si>
  <si>
    <t>בבטחונות אחרים - גורם 41</t>
  </si>
  <si>
    <t>בבטחונות אחרים-גורם 75</t>
  </si>
  <si>
    <t>בבטחונות אחרים-גורם 26</t>
  </si>
  <si>
    <t>בבטחונות אחרים גורם 26</t>
  </si>
  <si>
    <t>בבטחונות אחרים - גורם 37</t>
  </si>
  <si>
    <t>בבטחונות אחרים-גורם 35</t>
  </si>
  <si>
    <t>בבטחונות אחרים-גורם 63</t>
  </si>
  <si>
    <t>בבטחונות אחרים-גורם 33</t>
  </si>
  <si>
    <t>בבטחונות אחרים - גורם 89</t>
  </si>
  <si>
    <t>בבטחונות אחרים-גורם 105</t>
  </si>
  <si>
    <t>בבטחונות אחרים-גורם 62</t>
  </si>
  <si>
    <t>בבטחונות אחרים - גורם 40</t>
  </si>
  <si>
    <t>בבטחונות אחרים-גורם 64</t>
  </si>
  <si>
    <t>בבטחונות אחרים - גורם 81</t>
  </si>
  <si>
    <t>בבטחונות אחרים-גורם 43</t>
  </si>
  <si>
    <t>בבטחונות אחרים - גורם 96</t>
  </si>
  <si>
    <t>בבטחונות אחרים - גורם 129</t>
  </si>
  <si>
    <t>בבטחונות אחרים - גורם 43</t>
  </si>
  <si>
    <t>בבטחונות אחרים - גורם 38</t>
  </si>
  <si>
    <t>בבטחונות אחרים - גורם 98*</t>
  </si>
  <si>
    <t>בבטחונות אחרים-גורם 38</t>
  </si>
  <si>
    <t>בבטחונות אחרים - גורם 76</t>
  </si>
  <si>
    <t>בבטחונות אחרים - גורם 30</t>
  </si>
  <si>
    <t>בבטחונות אחרים - גורם 47</t>
  </si>
  <si>
    <t>בבטחונות אחרים-גורם 78</t>
  </si>
  <si>
    <t>בבטחונות אחרים-גורם 77</t>
  </si>
  <si>
    <t>בבטחונות אחרים-גורם 103</t>
  </si>
  <si>
    <t>בבטחונות אחרים - גורם 104</t>
  </si>
  <si>
    <t>בבטחונות אחרים - גורם 90</t>
  </si>
  <si>
    <t>בבטחונות אחרים-גורם 70</t>
  </si>
  <si>
    <t>בבטחונות אחרים - גורם 14*</t>
  </si>
  <si>
    <t>בבטחונות אחרים - גורם 130</t>
  </si>
  <si>
    <t>בבטחונות אחרים - גורם 61</t>
  </si>
  <si>
    <t>בבטחונות אחרים - גורם 115*</t>
  </si>
  <si>
    <t>בבטחונות אחרים - גורם 102</t>
  </si>
  <si>
    <t>בבטחונות אחרים-גורם 108</t>
  </si>
  <si>
    <t>בבטחונות אחרים-גורם 106</t>
  </si>
  <si>
    <t>בבטחונות אחרים-גורם 84</t>
  </si>
  <si>
    <t>בבטחונות אחרים - גורם 117</t>
  </si>
  <si>
    <t>בבטחונות אחרים - גורם 97</t>
  </si>
  <si>
    <t>בבטחונות אחרים-גורם 110</t>
  </si>
  <si>
    <t>בבטחונות אחרים - גורם 126</t>
  </si>
  <si>
    <t>בבטחונות אחרים - גורם 100</t>
  </si>
  <si>
    <t>בבטחונות אחרים - גורם 125</t>
  </si>
  <si>
    <t>בבטחונות אחרים - גורם 112</t>
  </si>
  <si>
    <t>בבטחונות אחרים - גורם 107</t>
  </si>
  <si>
    <t>בבטחונות אחרים - גורם 88</t>
  </si>
  <si>
    <t>בבטחונות אחרים - גורם 122</t>
  </si>
  <si>
    <t>בבטחונות אחרים - גורם 127</t>
  </si>
  <si>
    <t>בבטחונות אחרים - גורם 91</t>
  </si>
  <si>
    <t>בבטחונות אחרים - גורם 86</t>
  </si>
  <si>
    <t>בבטחונות אחרים - גורם 101</t>
  </si>
  <si>
    <t>בבטחונות אחרים - גורם 124</t>
  </si>
  <si>
    <t>בבטחונות אחרים - גורם 123</t>
  </si>
  <si>
    <t>בבטחונות אחרים - גורם 79</t>
  </si>
  <si>
    <t>בבטחונות אחרים - גורם 120</t>
  </si>
  <si>
    <t>בבטחונות אחרים - גורם 87</t>
  </si>
  <si>
    <t>בבטחונות אחרים - גורם 134</t>
  </si>
  <si>
    <t>בבטחונות אחרים - גורם 132</t>
  </si>
  <si>
    <t>בבטחונות אחרים - גורם 133</t>
  </si>
  <si>
    <t>בבטחונות אחרים - גורם 141</t>
  </si>
  <si>
    <t>בבטחונות אחרים - גורם 121</t>
  </si>
  <si>
    <t>בבטחונות אחרים - גורם 140</t>
  </si>
  <si>
    <t>בבטחונות אחרים - גורם 131</t>
  </si>
  <si>
    <t>בבטחונות אחרים - גורם 138</t>
  </si>
  <si>
    <t>מובטחות משכנתא - גורם 01</t>
  </si>
  <si>
    <t>בבטחונות אחרים - גורם 147</t>
  </si>
  <si>
    <t>בבטחונות אחרים - גורם 144</t>
  </si>
  <si>
    <t>בבטחונות אחרים - גורם 152</t>
  </si>
  <si>
    <t>בבטחונות אחרים - גורם 137</t>
  </si>
  <si>
    <t>בבטחונות אחרים - גורם 148</t>
  </si>
  <si>
    <t>בבטחונות אחרים - גורם 143</t>
  </si>
  <si>
    <t>בבטחונות אחרים - גורם 149</t>
  </si>
  <si>
    <t>בבטחונות אחרים - גורם 142</t>
  </si>
  <si>
    <t>בבטחונות אחרים - גורם 135</t>
  </si>
  <si>
    <t>בבטחונות אחרים - גורם 139</t>
  </si>
  <si>
    <t>בבטחונות אחרים - גורם 146</t>
  </si>
  <si>
    <t>גורם 144</t>
  </si>
  <si>
    <t>פח"ק/פר"י</t>
  </si>
  <si>
    <t>35195000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</si>
</sst>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  <numFmt numFmtId="170" formatCode="_ * #,##0_ ;_ * \-#,##0_ ;_ * &quot;-&quot;??_ ;_ @_ "/>
  </numFmts>
  <fonts count="35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Times New Roman"/>
      <family val="1"/>
    </font>
    <font>
      <sz val="11"/>
      <color theme="1"/>
      <name val="Times New Roman"/>
      <family val="2"/>
      <charset val="177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21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184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168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/>
    </xf>
    <xf numFmtId="0" fontId="29" fillId="0" borderId="30" xfId="0" applyFont="1" applyFill="1" applyBorder="1" applyAlignment="1">
      <alignment horizontal="right" indent="1"/>
    </xf>
    <xf numFmtId="0" fontId="29" fillId="0" borderId="30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3"/>
    </xf>
    <xf numFmtId="0" fontId="30" fillId="0" borderId="30" xfId="0" applyFont="1" applyFill="1" applyBorder="1" applyAlignment="1">
      <alignment horizontal="right" indent="2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29" fillId="0" borderId="32" xfId="0" applyFont="1" applyFill="1" applyBorder="1" applyAlignment="1">
      <alignment horizontal="right"/>
    </xf>
    <xf numFmtId="0" fontId="29" fillId="0" borderId="32" xfId="0" applyNumberFormat="1" applyFont="1" applyFill="1" applyBorder="1" applyAlignment="1">
      <alignment horizontal="right"/>
    </xf>
    <xf numFmtId="4" fontId="29" fillId="0" borderId="32" xfId="0" applyNumberFormat="1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64" fontId="3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30" fillId="0" borderId="0" xfId="0" applyFont="1" applyFill="1" applyBorder="1" applyAlignment="1"/>
    <xf numFmtId="164" fontId="7" fillId="0" borderId="31" xfId="13" applyFont="1" applyFill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right" vertical="center" readingOrder="2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right" vertical="center" readingOrder="2"/>
    </xf>
    <xf numFmtId="0" fontId="20" fillId="0" borderId="0" xfId="0" applyFont="1" applyFill="1" applyAlignment="1">
      <alignment horizontal="center"/>
    </xf>
    <xf numFmtId="0" fontId="12" fillId="0" borderId="0" xfId="0" applyFont="1" applyFill="1" applyAlignment="1">
      <alignment horizontal="right" readingOrder="2"/>
    </xf>
    <xf numFmtId="0" fontId="32" fillId="0" borderId="0" xfId="0" applyFont="1" applyFill="1"/>
    <xf numFmtId="10" fontId="30" fillId="0" borderId="0" xfId="14" applyNumberFormat="1" applyFont="1" applyFill="1" applyBorder="1" applyAlignment="1">
      <alignment horizontal="right"/>
    </xf>
    <xf numFmtId="10" fontId="29" fillId="0" borderId="32" xfId="0" applyNumberFormat="1" applyFont="1" applyFill="1" applyBorder="1" applyAlignment="1">
      <alignment horizontal="right"/>
    </xf>
    <xf numFmtId="10" fontId="31" fillId="0" borderId="0" xfId="16" applyNumberFormat="1" applyFon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horizontal="right"/>
    </xf>
    <xf numFmtId="164" fontId="30" fillId="0" borderId="0" xfId="13" applyFont="1" applyFill="1" applyBorder="1" applyAlignment="1">
      <alignment horizontal="right"/>
    </xf>
    <xf numFmtId="0" fontId="30" fillId="0" borderId="0" xfId="19" applyFont="1" applyFill="1" applyBorder="1" applyAlignment="1">
      <alignment horizontal="right" indent="3"/>
    </xf>
    <xf numFmtId="14" fontId="32" fillId="0" borderId="0" xfId="0" applyNumberFormat="1" applyFont="1" applyFill="1"/>
    <xf numFmtId="0" fontId="32" fillId="0" borderId="0" xfId="0" applyFont="1" applyFill="1" applyAlignment="1">
      <alignment horizontal="right"/>
    </xf>
    <xf numFmtId="14" fontId="2" fillId="0" borderId="0" xfId="17" applyNumberFormat="1" applyFill="1"/>
    <xf numFmtId="0" fontId="7" fillId="0" borderId="0" xfId="0" applyFont="1" applyFill="1" applyAlignment="1">
      <alignment horizontal="right" readingOrder="2"/>
    </xf>
    <xf numFmtId="0" fontId="29" fillId="0" borderId="0" xfId="20" applyFont="1" applyFill="1" applyBorder="1" applyAlignment="1">
      <alignment horizontal="right" indent="2"/>
    </xf>
    <xf numFmtId="0" fontId="29" fillId="0" borderId="0" xfId="20" applyNumberFormat="1" applyFont="1" applyFill="1" applyBorder="1" applyAlignment="1">
      <alignment horizontal="right"/>
    </xf>
    <xf numFmtId="4" fontId="29" fillId="0" borderId="0" xfId="20" applyNumberFormat="1" applyFont="1" applyFill="1" applyBorder="1" applyAlignment="1">
      <alignment horizontal="right"/>
    </xf>
    <xf numFmtId="10" fontId="29" fillId="0" borderId="0" xfId="20" applyNumberFormat="1" applyFont="1" applyFill="1" applyBorder="1" applyAlignment="1">
      <alignment horizontal="right"/>
    </xf>
    <xf numFmtId="0" fontId="30" fillId="0" borderId="0" xfId="20" applyFont="1" applyFill="1" applyBorder="1" applyAlignment="1">
      <alignment horizontal="right" indent="3"/>
    </xf>
    <xf numFmtId="0" fontId="30" fillId="0" borderId="0" xfId="20" applyNumberFormat="1" applyFont="1" applyFill="1" applyBorder="1" applyAlignment="1">
      <alignment horizontal="right"/>
    </xf>
    <xf numFmtId="49" fontId="30" fillId="0" borderId="0" xfId="20" applyNumberFormat="1" applyFont="1" applyFill="1" applyBorder="1" applyAlignment="1">
      <alignment horizontal="right"/>
    </xf>
    <xf numFmtId="167" fontId="30" fillId="0" borderId="0" xfId="20" applyNumberFormat="1" applyFont="1" applyFill="1" applyBorder="1" applyAlignment="1">
      <alignment horizontal="right"/>
    </xf>
    <xf numFmtId="4" fontId="30" fillId="0" borderId="0" xfId="20" applyNumberFormat="1" applyFont="1" applyFill="1" applyBorder="1" applyAlignment="1">
      <alignment horizontal="right"/>
    </xf>
    <xf numFmtId="10" fontId="30" fillId="0" borderId="0" xfId="20" applyNumberFormat="1" applyFont="1" applyFill="1" applyBorder="1" applyAlignment="1">
      <alignment horizontal="right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Fill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</cellXfs>
  <cellStyles count="21">
    <cellStyle name="Comma" xfId="13" builtinId="3"/>
    <cellStyle name="Comma 2" xfId="1"/>
    <cellStyle name="Comma 3" xfId="15"/>
    <cellStyle name="Comma 4" xfId="18"/>
    <cellStyle name="Currency [0] _1" xfId="2"/>
    <cellStyle name="Hyperlink 2" xfId="3"/>
    <cellStyle name="Normal" xfId="0" builtinId="0"/>
    <cellStyle name="Normal 11" xfId="4"/>
    <cellStyle name="Normal 15" xfId="19"/>
    <cellStyle name="Normal 2" xfId="5"/>
    <cellStyle name="Normal 26" xfId="20"/>
    <cellStyle name="Normal 3" xfId="6"/>
    <cellStyle name="Normal 4" xfId="12"/>
    <cellStyle name="Normal 5" xfId="17"/>
    <cellStyle name="Normal_2007-16618" xfId="7"/>
    <cellStyle name="Percent" xfId="14" builtinId="5"/>
    <cellStyle name="Percent 2" xfId="8"/>
    <cellStyle name="Percent 3" xfId="16"/>
    <cellStyle name="Text" xfId="9"/>
    <cellStyle name="Total" xfId="10"/>
    <cellStyle name="היפר-קישור" xfId="11" builtinId="8"/>
  </cellStyles>
  <dxfs count="9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198120</xdr:colOff>
      <xdr:row>50</xdr:row>
      <xdr:rowOff>0</xdr:rowOff>
    </xdr:from>
    <xdr:to>
      <xdr:col>27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91;&#1497;&#1493;&#1493;&#1495;%20&#1499;&#1505;&#1508;&#1497;/&#1512;&#1513;&#1497;&#1502;&#1493;&#1514;%20&#1504;&#1499;&#1505;&#1497;&#1501;/2019/12-19/&#1512;&#1513;&#1497;&#1502;&#1514;%20&#1504;&#1499;&#1505;&#1497;&#1501;%20&#1512;&#1488;&#1513;&#1493;&#1504;&#1497;&#1514;%2031.01.2020/&#1492;&#1514;&#1488;&#1502;&#1493;&#1514;%20&#1500;&#1512;&#1513;&#1497;&#1502;&#1493;&#1514;%20&#1504;&#1499;&#1505;&#1497;&#1501;%20&#1512;&#1488;&#1513;&#1493;&#1504;&#1497;&#1493;&#1514;%2012-19/&#1511;&#1489;&#1510;&#1497;&#1501;%20&#1500;&#1491;&#1497;&#1493;&#1493;&#1495;%2012-19/&#1488;&#1497;&#1513;&#1497;&#1514;%20&#1500;&#1491;&#1497;&#1493;&#1493;&#1495;%2012-19/512237744_p2102_0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קרנ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 refreshError="1">
        <row r="42">
          <cell r="C42">
            <v>58106055.110561989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V66"/>
  <sheetViews>
    <sheetView rightToLeft="1" tabSelected="1" workbookViewId="0">
      <selection activeCell="Q16" sqref="Q16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22" width="6.7109375" style="9" customWidth="1"/>
    <col min="23" max="25" width="7.7109375" style="9" customWidth="1"/>
    <col min="26" max="26" width="7.140625" style="9" customWidth="1"/>
    <col min="27" max="27" width="6" style="9" customWidth="1"/>
    <col min="28" max="28" width="8.140625" style="9" customWidth="1"/>
    <col min="29" max="29" width="6.28515625" style="9" customWidth="1"/>
    <col min="30" max="30" width="8" style="9" customWidth="1"/>
    <col min="31" max="31" width="8.7109375" style="9" customWidth="1"/>
    <col min="32" max="32" width="10" style="9" customWidth="1"/>
    <col min="33" max="33" width="9.5703125" style="9" customWidth="1"/>
    <col min="34" max="34" width="6.140625" style="9" customWidth="1"/>
    <col min="35" max="36" width="5.7109375" style="9" customWidth="1"/>
    <col min="37" max="37" width="6.85546875" style="9" customWidth="1"/>
    <col min="38" max="38" width="6.42578125" style="9" customWidth="1"/>
    <col min="39" max="39" width="6.7109375" style="9" customWidth="1"/>
    <col min="40" max="40" width="7.28515625" style="9" customWidth="1"/>
    <col min="41" max="52" width="5.7109375" style="9" customWidth="1"/>
    <col min="53" max="16384" width="9.140625" style="9"/>
  </cols>
  <sheetData>
    <row r="1" spans="1:22">
      <c r="B1" s="57" t="s">
        <v>185</v>
      </c>
      <c r="C1" s="78" t="s" vm="1">
        <v>273</v>
      </c>
    </row>
    <row r="2" spans="1:22">
      <c r="B2" s="57" t="s">
        <v>184</v>
      </c>
      <c r="C2" s="78" t="s">
        <v>274</v>
      </c>
    </row>
    <row r="3" spans="1:22">
      <c r="B3" s="57" t="s">
        <v>186</v>
      </c>
      <c r="C3" s="78" t="s">
        <v>275</v>
      </c>
    </row>
    <row r="4" spans="1:22">
      <c r="B4" s="57" t="s">
        <v>187</v>
      </c>
      <c r="C4" s="78">
        <v>2102</v>
      </c>
    </row>
    <row r="6" spans="1:22" ht="26.25" customHeight="1">
      <c r="B6" s="167" t="s">
        <v>201</v>
      </c>
      <c r="C6" s="168"/>
      <c r="D6" s="169"/>
    </row>
    <row r="7" spans="1:22" s="10" customFormat="1">
      <c r="B7" s="23"/>
      <c r="C7" s="24" t="s">
        <v>118</v>
      </c>
      <c r="D7" s="25" t="s">
        <v>116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s="10" customFormat="1">
      <c r="B8" s="23"/>
      <c r="C8" s="26" t="s">
        <v>252</v>
      </c>
      <c r="D8" s="27" t="s">
        <v>20</v>
      </c>
    </row>
    <row r="9" spans="1:22" s="11" customFormat="1" ht="18" customHeight="1">
      <c r="B9" s="37"/>
      <c r="C9" s="20" t="s">
        <v>1</v>
      </c>
      <c r="D9" s="28" t="s">
        <v>2</v>
      </c>
    </row>
    <row r="10" spans="1:22" s="11" customFormat="1" ht="18" customHeight="1">
      <c r="B10" s="67" t="s">
        <v>200</v>
      </c>
      <c r="C10" s="115">
        <f>C11+C12+C23+C33+C34+C35+C37</f>
        <v>57997948.661213376</v>
      </c>
      <c r="D10" s="116">
        <f>C10/$C$42</f>
        <v>0.99813934451028263</v>
      </c>
    </row>
    <row r="11" spans="1:22">
      <c r="A11" s="45" t="s">
        <v>149</v>
      </c>
      <c r="B11" s="29" t="s">
        <v>202</v>
      </c>
      <c r="C11" s="115">
        <f>מזומנים!J10</f>
        <v>4522816.4666750962</v>
      </c>
      <c r="D11" s="116">
        <f t="shared" ref="D11:D13" si="0">C11/$C$42</f>
        <v>7.7837254033890288E-2</v>
      </c>
    </row>
    <row r="12" spans="1:22">
      <c r="B12" s="29" t="s">
        <v>203</v>
      </c>
      <c r="C12" s="115">
        <f>C13+C15+C16+C17+C18+C19+C20+C21</f>
        <v>25284901.533747185</v>
      </c>
      <c r="D12" s="116">
        <f t="shared" si="0"/>
        <v>0.43515082214932693</v>
      </c>
    </row>
    <row r="13" spans="1:22">
      <c r="A13" s="55" t="s">
        <v>149</v>
      </c>
      <c r="B13" s="30" t="s">
        <v>74</v>
      </c>
      <c r="C13" s="115">
        <f>'תעודות התחייבות ממשלתיות'!O11</f>
        <v>2656678.5092126275</v>
      </c>
      <c r="D13" s="116">
        <f t="shared" si="0"/>
        <v>4.5721191989905971E-2</v>
      </c>
    </row>
    <row r="14" spans="1:22">
      <c r="A14" s="55" t="s">
        <v>149</v>
      </c>
      <c r="B14" s="30" t="s">
        <v>75</v>
      </c>
      <c r="C14" s="115" t="s" vm="2">
        <v>2761</v>
      </c>
      <c r="D14" s="116" t="s" vm="3">
        <v>2761</v>
      </c>
    </row>
    <row r="15" spans="1:22">
      <c r="A15" s="55" t="s">
        <v>149</v>
      </c>
      <c r="B15" s="30" t="s">
        <v>76</v>
      </c>
      <c r="C15" s="115">
        <f>'אג"ח קונצרני'!R11</f>
        <v>5265474.3141494561</v>
      </c>
      <c r="D15" s="116">
        <f t="shared" ref="D15:D21" si="1">C15/$C$42</f>
        <v>9.0618327057757589E-2</v>
      </c>
    </row>
    <row r="16" spans="1:22">
      <c r="A16" s="55" t="s">
        <v>149</v>
      </c>
      <c r="B16" s="30" t="s">
        <v>77</v>
      </c>
      <c r="C16" s="115">
        <f>מניות!L11</f>
        <v>8411467.9829910845</v>
      </c>
      <c r="D16" s="116">
        <f t="shared" si="1"/>
        <v>0.14476058779173209</v>
      </c>
    </row>
    <row r="17" spans="1:4">
      <c r="A17" s="55" t="s">
        <v>149</v>
      </c>
      <c r="B17" s="30" t="s">
        <v>266</v>
      </c>
      <c r="C17" s="115">
        <f>'קרנות סל'!K11</f>
        <v>6719044.4009583984</v>
      </c>
      <c r="D17" s="116">
        <f t="shared" si="1"/>
        <v>0.11563413411883579</v>
      </c>
    </row>
    <row r="18" spans="1:4">
      <c r="A18" s="55" t="s">
        <v>149</v>
      </c>
      <c r="B18" s="30" t="s">
        <v>78</v>
      </c>
      <c r="C18" s="115">
        <f>'קרנות נאמנות'!L11</f>
        <v>2112089.4961245069</v>
      </c>
      <c r="D18" s="116">
        <f t="shared" si="1"/>
        <v>3.6348865328380456E-2</v>
      </c>
    </row>
    <row r="19" spans="1:4">
      <c r="A19" s="55" t="s">
        <v>149</v>
      </c>
      <c r="B19" s="30" t="s">
        <v>79</v>
      </c>
      <c r="C19" s="115">
        <f>'כתבי אופציה'!I11</f>
        <v>740.75481072299999</v>
      </c>
      <c r="D19" s="116">
        <f t="shared" si="1"/>
        <v>1.27483219369853E-5</v>
      </c>
    </row>
    <row r="20" spans="1:4">
      <c r="A20" s="55" t="s">
        <v>149</v>
      </c>
      <c r="B20" s="30" t="s">
        <v>80</v>
      </c>
      <c r="C20" s="115">
        <f>אופציות!I11</f>
        <v>6132.2261767950004</v>
      </c>
      <c r="D20" s="116">
        <f t="shared" si="1"/>
        <v>1.0553504663154244E-4</v>
      </c>
    </row>
    <row r="21" spans="1:4">
      <c r="A21" s="55" t="s">
        <v>149</v>
      </c>
      <c r="B21" s="30" t="s">
        <v>81</v>
      </c>
      <c r="C21" s="115">
        <f>'חוזים עתידיים'!I11</f>
        <v>113273.849323594</v>
      </c>
      <c r="D21" s="116">
        <f t="shared" si="1"/>
        <v>1.949432494146479E-3</v>
      </c>
    </row>
    <row r="22" spans="1:4">
      <c r="A22" s="55" t="s">
        <v>149</v>
      </c>
      <c r="B22" s="30" t="s">
        <v>82</v>
      </c>
      <c r="C22" s="115" t="s" vm="4">
        <v>2761</v>
      </c>
      <c r="D22" s="116" t="s" vm="5">
        <v>2761</v>
      </c>
    </row>
    <row r="23" spans="1:4">
      <c r="B23" s="29" t="s">
        <v>204</v>
      </c>
      <c r="C23" s="115">
        <f>C24+C26+C27+C28+C31</f>
        <v>21325632.360083632</v>
      </c>
      <c r="D23" s="116">
        <f t="shared" ref="D23:D24" si="2">C23/$C$42</f>
        <v>0.36701216502500733</v>
      </c>
    </row>
    <row r="24" spans="1:4">
      <c r="A24" s="55" t="s">
        <v>149</v>
      </c>
      <c r="B24" s="30" t="s">
        <v>83</v>
      </c>
      <c r="C24" s="115">
        <f>'לא סחיר- תעודות התחייבות ממשלתי'!M11</f>
        <v>15881208.834719995</v>
      </c>
      <c r="D24" s="116">
        <f t="shared" si="2"/>
        <v>0.27331413855537373</v>
      </c>
    </row>
    <row r="25" spans="1:4">
      <c r="A25" s="55" t="s">
        <v>149</v>
      </c>
      <c r="B25" s="30" t="s">
        <v>84</v>
      </c>
      <c r="C25" s="115" t="s" vm="6">
        <v>2761</v>
      </c>
      <c r="D25" s="116" t="s" vm="7">
        <v>2761</v>
      </c>
    </row>
    <row r="26" spans="1:4">
      <c r="A26" s="55" t="s">
        <v>149</v>
      </c>
      <c r="B26" s="30" t="s">
        <v>76</v>
      </c>
      <c r="C26" s="115">
        <f>'לא סחיר - אג"ח קונצרני'!P11</f>
        <v>1003198.66778</v>
      </c>
      <c r="D26" s="116">
        <f t="shared" ref="D26:D28" si="3">C26/$C$42</f>
        <v>1.7264956499076448E-2</v>
      </c>
    </row>
    <row r="27" spans="1:4">
      <c r="A27" s="55" t="s">
        <v>149</v>
      </c>
      <c r="B27" s="30" t="s">
        <v>85</v>
      </c>
      <c r="C27" s="115">
        <f>'לא סחיר - מניות'!J11</f>
        <v>1047487.3541300001</v>
      </c>
      <c r="D27" s="116">
        <f t="shared" si="3"/>
        <v>1.802716070427748E-2</v>
      </c>
    </row>
    <row r="28" spans="1:4">
      <c r="A28" s="55" t="s">
        <v>149</v>
      </c>
      <c r="B28" s="30" t="s">
        <v>86</v>
      </c>
      <c r="C28" s="115">
        <f>'לא סחיר - קרנות השקעה'!H11</f>
        <v>3300128.8312199996</v>
      </c>
      <c r="D28" s="116">
        <f t="shared" si="3"/>
        <v>5.6794912655183237E-2</v>
      </c>
    </row>
    <row r="29" spans="1:4">
      <c r="A29" s="55" t="s">
        <v>149</v>
      </c>
      <c r="B29" s="30" t="s">
        <v>87</v>
      </c>
      <c r="C29" s="115" t="s" vm="8">
        <v>2761</v>
      </c>
      <c r="D29" s="116" t="s" vm="9">
        <v>2761</v>
      </c>
    </row>
    <row r="30" spans="1:4">
      <c r="A30" s="55" t="s">
        <v>149</v>
      </c>
      <c r="B30" s="30" t="s">
        <v>227</v>
      </c>
      <c r="C30" s="115" t="s" vm="10">
        <v>2761</v>
      </c>
      <c r="D30" s="116" t="s" vm="11">
        <v>2761</v>
      </c>
    </row>
    <row r="31" spans="1:4">
      <c r="A31" s="55" t="s">
        <v>149</v>
      </c>
      <c r="B31" s="30" t="s">
        <v>112</v>
      </c>
      <c r="C31" s="115">
        <f>'לא סחיר - חוזים עתידיים'!I11</f>
        <v>93608.672233638034</v>
      </c>
      <c r="D31" s="116">
        <f>C31/$C$42</f>
        <v>1.6109966110964625E-3</v>
      </c>
    </row>
    <row r="32" spans="1:4">
      <c r="A32" s="55" t="s">
        <v>149</v>
      </c>
      <c r="B32" s="30" t="s">
        <v>88</v>
      </c>
      <c r="C32" s="115" t="s" vm="12">
        <v>2761</v>
      </c>
      <c r="D32" s="116" t="s" vm="13">
        <v>2761</v>
      </c>
    </row>
    <row r="33" spans="1:4">
      <c r="A33" s="55" t="s">
        <v>149</v>
      </c>
      <c r="B33" s="29" t="s">
        <v>205</v>
      </c>
      <c r="C33" s="115">
        <f>הלוואות!O10</f>
        <v>4941168.6001699995</v>
      </c>
      <c r="D33" s="116">
        <f>C33/$C$42</f>
        <v>8.5037055646534868E-2</v>
      </c>
    </row>
    <row r="34" spans="1:4">
      <c r="A34" s="55" t="s">
        <v>149</v>
      </c>
      <c r="B34" s="29" t="s">
        <v>206</v>
      </c>
      <c r="C34" s="115">
        <f>'פקדונות מעל 3 חודשים'!M10</f>
        <v>195331.94036000001</v>
      </c>
      <c r="D34" s="116">
        <f>C34/$C$42</f>
        <v>3.3616446687059964E-3</v>
      </c>
    </row>
    <row r="35" spans="1:4">
      <c r="A35" s="55" t="s">
        <v>149</v>
      </c>
      <c r="B35" s="29" t="s">
        <v>207</v>
      </c>
      <c r="C35" s="115">
        <f>'זכויות מקרקעין'!G10</f>
        <v>1727801.3289000001</v>
      </c>
      <c r="D35" s="116">
        <f>C35/$C$42</f>
        <v>2.9735301431886216E-2</v>
      </c>
    </row>
    <row r="36" spans="1:4">
      <c r="A36" s="55" t="s">
        <v>149</v>
      </c>
      <c r="B36" s="56" t="s">
        <v>208</v>
      </c>
      <c r="C36" s="115" t="s" vm="14">
        <v>2761</v>
      </c>
      <c r="D36" s="116" t="s" vm="15">
        <v>2761</v>
      </c>
    </row>
    <row r="37" spans="1:4">
      <c r="A37" s="55" t="s">
        <v>149</v>
      </c>
      <c r="B37" s="29" t="s">
        <v>209</v>
      </c>
      <c r="C37" s="115">
        <f>'השקעות אחרות '!I10</f>
        <v>296.43127746299996</v>
      </c>
      <c r="D37" s="116">
        <f>C37/$C$42</f>
        <v>5.1015549309787324E-6</v>
      </c>
    </row>
    <row r="38" spans="1:4">
      <c r="A38" s="55"/>
      <c r="B38" s="68" t="s">
        <v>211</v>
      </c>
      <c r="C38" s="115">
        <f>C40+C41</f>
        <v>108115.36701999999</v>
      </c>
      <c r="D38" s="116">
        <f>C38/$C$42</f>
        <v>1.8606554897173451E-3</v>
      </c>
    </row>
    <row r="39" spans="1:4">
      <c r="A39" s="55" t="s">
        <v>149</v>
      </c>
      <c r="B39" s="69" t="s">
        <v>212</v>
      </c>
      <c r="C39" s="115" t="s" vm="16">
        <v>2761</v>
      </c>
      <c r="D39" s="116" t="s" vm="17">
        <v>2761</v>
      </c>
    </row>
    <row r="40" spans="1:4">
      <c r="A40" s="55" t="s">
        <v>149</v>
      </c>
      <c r="B40" s="69" t="s">
        <v>250</v>
      </c>
      <c r="C40" s="115">
        <f>'עלות מתואמת אג"ח קונצרני ל.סחיר'!M10</f>
        <v>92179.324689999994</v>
      </c>
      <c r="D40" s="116">
        <f>C40/$C$42</f>
        <v>1.5863976717681416E-3</v>
      </c>
    </row>
    <row r="41" spans="1:4">
      <c r="A41" s="55" t="s">
        <v>149</v>
      </c>
      <c r="B41" s="69" t="s">
        <v>213</v>
      </c>
      <c r="C41" s="115">
        <f>'עלות מתואמת מסגרות אשראי ללווים'!M10</f>
        <v>15936.04233</v>
      </c>
      <c r="D41" s="116">
        <f>C41/$C$42</f>
        <v>2.7425781794920362E-4</v>
      </c>
    </row>
    <row r="42" spans="1:4">
      <c r="B42" s="69" t="s">
        <v>89</v>
      </c>
      <c r="C42" s="115">
        <f>C38+C10</f>
        <v>58106064.028233379</v>
      </c>
      <c r="D42" s="116">
        <f>C42/$C$42</f>
        <v>1</v>
      </c>
    </row>
    <row r="43" spans="1:4">
      <c r="A43" s="55" t="s">
        <v>149</v>
      </c>
      <c r="B43" s="69" t="s">
        <v>210</v>
      </c>
      <c r="C43" s="134">
        <f>'יתרת התחייבות להשקעה'!C10</f>
        <v>4518335.7426134925</v>
      </c>
      <c r="D43" s="116"/>
    </row>
    <row r="44" spans="1:4">
      <c r="B44" s="6" t="s">
        <v>117</v>
      </c>
    </row>
    <row r="45" spans="1:4">
      <c r="C45" s="75" t="s">
        <v>192</v>
      </c>
      <c r="D45" s="36" t="s">
        <v>111</v>
      </c>
    </row>
    <row r="46" spans="1:4">
      <c r="C46" s="76" t="s">
        <v>1</v>
      </c>
      <c r="D46" s="25" t="s">
        <v>2</v>
      </c>
    </row>
    <row r="47" spans="1:4">
      <c r="C47" s="117" t="s">
        <v>173</v>
      </c>
      <c r="D47" s="118" vm="18">
        <v>2.4230999999999998</v>
      </c>
    </row>
    <row r="48" spans="1:4">
      <c r="C48" s="117" t="s">
        <v>182</v>
      </c>
      <c r="D48" s="118">
        <v>0.85865487341300406</v>
      </c>
    </row>
    <row r="49" spans="2:4">
      <c r="C49" s="117" t="s">
        <v>178</v>
      </c>
      <c r="D49" s="118" vm="19">
        <v>2.6535000000000002</v>
      </c>
    </row>
    <row r="50" spans="2:4">
      <c r="B50" s="12"/>
      <c r="C50" s="117" t="s">
        <v>1507</v>
      </c>
      <c r="D50" s="118" vm="20">
        <v>3.5750000000000002</v>
      </c>
    </row>
    <row r="51" spans="2:4">
      <c r="C51" s="117" t="s">
        <v>171</v>
      </c>
      <c r="D51" s="118" vm="21">
        <v>3.8782000000000001</v>
      </c>
    </row>
    <row r="52" spans="2:4">
      <c r="C52" s="117" t="s">
        <v>172</v>
      </c>
      <c r="D52" s="118" vm="22">
        <v>4.5597000000000003</v>
      </c>
    </row>
    <row r="53" spans="2:4">
      <c r="C53" s="117" t="s">
        <v>174</v>
      </c>
      <c r="D53" s="118">
        <v>0.44351475174210436</v>
      </c>
    </row>
    <row r="54" spans="2:4">
      <c r="C54" s="117" t="s">
        <v>179</v>
      </c>
      <c r="D54" s="118" vm="23">
        <v>3.1846999999999999</v>
      </c>
    </row>
    <row r="55" spans="2:4">
      <c r="C55" s="117" t="s">
        <v>180</v>
      </c>
      <c r="D55" s="118">
        <v>0.18275657839072681</v>
      </c>
    </row>
    <row r="56" spans="2:4">
      <c r="C56" s="117" t="s">
        <v>177</v>
      </c>
      <c r="D56" s="118" vm="24">
        <v>0.51910000000000001</v>
      </c>
    </row>
    <row r="57" spans="2:4">
      <c r="C57" s="117" t="s">
        <v>2762</v>
      </c>
      <c r="D57" s="118">
        <v>2.3265791999999998</v>
      </c>
    </row>
    <row r="58" spans="2:4">
      <c r="C58" s="117" t="s">
        <v>176</v>
      </c>
      <c r="D58" s="118" vm="25">
        <v>0.3715</v>
      </c>
    </row>
    <row r="59" spans="2:4">
      <c r="C59" s="117" t="s">
        <v>169</v>
      </c>
      <c r="D59" s="118" vm="26">
        <v>3.456</v>
      </c>
    </row>
    <row r="60" spans="2:4">
      <c r="C60" s="117" t="s">
        <v>183</v>
      </c>
      <c r="D60" s="118" vm="27">
        <v>0.2465</v>
      </c>
    </row>
    <row r="61" spans="2:4">
      <c r="C61" s="117" t="s">
        <v>2763</v>
      </c>
      <c r="D61" s="118" vm="28">
        <v>0.39319999999999999</v>
      </c>
    </row>
    <row r="62" spans="2:4">
      <c r="C62" s="117" t="s">
        <v>2764</v>
      </c>
      <c r="D62" s="118">
        <v>5.5684993087713533E-2</v>
      </c>
    </row>
    <row r="63" spans="2:4">
      <c r="C63" s="117" t="s">
        <v>2765</v>
      </c>
      <c r="D63" s="118">
        <v>0.49632352941176472</v>
      </c>
    </row>
    <row r="64" spans="2:4">
      <c r="C64" s="117" t="s">
        <v>170</v>
      </c>
      <c r="D64" s="118">
        <v>1</v>
      </c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M11" sqref="M11:P19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8.42578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7" width="11.28515625" style="1" bestFit="1" customWidth="1"/>
    <col min="8" max="9" width="7.28515625" style="1" bestFit="1" customWidth="1"/>
    <col min="10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185</v>
      </c>
      <c r="C1" s="78" t="s" vm="1">
        <v>273</v>
      </c>
    </row>
    <row r="2" spans="2:60">
      <c r="B2" s="57" t="s">
        <v>184</v>
      </c>
      <c r="C2" s="78" t="s">
        <v>274</v>
      </c>
    </row>
    <row r="3" spans="2:60">
      <c r="B3" s="57" t="s">
        <v>186</v>
      </c>
      <c r="C3" s="78" t="s">
        <v>275</v>
      </c>
    </row>
    <row r="4" spans="2:60">
      <c r="B4" s="57" t="s">
        <v>187</v>
      </c>
      <c r="C4" s="78">
        <v>2102</v>
      </c>
    </row>
    <row r="6" spans="2:60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2:60" ht="26.25" customHeight="1">
      <c r="B7" s="181" t="s">
        <v>100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  <c r="BH7" s="3"/>
    </row>
    <row r="8" spans="2:60" s="3" customFormat="1" ht="78.75">
      <c r="B8" s="23" t="s">
        <v>124</v>
      </c>
      <c r="C8" s="31" t="s">
        <v>49</v>
      </c>
      <c r="D8" s="31" t="s">
        <v>127</v>
      </c>
      <c r="E8" s="31" t="s">
        <v>70</v>
      </c>
      <c r="F8" s="31" t="s">
        <v>109</v>
      </c>
      <c r="G8" s="31" t="s">
        <v>249</v>
      </c>
      <c r="H8" s="31" t="s">
        <v>248</v>
      </c>
      <c r="I8" s="31" t="s">
        <v>67</v>
      </c>
      <c r="J8" s="31" t="s">
        <v>64</v>
      </c>
      <c r="K8" s="31" t="s">
        <v>188</v>
      </c>
      <c r="L8" s="31" t="s">
        <v>190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256</v>
      </c>
      <c r="H9" s="17"/>
      <c r="I9" s="17" t="s">
        <v>252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8" t="s">
        <v>52</v>
      </c>
      <c r="C11" s="124"/>
      <c r="D11" s="124"/>
      <c r="E11" s="124"/>
      <c r="F11" s="124"/>
      <c r="G11" s="125"/>
      <c r="H11" s="127"/>
      <c r="I11" s="125">
        <v>740.75481072299999</v>
      </c>
      <c r="J11" s="124"/>
      <c r="K11" s="126">
        <f>I11/$I$11</f>
        <v>1</v>
      </c>
      <c r="L11" s="126">
        <f>I11/'סכום נכסי הקרן'!$C$42</f>
        <v>1.27483219369853E-5</v>
      </c>
      <c r="AY11" s="100"/>
      <c r="AZ11" s="3"/>
      <c r="BA11" s="100"/>
      <c r="BC11" s="100"/>
    </row>
    <row r="12" spans="2:60" s="4" customFormat="1" ht="18" customHeight="1">
      <c r="B12" s="129" t="s">
        <v>28</v>
      </c>
      <c r="C12" s="124"/>
      <c r="D12" s="124"/>
      <c r="E12" s="124"/>
      <c r="F12" s="124"/>
      <c r="G12" s="125"/>
      <c r="H12" s="127"/>
      <c r="I12" s="125">
        <v>740.75481072299999</v>
      </c>
      <c r="J12" s="124"/>
      <c r="K12" s="126">
        <f t="shared" ref="K12:K15" si="0">I12/$I$11</f>
        <v>1</v>
      </c>
      <c r="L12" s="126">
        <f>I12/'סכום נכסי הקרן'!$C$42</f>
        <v>1.27483219369853E-5</v>
      </c>
      <c r="AY12" s="100"/>
      <c r="AZ12" s="3"/>
      <c r="BA12" s="100"/>
      <c r="BC12" s="100"/>
    </row>
    <row r="13" spans="2:60">
      <c r="B13" s="102" t="s">
        <v>1831</v>
      </c>
      <c r="C13" s="82"/>
      <c r="D13" s="82"/>
      <c r="E13" s="82"/>
      <c r="F13" s="82"/>
      <c r="G13" s="91"/>
      <c r="H13" s="93"/>
      <c r="I13" s="91">
        <v>740.75481072299999</v>
      </c>
      <c r="J13" s="82"/>
      <c r="K13" s="92">
        <f t="shared" si="0"/>
        <v>1</v>
      </c>
      <c r="L13" s="92">
        <f>I13/'סכום נכסי הקרן'!$C$42</f>
        <v>1.27483219369853E-5</v>
      </c>
      <c r="AZ13" s="3"/>
    </row>
    <row r="14" spans="2:60" ht="20.25">
      <c r="B14" s="87" t="s">
        <v>1832</v>
      </c>
      <c r="C14" s="84" t="s">
        <v>1833</v>
      </c>
      <c r="D14" s="97" t="s">
        <v>128</v>
      </c>
      <c r="E14" s="97" t="s">
        <v>196</v>
      </c>
      <c r="F14" s="97" t="s">
        <v>170</v>
      </c>
      <c r="G14" s="94">
        <v>339258.93599999999</v>
      </c>
      <c r="H14" s="96">
        <v>205.7</v>
      </c>
      <c r="I14" s="94">
        <v>697.85563135200005</v>
      </c>
      <c r="J14" s="95">
        <v>3.0533829421866054E-2</v>
      </c>
      <c r="K14" s="95">
        <f t="shared" si="0"/>
        <v>0.94208720787229316</v>
      </c>
      <c r="L14" s="95">
        <f>I14/'סכום נכסי הקרן'!$C$42</f>
        <v>1.2010031018671584E-5</v>
      </c>
      <c r="AZ14" s="4"/>
    </row>
    <row r="15" spans="2:60">
      <c r="B15" s="87" t="s">
        <v>1834</v>
      </c>
      <c r="C15" s="84" t="s">
        <v>1835</v>
      </c>
      <c r="D15" s="97" t="s">
        <v>128</v>
      </c>
      <c r="E15" s="97" t="s">
        <v>196</v>
      </c>
      <c r="F15" s="97" t="s">
        <v>170</v>
      </c>
      <c r="G15" s="94">
        <v>84447.203485999999</v>
      </c>
      <c r="H15" s="96">
        <v>50.8</v>
      </c>
      <c r="I15" s="94">
        <v>42.899179370999995</v>
      </c>
      <c r="J15" s="95">
        <v>7.0404292833197574E-2</v>
      </c>
      <c r="K15" s="95">
        <f t="shared" si="0"/>
        <v>5.7912792127706933E-2</v>
      </c>
      <c r="L15" s="95">
        <f>I15/'סכום נכסי הקרן'!$C$42</f>
        <v>7.3829091831371588E-7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265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AY19" s="4"/>
    </row>
    <row r="20" spans="2:56">
      <c r="B20" s="99" t="s">
        <v>120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247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99" t="s">
        <v>255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AG24:AG1048576 B20:B1048576 D1:L1048576 M20:AF1048576 M1:XFD19 AH20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A590"/>
  <sheetViews>
    <sheetView rightToLeft="1" workbookViewId="0">
      <selection activeCell="L11" sqref="L11"/>
    </sheetView>
  </sheetViews>
  <sheetFormatPr defaultColWidth="9.140625" defaultRowHeight="18"/>
  <cols>
    <col min="1" max="1" width="6.28515625" style="1" customWidth="1"/>
    <col min="2" max="2" width="29.42578125" style="2" bestFit="1" customWidth="1"/>
    <col min="3" max="3" width="48.425781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9.7109375" style="1" bestFit="1" customWidth="1"/>
    <col min="8" max="8" width="10.7109375" style="1" bestFit="1" customWidth="1"/>
    <col min="9" max="9" width="10.140625" style="1" bestFit="1" customWidth="1"/>
    <col min="10" max="10" width="6.28515625" style="1" bestFit="1" customWidth="1"/>
    <col min="11" max="11" width="9.85546875" style="1" bestFit="1" customWidth="1"/>
    <col min="12" max="12" width="9" style="1" bestFit="1" customWidth="1"/>
    <col min="13" max="13" width="8" style="1" customWidth="1"/>
    <col min="14" max="14" width="8.7109375" style="1" customWidth="1"/>
    <col min="15" max="15" width="10" style="1" customWidth="1"/>
    <col min="16" max="16" width="9.5703125" style="1" customWidth="1"/>
    <col min="17" max="17" width="6.140625" style="1" customWidth="1"/>
    <col min="18" max="19" width="5.7109375" style="1" customWidth="1"/>
    <col min="20" max="20" width="6.85546875" style="1" customWidth="1"/>
    <col min="21" max="21" width="6.42578125" style="1" customWidth="1"/>
    <col min="22" max="22" width="6.7109375" style="1" customWidth="1"/>
    <col min="23" max="23" width="7.28515625" style="1" customWidth="1"/>
    <col min="24" max="35" width="5.7109375" style="1" customWidth="1"/>
    <col min="36" max="16384" width="9.140625" style="1"/>
  </cols>
  <sheetData>
    <row r="1" spans="2:53">
      <c r="B1" s="57" t="s">
        <v>185</v>
      </c>
      <c r="C1" s="78" t="s" vm="1">
        <v>273</v>
      </c>
    </row>
    <row r="2" spans="2:53">
      <c r="B2" s="57" t="s">
        <v>184</v>
      </c>
      <c r="C2" s="78" t="s">
        <v>274</v>
      </c>
    </row>
    <row r="3" spans="2:53">
      <c r="B3" s="57" t="s">
        <v>186</v>
      </c>
      <c r="C3" s="78" t="s">
        <v>275</v>
      </c>
    </row>
    <row r="4" spans="2:53">
      <c r="B4" s="57" t="s">
        <v>187</v>
      </c>
      <c r="C4" s="78">
        <v>2102</v>
      </c>
    </row>
    <row r="6" spans="2:53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2:53" ht="26.25" customHeight="1">
      <c r="B7" s="181" t="s">
        <v>101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  <c r="BA7" s="3"/>
    </row>
    <row r="8" spans="2:53" s="3" customFormat="1" ht="78.75">
      <c r="B8" s="23" t="s">
        <v>124</v>
      </c>
      <c r="C8" s="31" t="s">
        <v>49</v>
      </c>
      <c r="D8" s="31" t="s">
        <v>127</v>
      </c>
      <c r="E8" s="31" t="s">
        <v>70</v>
      </c>
      <c r="F8" s="31" t="s">
        <v>109</v>
      </c>
      <c r="G8" s="31" t="s">
        <v>249</v>
      </c>
      <c r="H8" s="31" t="s">
        <v>248</v>
      </c>
      <c r="I8" s="31" t="s">
        <v>67</v>
      </c>
      <c r="J8" s="31" t="s">
        <v>64</v>
      </c>
      <c r="K8" s="31" t="s">
        <v>188</v>
      </c>
      <c r="L8" s="32" t="s">
        <v>190</v>
      </c>
      <c r="AW8" s="1"/>
      <c r="AX8" s="1"/>
    </row>
    <row r="9" spans="2:53" s="3" customFormat="1" ht="20.25">
      <c r="B9" s="16"/>
      <c r="C9" s="31"/>
      <c r="D9" s="31"/>
      <c r="E9" s="31"/>
      <c r="F9" s="31"/>
      <c r="G9" s="17" t="s">
        <v>256</v>
      </c>
      <c r="H9" s="17"/>
      <c r="I9" s="17" t="s">
        <v>252</v>
      </c>
      <c r="J9" s="17" t="s">
        <v>20</v>
      </c>
      <c r="K9" s="33" t="s">
        <v>20</v>
      </c>
      <c r="L9" s="18" t="s">
        <v>20</v>
      </c>
      <c r="AV9" s="1"/>
      <c r="AW9" s="1"/>
      <c r="AX9" s="1"/>
      <c r="AZ9" s="4"/>
    </row>
    <row r="10" spans="2:5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AV10" s="1"/>
      <c r="AW10" s="3"/>
      <c r="AX10" s="1"/>
    </row>
    <row r="11" spans="2:53" s="4" customFormat="1" ht="18" customHeight="1">
      <c r="B11" s="106" t="s">
        <v>54</v>
      </c>
      <c r="C11" s="82"/>
      <c r="D11" s="82"/>
      <c r="E11" s="82"/>
      <c r="F11" s="82"/>
      <c r="G11" s="91"/>
      <c r="H11" s="93"/>
      <c r="I11" s="91">
        <v>6132.2261767950004</v>
      </c>
      <c r="J11" s="82"/>
      <c r="K11" s="92">
        <f>I11/$I$11</f>
        <v>1</v>
      </c>
      <c r="L11" s="92">
        <f>I11/'סכום נכסי הקרן'!$C$42</f>
        <v>1.0553504663154244E-4</v>
      </c>
      <c r="AV11" s="1"/>
      <c r="AW11" s="3"/>
      <c r="AX11" s="1"/>
      <c r="AZ11" s="1"/>
    </row>
    <row r="12" spans="2:53" s="100" customFormat="1">
      <c r="B12" s="129" t="s">
        <v>243</v>
      </c>
      <c r="C12" s="124"/>
      <c r="D12" s="124"/>
      <c r="E12" s="124"/>
      <c r="F12" s="124"/>
      <c r="G12" s="125"/>
      <c r="H12" s="127"/>
      <c r="I12" s="125">
        <v>5117.1556179999998</v>
      </c>
      <c r="J12" s="124"/>
      <c r="K12" s="126">
        <f t="shared" ref="K12:K15" si="0">I12/$I$11</f>
        <v>0.83446948473033555</v>
      </c>
      <c r="L12" s="126">
        <f>I12/'סכום נכסי הקרן'!$C$42</f>
        <v>8.8065775983615165E-5</v>
      </c>
      <c r="AW12" s="3"/>
    </row>
    <row r="13" spans="2:53" ht="20.25">
      <c r="B13" s="102" t="s">
        <v>235</v>
      </c>
      <c r="C13" s="82"/>
      <c r="D13" s="82"/>
      <c r="E13" s="82"/>
      <c r="F13" s="82"/>
      <c r="G13" s="91"/>
      <c r="H13" s="93"/>
      <c r="I13" s="91">
        <v>5117.1556179999998</v>
      </c>
      <c r="J13" s="82"/>
      <c r="K13" s="92">
        <f t="shared" si="0"/>
        <v>0.83446948473033555</v>
      </c>
      <c r="L13" s="92">
        <f>I13/'סכום נכסי הקרן'!$C$42</f>
        <v>8.8065775983615165E-5</v>
      </c>
      <c r="AW13" s="4"/>
    </row>
    <row r="14" spans="2:53">
      <c r="B14" s="87" t="s">
        <v>1836</v>
      </c>
      <c r="C14" s="84" t="s">
        <v>1837</v>
      </c>
      <c r="D14" s="97" t="s">
        <v>128</v>
      </c>
      <c r="E14" s="97" t="s">
        <v>1838</v>
      </c>
      <c r="F14" s="97" t="s">
        <v>170</v>
      </c>
      <c r="G14" s="94">
        <v>2827.1577999999995</v>
      </c>
      <c r="H14" s="96">
        <v>200000</v>
      </c>
      <c r="I14" s="94">
        <v>5654.3155999999999</v>
      </c>
      <c r="J14" s="84"/>
      <c r="K14" s="95">
        <f t="shared" si="0"/>
        <v>0.92206572898379624</v>
      </c>
      <c r="L14" s="95">
        <f>I14/'סכום נכסי הקרן'!$C$42</f>
        <v>9.7310249705652113E-5</v>
      </c>
    </row>
    <row r="15" spans="2:53">
      <c r="B15" s="87" t="s">
        <v>1839</v>
      </c>
      <c r="C15" s="84" t="s">
        <v>1840</v>
      </c>
      <c r="D15" s="97" t="s">
        <v>128</v>
      </c>
      <c r="E15" s="97" t="s">
        <v>1838</v>
      </c>
      <c r="F15" s="97" t="s">
        <v>170</v>
      </c>
      <c r="G15" s="94">
        <v>-2827.1577999999995</v>
      </c>
      <c r="H15" s="96">
        <v>19000</v>
      </c>
      <c r="I15" s="94">
        <v>-537.15998200000001</v>
      </c>
      <c r="J15" s="84"/>
      <c r="K15" s="95">
        <f t="shared" si="0"/>
        <v>-8.7596244253460645E-2</v>
      </c>
      <c r="L15" s="95">
        <f>I15/'סכום נכסי הקרן'!$C$42</f>
        <v>-9.2444737220369513E-6</v>
      </c>
    </row>
    <row r="16" spans="2:53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48" s="100" customFormat="1">
      <c r="B17" s="129" t="s">
        <v>242</v>
      </c>
      <c r="C17" s="124"/>
      <c r="D17" s="124"/>
      <c r="E17" s="124"/>
      <c r="F17" s="124"/>
      <c r="G17" s="125"/>
      <c r="H17" s="127"/>
      <c r="I17" s="125">
        <v>1015.0705587949996</v>
      </c>
      <c r="J17" s="124"/>
      <c r="K17" s="126">
        <f t="shared" ref="K17:K22" si="1">I17/$I$11</f>
        <v>0.16553051526966422</v>
      </c>
      <c r="L17" s="126">
        <f>I17/'סכום נכסי הקרן'!$C$42</f>
        <v>1.7469270647927262E-5</v>
      </c>
    </row>
    <row r="18" spans="2:48" ht="20.25">
      <c r="B18" s="102" t="s">
        <v>235</v>
      </c>
      <c r="C18" s="82"/>
      <c r="D18" s="82"/>
      <c r="E18" s="82"/>
      <c r="F18" s="82"/>
      <c r="G18" s="91"/>
      <c r="H18" s="93"/>
      <c r="I18" s="91">
        <v>1015.0705587949996</v>
      </c>
      <c r="J18" s="82"/>
      <c r="K18" s="92">
        <f t="shared" si="1"/>
        <v>0.16553051526966422</v>
      </c>
      <c r="L18" s="92">
        <f>I18/'סכום נכסי הקרן'!$C$42</f>
        <v>1.7469270647927262E-5</v>
      </c>
      <c r="AV18" s="4"/>
    </row>
    <row r="19" spans="2:48">
      <c r="B19" s="87" t="s">
        <v>1841</v>
      </c>
      <c r="C19" s="84" t="s">
        <v>1842</v>
      </c>
      <c r="D19" s="97" t="s">
        <v>30</v>
      </c>
      <c r="E19" s="97" t="s">
        <v>1838</v>
      </c>
      <c r="F19" s="97" t="s">
        <v>169</v>
      </c>
      <c r="G19" s="94">
        <v>-1659.4185640000003</v>
      </c>
      <c r="H19" s="96">
        <v>526</v>
      </c>
      <c r="I19" s="94">
        <v>-3016.5839901179997</v>
      </c>
      <c r="J19" s="84"/>
      <c r="K19" s="95">
        <f t="shared" si="1"/>
        <v>-0.49192314555080768</v>
      </c>
      <c r="L19" s="95">
        <f>I19/'סכום נכסי הקרן'!$C$42</f>
        <v>-5.1915132104839526E-5</v>
      </c>
    </row>
    <row r="20" spans="2:48">
      <c r="B20" s="87" t="s">
        <v>1843</v>
      </c>
      <c r="C20" s="84" t="s">
        <v>1844</v>
      </c>
      <c r="D20" s="97" t="s">
        <v>30</v>
      </c>
      <c r="E20" s="97" t="s">
        <v>1838</v>
      </c>
      <c r="F20" s="97" t="s">
        <v>169</v>
      </c>
      <c r="G20" s="94">
        <v>1659.4185640000003</v>
      </c>
      <c r="H20" s="96">
        <v>2065</v>
      </c>
      <c r="I20" s="94">
        <v>11842.672902332999</v>
      </c>
      <c r="J20" s="84"/>
      <c r="K20" s="95">
        <f t="shared" si="1"/>
        <v>1.9312191952649984</v>
      </c>
      <c r="L20" s="95">
        <f>I20/'סכום נכסי הקרן'!$C$42</f>
        <v>2.0381130782802149E-4</v>
      </c>
    </row>
    <row r="21" spans="2:48">
      <c r="B21" s="87" t="s">
        <v>1845</v>
      </c>
      <c r="C21" s="84" t="s">
        <v>1846</v>
      </c>
      <c r="D21" s="97" t="s">
        <v>30</v>
      </c>
      <c r="E21" s="97" t="s">
        <v>1838</v>
      </c>
      <c r="F21" s="97" t="s">
        <v>169</v>
      </c>
      <c r="G21" s="94">
        <v>-283.80683499999998</v>
      </c>
      <c r="H21" s="96">
        <v>7837</v>
      </c>
      <c r="I21" s="94">
        <v>-7686.8150373330009</v>
      </c>
      <c r="J21" s="84"/>
      <c r="K21" s="95">
        <f t="shared" si="1"/>
        <v>-1.2535113375988529</v>
      </c>
      <c r="L21" s="95">
        <f>I21/'סכום נכסי הקרן'!$C$42</f>
        <v>-1.3228937746666207E-4</v>
      </c>
      <c r="AV21" s="3"/>
    </row>
    <row r="22" spans="2:48">
      <c r="B22" s="87" t="s">
        <v>1847</v>
      </c>
      <c r="C22" s="84" t="s">
        <v>1848</v>
      </c>
      <c r="D22" s="97" t="s">
        <v>1446</v>
      </c>
      <c r="E22" s="97" t="s">
        <v>1838</v>
      </c>
      <c r="F22" s="97" t="s">
        <v>169</v>
      </c>
      <c r="G22" s="94">
        <v>-536.39491799999996</v>
      </c>
      <c r="H22" s="96">
        <v>67</v>
      </c>
      <c r="I22" s="94">
        <v>-124.203316087</v>
      </c>
      <c r="J22" s="84"/>
      <c r="K22" s="95">
        <f t="shared" si="1"/>
        <v>-2.0254196845673866E-2</v>
      </c>
      <c r="L22" s="95">
        <f>I22/'סכום נכסי הקרן'!$C$42</f>
        <v>-2.1375276085926313E-6</v>
      </c>
    </row>
    <row r="23" spans="2:48">
      <c r="B23" s="83"/>
      <c r="C23" s="84"/>
      <c r="D23" s="84"/>
      <c r="E23" s="84"/>
      <c r="F23" s="84"/>
      <c r="G23" s="94"/>
      <c r="H23" s="96"/>
      <c r="I23" s="84"/>
      <c r="J23" s="84"/>
      <c r="K23" s="95"/>
      <c r="L23" s="84"/>
    </row>
    <row r="24" spans="2:48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48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48">
      <c r="B26" s="99" t="s">
        <v>265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48">
      <c r="B27" s="99" t="s">
        <v>120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48">
      <c r="B28" s="99" t="s">
        <v>247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48">
      <c r="B29" s="99" t="s">
        <v>255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48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48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48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</row>
    <row r="117" spans="2:12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</row>
    <row r="118" spans="2:12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</row>
    <row r="119" spans="2:12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</row>
    <row r="120" spans="2:12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</row>
    <row r="121" spans="2:12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</row>
    <row r="122" spans="2:12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Z41:XFD44 D1:XFD40 D41:X44 D45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D580"/>
  <sheetViews>
    <sheetView rightToLeft="1" workbookViewId="0">
      <selection activeCell="K16" sqref="K16"/>
    </sheetView>
  </sheetViews>
  <sheetFormatPr defaultColWidth="9.140625" defaultRowHeight="18"/>
  <cols>
    <col min="1" max="1" width="6.28515625" style="2" customWidth="1"/>
    <col min="2" max="2" width="33" style="2" bestFit="1" customWidth="1"/>
    <col min="3" max="3" width="48.42578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10.140625" style="1" bestFit="1" customWidth="1"/>
    <col min="8" max="8" width="10.7109375" style="1" bestFit="1" customWidth="1"/>
    <col min="9" max="9" width="11.28515625" style="1" bestFit="1" customWidth="1"/>
    <col min="10" max="10" width="9.140625" style="1" bestFit="1" customWidth="1"/>
    <col min="11" max="11" width="9" style="3" bestFit="1" customWidth="1"/>
    <col min="12" max="12" width="8.140625" style="3" customWidth="1"/>
    <col min="13" max="13" width="6.28515625" style="1" customWidth="1"/>
    <col min="14" max="14" width="8" style="1" customWidth="1"/>
    <col min="15" max="15" width="8.7109375" style="1" customWidth="1"/>
    <col min="16" max="16" width="10" style="1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1:56">
      <c r="B1" s="57" t="s">
        <v>185</v>
      </c>
      <c r="C1" s="78" t="s" vm="1">
        <v>273</v>
      </c>
    </row>
    <row r="2" spans="1:56">
      <c r="B2" s="57" t="s">
        <v>184</v>
      </c>
      <c r="C2" s="78" t="s">
        <v>274</v>
      </c>
    </row>
    <row r="3" spans="1:56">
      <c r="B3" s="57" t="s">
        <v>186</v>
      </c>
      <c r="C3" s="78" t="s">
        <v>275</v>
      </c>
    </row>
    <row r="4" spans="1:56">
      <c r="B4" s="57" t="s">
        <v>187</v>
      </c>
      <c r="C4" s="78">
        <v>2102</v>
      </c>
    </row>
    <row r="6" spans="1:56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3"/>
      <c r="AZ6" s="1" t="s">
        <v>128</v>
      </c>
      <c r="BB6" s="1" t="s">
        <v>193</v>
      </c>
      <c r="BD6" s="3" t="s">
        <v>170</v>
      </c>
    </row>
    <row r="7" spans="1:56" ht="26.25" customHeight="1">
      <c r="B7" s="181" t="s">
        <v>102</v>
      </c>
      <c r="C7" s="182"/>
      <c r="D7" s="182"/>
      <c r="E7" s="182"/>
      <c r="F7" s="182"/>
      <c r="G7" s="182"/>
      <c r="H7" s="182"/>
      <c r="I7" s="182"/>
      <c r="J7" s="182"/>
      <c r="K7" s="183"/>
      <c r="AZ7" s="3" t="s">
        <v>130</v>
      </c>
      <c r="BB7" s="1" t="s">
        <v>150</v>
      </c>
      <c r="BD7" s="3" t="s">
        <v>169</v>
      </c>
    </row>
    <row r="8" spans="1:56" s="3" customFormat="1" ht="78.75">
      <c r="A8" s="2"/>
      <c r="B8" s="23" t="s">
        <v>124</v>
      </c>
      <c r="C8" s="31" t="s">
        <v>49</v>
      </c>
      <c r="D8" s="31" t="s">
        <v>127</v>
      </c>
      <c r="E8" s="31" t="s">
        <v>70</v>
      </c>
      <c r="F8" s="31" t="s">
        <v>109</v>
      </c>
      <c r="G8" s="31" t="s">
        <v>249</v>
      </c>
      <c r="H8" s="31" t="s">
        <v>248</v>
      </c>
      <c r="I8" s="31" t="s">
        <v>67</v>
      </c>
      <c r="J8" s="31" t="s">
        <v>188</v>
      </c>
      <c r="K8" s="31" t="s">
        <v>190</v>
      </c>
      <c r="AY8" s="1" t="s">
        <v>143</v>
      </c>
      <c r="AZ8" s="1" t="s">
        <v>144</v>
      </c>
      <c r="BA8" s="1" t="s">
        <v>151</v>
      </c>
      <c r="BC8" s="4" t="s">
        <v>171</v>
      </c>
    </row>
    <row r="9" spans="1:56" s="3" customFormat="1" ht="18.75" customHeight="1">
      <c r="A9" s="2"/>
      <c r="B9" s="16"/>
      <c r="C9" s="17"/>
      <c r="D9" s="17"/>
      <c r="E9" s="17"/>
      <c r="F9" s="17"/>
      <c r="G9" s="17" t="s">
        <v>256</v>
      </c>
      <c r="H9" s="17"/>
      <c r="I9" s="17" t="s">
        <v>252</v>
      </c>
      <c r="J9" s="33" t="s">
        <v>20</v>
      </c>
      <c r="K9" s="58" t="s">
        <v>20</v>
      </c>
      <c r="AY9" s="1" t="s">
        <v>140</v>
      </c>
      <c r="BA9" s="1" t="s">
        <v>152</v>
      </c>
      <c r="BC9" s="4" t="s">
        <v>172</v>
      </c>
    </row>
    <row r="10" spans="1:56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AY10" s="1" t="s">
        <v>136</v>
      </c>
      <c r="AZ10" s="3"/>
      <c r="BA10" s="1" t="s">
        <v>194</v>
      </c>
      <c r="BC10" s="1" t="s">
        <v>178</v>
      </c>
    </row>
    <row r="11" spans="1:56" s="4" customFormat="1" ht="18" customHeight="1">
      <c r="A11" s="114"/>
      <c r="B11" s="128" t="s">
        <v>53</v>
      </c>
      <c r="C11" s="124"/>
      <c r="D11" s="124"/>
      <c r="E11" s="124"/>
      <c r="F11" s="124"/>
      <c r="G11" s="125"/>
      <c r="H11" s="127"/>
      <c r="I11" s="125">
        <v>113273.849323594</v>
      </c>
      <c r="J11" s="126">
        <f>I11/$I$11</f>
        <v>1</v>
      </c>
      <c r="K11" s="126">
        <f>I11/'סכום נכסי הקרן'!$C$42</f>
        <v>1.949432494146479E-3</v>
      </c>
      <c r="AY11" s="100" t="s">
        <v>135</v>
      </c>
      <c r="AZ11" s="3"/>
      <c r="BA11" s="100" t="s">
        <v>153</v>
      </c>
      <c r="BC11" s="100" t="s">
        <v>173</v>
      </c>
    </row>
    <row r="12" spans="1:56" s="100" customFormat="1" ht="20.25">
      <c r="A12" s="114"/>
      <c r="B12" s="129" t="s">
        <v>245</v>
      </c>
      <c r="C12" s="124"/>
      <c r="D12" s="124"/>
      <c r="E12" s="124"/>
      <c r="F12" s="124"/>
      <c r="G12" s="125"/>
      <c r="H12" s="127"/>
      <c r="I12" s="125">
        <v>113273.849323594</v>
      </c>
      <c r="J12" s="126">
        <f t="shared" ref="J12:J16" si="0">I12/$I$11</f>
        <v>1</v>
      </c>
      <c r="K12" s="126">
        <f>I12/'סכום נכסי הקרן'!$C$42</f>
        <v>1.949432494146479E-3</v>
      </c>
      <c r="AY12" s="100" t="s">
        <v>133</v>
      </c>
      <c r="AZ12" s="4"/>
      <c r="BA12" s="100" t="s">
        <v>154</v>
      </c>
      <c r="BC12" s="100" t="s">
        <v>174</v>
      </c>
    </row>
    <row r="13" spans="1:56">
      <c r="B13" s="83" t="s">
        <v>1849</v>
      </c>
      <c r="C13" s="84" t="s">
        <v>1850</v>
      </c>
      <c r="D13" s="97" t="s">
        <v>30</v>
      </c>
      <c r="E13" s="97" t="s">
        <v>1838</v>
      </c>
      <c r="F13" s="97" t="s">
        <v>169</v>
      </c>
      <c r="G13" s="94">
        <v>486.44491500000009</v>
      </c>
      <c r="H13" s="96">
        <v>112020</v>
      </c>
      <c r="I13" s="94">
        <v>5842.0088534669985</v>
      </c>
      <c r="J13" s="95">
        <f t="shared" si="0"/>
        <v>5.1574206123938586E-2</v>
      </c>
      <c r="K13" s="95">
        <f>I13/'סכום נכסי הקרן'!$C$42</f>
        <v>1.0054043327781422E-4</v>
      </c>
      <c r="L13" s="1"/>
      <c r="AY13" s="1" t="s">
        <v>137</v>
      </c>
      <c r="BA13" s="1" t="s">
        <v>155</v>
      </c>
      <c r="BC13" s="1" t="s">
        <v>175</v>
      </c>
    </row>
    <row r="14" spans="1:56">
      <c r="B14" s="83" t="s">
        <v>1851</v>
      </c>
      <c r="C14" s="84" t="s">
        <v>1852</v>
      </c>
      <c r="D14" s="97" t="s">
        <v>30</v>
      </c>
      <c r="E14" s="97" t="s">
        <v>1838</v>
      </c>
      <c r="F14" s="97" t="s">
        <v>169</v>
      </c>
      <c r="G14" s="94">
        <v>10675.394098999999</v>
      </c>
      <c r="H14" s="96">
        <v>323100</v>
      </c>
      <c r="I14" s="94">
        <v>103303.24020821901</v>
      </c>
      <c r="J14" s="95">
        <f t="shared" si="0"/>
        <v>0.91197783800132415</v>
      </c>
      <c r="K14" s="95">
        <f>I14/'סכום נכסי הקרן'!$C$42</f>
        <v>1.7778392313412348E-3</v>
      </c>
      <c r="L14" s="1"/>
      <c r="AY14" s="1" t="s">
        <v>134</v>
      </c>
      <c r="BA14" s="1" t="s">
        <v>156</v>
      </c>
      <c r="BC14" s="1" t="s">
        <v>177</v>
      </c>
    </row>
    <row r="15" spans="1:56">
      <c r="B15" s="83" t="s">
        <v>1853</v>
      </c>
      <c r="C15" s="84" t="s">
        <v>1854</v>
      </c>
      <c r="D15" s="97" t="s">
        <v>30</v>
      </c>
      <c r="E15" s="97" t="s">
        <v>1838</v>
      </c>
      <c r="F15" s="97" t="s">
        <v>171</v>
      </c>
      <c r="G15" s="94">
        <v>18449.998536999999</v>
      </c>
      <c r="H15" s="96">
        <v>41380</v>
      </c>
      <c r="I15" s="94">
        <v>3779.240938853</v>
      </c>
      <c r="J15" s="95">
        <f t="shared" si="0"/>
        <v>3.3363754842096777E-2</v>
      </c>
      <c r="K15" s="95">
        <f>I15/'סכום נכסי הקרן'!$C$42</f>
        <v>6.5040387815920383E-5</v>
      </c>
      <c r="L15" s="1"/>
      <c r="AY15" s="1" t="s">
        <v>145</v>
      </c>
      <c r="BA15" s="1" t="s">
        <v>195</v>
      </c>
      <c r="BC15" s="1" t="s">
        <v>179</v>
      </c>
    </row>
    <row r="16" spans="1:56" ht="20.25">
      <c r="B16" s="83" t="s">
        <v>1855</v>
      </c>
      <c r="C16" s="84" t="s">
        <v>1856</v>
      </c>
      <c r="D16" s="97" t="s">
        <v>30</v>
      </c>
      <c r="E16" s="97" t="s">
        <v>1838</v>
      </c>
      <c r="F16" s="97" t="s">
        <v>179</v>
      </c>
      <c r="G16" s="94">
        <v>291.75342599999999</v>
      </c>
      <c r="H16" s="96">
        <v>172100</v>
      </c>
      <c r="I16" s="94">
        <v>349.359323055</v>
      </c>
      <c r="J16" s="95">
        <f t="shared" si="0"/>
        <v>3.0842010326405617E-3</v>
      </c>
      <c r="K16" s="95">
        <f>I16/'סכום נכסי הקרן'!$C$42</f>
        <v>6.0124417115096365E-6</v>
      </c>
      <c r="L16" s="1"/>
      <c r="AY16" s="4" t="s">
        <v>131</v>
      </c>
      <c r="AZ16" s="1" t="s">
        <v>146</v>
      </c>
      <c r="BA16" s="1" t="s">
        <v>157</v>
      </c>
      <c r="BC16" s="1" t="s">
        <v>180</v>
      </c>
    </row>
    <row r="17" spans="2:56">
      <c r="B17" s="105"/>
      <c r="C17" s="84"/>
      <c r="D17" s="84"/>
      <c r="E17" s="84"/>
      <c r="F17" s="84"/>
      <c r="G17" s="94"/>
      <c r="H17" s="96"/>
      <c r="I17" s="84"/>
      <c r="J17" s="95"/>
      <c r="K17" s="84"/>
      <c r="L17" s="1"/>
      <c r="AY17" s="1" t="s">
        <v>141</v>
      </c>
      <c r="BA17" s="1" t="s">
        <v>158</v>
      </c>
      <c r="BC17" s="1" t="s">
        <v>181</v>
      </c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AZ18" s="1" t="s">
        <v>129</v>
      </c>
      <c r="BB18" s="1" t="s">
        <v>159</v>
      </c>
      <c r="BD18" s="1" t="s">
        <v>30</v>
      </c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AZ19" s="1" t="s">
        <v>142</v>
      </c>
      <c r="BB19" s="1" t="s">
        <v>160</v>
      </c>
    </row>
    <row r="20" spans="2:56">
      <c r="B20" s="99" t="s">
        <v>265</v>
      </c>
      <c r="C20" s="101"/>
      <c r="D20" s="101"/>
      <c r="E20" s="101"/>
      <c r="F20" s="101"/>
      <c r="G20" s="101"/>
      <c r="H20" s="101"/>
      <c r="I20" s="101"/>
      <c r="J20" s="101"/>
      <c r="K20" s="101"/>
      <c r="AZ20" s="1" t="s">
        <v>147</v>
      </c>
      <c r="BB20" s="1" t="s">
        <v>161</v>
      </c>
    </row>
    <row r="21" spans="2:56">
      <c r="B21" s="99" t="s">
        <v>120</v>
      </c>
      <c r="C21" s="101"/>
      <c r="D21" s="101"/>
      <c r="E21" s="101"/>
      <c r="F21" s="101"/>
      <c r="G21" s="101"/>
      <c r="H21" s="101"/>
      <c r="I21" s="101"/>
      <c r="J21" s="101"/>
      <c r="K21" s="101"/>
      <c r="AZ21" s="1" t="s">
        <v>132</v>
      </c>
      <c r="BA21" s="1" t="s">
        <v>148</v>
      </c>
      <c r="BB21" s="1" t="s">
        <v>162</v>
      </c>
    </row>
    <row r="22" spans="2:56">
      <c r="B22" s="99" t="s">
        <v>247</v>
      </c>
      <c r="C22" s="101"/>
      <c r="D22" s="101"/>
      <c r="E22" s="101"/>
      <c r="F22" s="101"/>
      <c r="G22" s="101"/>
      <c r="H22" s="101"/>
      <c r="I22" s="101"/>
      <c r="J22" s="101"/>
      <c r="K22" s="101"/>
      <c r="AZ22" s="1" t="s">
        <v>138</v>
      </c>
      <c r="BB22" s="1" t="s">
        <v>163</v>
      </c>
    </row>
    <row r="23" spans="2:56">
      <c r="B23" s="99" t="s">
        <v>255</v>
      </c>
      <c r="C23" s="101"/>
      <c r="D23" s="101"/>
      <c r="E23" s="101"/>
      <c r="F23" s="101"/>
      <c r="G23" s="101"/>
      <c r="H23" s="101"/>
      <c r="I23" s="101"/>
      <c r="J23" s="101"/>
      <c r="K23" s="101"/>
      <c r="AZ23" s="1" t="s">
        <v>30</v>
      </c>
      <c r="BA23" s="1" t="s">
        <v>139</v>
      </c>
      <c r="BB23" s="1" t="s">
        <v>196</v>
      </c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BB24" s="1" t="s">
        <v>199</v>
      </c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BB25" s="1" t="s">
        <v>164</v>
      </c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BB26" s="1" t="s">
        <v>165</v>
      </c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BB27" s="1" t="s">
        <v>198</v>
      </c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B28" s="1" t="s">
        <v>166</v>
      </c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B29" s="1" t="s">
        <v>167</v>
      </c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B30" s="1" t="s">
        <v>197</v>
      </c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B31" s="1" t="s">
        <v>30</v>
      </c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C117" s="3"/>
      <c r="D117" s="3"/>
      <c r="E117" s="3"/>
      <c r="F117" s="3"/>
      <c r="G117" s="3"/>
      <c r="H117" s="3"/>
    </row>
    <row r="118" spans="2:11">
      <c r="C118" s="3"/>
      <c r="D118" s="3"/>
      <c r="E118" s="3"/>
      <c r="F118" s="3"/>
      <c r="G118" s="3"/>
      <c r="H118" s="3"/>
    </row>
    <row r="119" spans="2:11">
      <c r="C119" s="3"/>
      <c r="D119" s="3"/>
      <c r="E119" s="3"/>
      <c r="F119" s="3"/>
      <c r="G119" s="3"/>
      <c r="H119" s="3"/>
    </row>
    <row r="120" spans="2:11">
      <c r="C120" s="3"/>
      <c r="D120" s="3"/>
      <c r="E120" s="3"/>
      <c r="F120" s="3"/>
      <c r="G120" s="3"/>
      <c r="H120" s="3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AD18:XFD21 D1:XFD17 D18:AB21 D22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0"/>
  <sheetViews>
    <sheetView rightToLeft="1" workbookViewId="0">
      <selection activeCell="J23" sqref="J2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185</v>
      </c>
      <c r="C1" s="78" t="s" vm="1">
        <v>273</v>
      </c>
    </row>
    <row r="2" spans="2:81">
      <c r="B2" s="57" t="s">
        <v>184</v>
      </c>
      <c r="C2" s="78" t="s">
        <v>274</v>
      </c>
    </row>
    <row r="3" spans="2:81">
      <c r="B3" s="57" t="s">
        <v>186</v>
      </c>
      <c r="C3" s="78" t="s">
        <v>275</v>
      </c>
      <c r="E3" s="2"/>
    </row>
    <row r="4" spans="2:81">
      <c r="B4" s="57" t="s">
        <v>187</v>
      </c>
      <c r="C4" s="78">
        <v>2102</v>
      </c>
    </row>
    <row r="6" spans="2:81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3"/>
    </row>
    <row r="7" spans="2:81" ht="26.25" customHeight="1">
      <c r="B7" s="181" t="s">
        <v>103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</row>
    <row r="8" spans="2:81" s="3" customFormat="1" ht="63">
      <c r="B8" s="23" t="s">
        <v>124</v>
      </c>
      <c r="C8" s="31" t="s">
        <v>49</v>
      </c>
      <c r="D8" s="14" t="s">
        <v>55</v>
      </c>
      <c r="E8" s="31" t="s">
        <v>15</v>
      </c>
      <c r="F8" s="31" t="s">
        <v>71</v>
      </c>
      <c r="G8" s="31" t="s">
        <v>110</v>
      </c>
      <c r="H8" s="31" t="s">
        <v>18</v>
      </c>
      <c r="I8" s="31" t="s">
        <v>109</v>
      </c>
      <c r="J8" s="31" t="s">
        <v>17</v>
      </c>
      <c r="K8" s="31" t="s">
        <v>19</v>
      </c>
      <c r="L8" s="31" t="s">
        <v>249</v>
      </c>
      <c r="M8" s="31" t="s">
        <v>248</v>
      </c>
      <c r="N8" s="31" t="s">
        <v>67</v>
      </c>
      <c r="O8" s="31" t="s">
        <v>64</v>
      </c>
      <c r="P8" s="31" t="s">
        <v>188</v>
      </c>
      <c r="Q8" s="32" t="s">
        <v>190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256</v>
      </c>
      <c r="M9" s="33"/>
      <c r="N9" s="33" t="s">
        <v>252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121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W11" s="1"/>
      <c r="X11" s="1"/>
      <c r="CC11" s="1"/>
    </row>
    <row r="12" spans="2:81" ht="21.75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81">
      <c r="B13" s="99" t="s">
        <v>120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81">
      <c r="B14" s="99" t="s">
        <v>247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81">
      <c r="B15" s="99" t="s">
        <v>255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N148"/>
  <sheetViews>
    <sheetView rightToLeft="1" topLeftCell="A136" workbookViewId="0">
      <selection activeCell="Q1" sqref="Q1:V1048576"/>
    </sheetView>
  </sheetViews>
  <sheetFormatPr defaultColWidth="9.140625" defaultRowHeight="18"/>
  <cols>
    <col min="1" max="1" width="3" style="1" customWidth="1"/>
    <col min="2" max="2" width="35.42578125" style="2" bestFit="1" customWidth="1"/>
    <col min="3" max="3" width="48.4257812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9.5703125" style="1" bestFit="1" customWidth="1"/>
    <col min="13" max="13" width="14.28515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33" width="5.7109375" style="3" customWidth="1"/>
    <col min="34" max="41" width="5.7109375" style="1" customWidth="1"/>
    <col min="42" max="16384" width="9.140625" style="1"/>
  </cols>
  <sheetData>
    <row r="1" spans="2:66">
      <c r="B1" s="57" t="s">
        <v>185</v>
      </c>
      <c r="C1" s="78" t="s" vm="1">
        <v>273</v>
      </c>
    </row>
    <row r="2" spans="2:66">
      <c r="B2" s="57" t="s">
        <v>184</v>
      </c>
      <c r="C2" s="78" t="s">
        <v>274</v>
      </c>
    </row>
    <row r="3" spans="2:66">
      <c r="B3" s="57" t="s">
        <v>186</v>
      </c>
      <c r="C3" s="78" t="s">
        <v>275</v>
      </c>
    </row>
    <row r="4" spans="2:66">
      <c r="B4" s="57" t="s">
        <v>187</v>
      </c>
      <c r="C4" s="78">
        <v>2102</v>
      </c>
    </row>
    <row r="6" spans="2:66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2:66" ht="26.25" customHeight="1">
      <c r="B7" s="181" t="s">
        <v>95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3"/>
    </row>
    <row r="8" spans="2:66" s="3" customFormat="1" ht="78.75">
      <c r="B8" s="23" t="s">
        <v>124</v>
      </c>
      <c r="C8" s="31" t="s">
        <v>49</v>
      </c>
      <c r="D8" s="31" t="s">
        <v>15</v>
      </c>
      <c r="E8" s="31" t="s">
        <v>71</v>
      </c>
      <c r="F8" s="31" t="s">
        <v>110</v>
      </c>
      <c r="G8" s="31" t="s">
        <v>18</v>
      </c>
      <c r="H8" s="31" t="s">
        <v>109</v>
      </c>
      <c r="I8" s="31" t="s">
        <v>17</v>
      </c>
      <c r="J8" s="31" t="s">
        <v>19</v>
      </c>
      <c r="K8" s="31" t="s">
        <v>249</v>
      </c>
      <c r="L8" s="31" t="s">
        <v>248</v>
      </c>
      <c r="M8" s="31" t="s">
        <v>118</v>
      </c>
      <c r="N8" s="31" t="s">
        <v>64</v>
      </c>
      <c r="O8" s="31" t="s">
        <v>188</v>
      </c>
      <c r="P8" s="32" t="s">
        <v>190</v>
      </c>
    </row>
    <row r="9" spans="2:66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256</v>
      </c>
      <c r="L9" s="33"/>
      <c r="M9" s="33" t="s">
        <v>252</v>
      </c>
      <c r="N9" s="33" t="s">
        <v>20</v>
      </c>
      <c r="O9" s="33" t="s">
        <v>20</v>
      </c>
      <c r="P9" s="34" t="s">
        <v>20</v>
      </c>
    </row>
    <row r="10" spans="2:6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66" s="4" customFormat="1" ht="18" customHeight="1">
      <c r="B11" s="79" t="s">
        <v>29</v>
      </c>
      <c r="C11" s="80"/>
      <c r="D11" s="80"/>
      <c r="E11" s="80"/>
      <c r="F11" s="80"/>
      <c r="G11" s="88">
        <v>7.346443569580825</v>
      </c>
      <c r="H11" s="80"/>
      <c r="I11" s="80"/>
      <c r="J11" s="103">
        <v>4.8514126220251426E-2</v>
      </c>
      <c r="K11" s="88"/>
      <c r="L11" s="80"/>
      <c r="M11" s="88">
        <v>15881208.834719995</v>
      </c>
      <c r="N11" s="80"/>
      <c r="O11" s="89">
        <f>M11/$M$11</f>
        <v>1</v>
      </c>
      <c r="P11" s="89">
        <f>M11/'סכום נכסי הקרן'!$C$42</f>
        <v>0.27331413855537373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BN11" s="1"/>
    </row>
    <row r="12" spans="2:66" ht="21.75" customHeight="1">
      <c r="B12" s="81" t="s">
        <v>243</v>
      </c>
      <c r="C12" s="82"/>
      <c r="D12" s="82"/>
      <c r="E12" s="82"/>
      <c r="F12" s="82"/>
      <c r="G12" s="91">
        <v>7.346443569580825</v>
      </c>
      <c r="H12" s="82"/>
      <c r="I12" s="82"/>
      <c r="J12" s="104">
        <v>4.851412622025144E-2</v>
      </c>
      <c r="K12" s="91"/>
      <c r="L12" s="82"/>
      <c r="M12" s="91">
        <v>15881208.834719995</v>
      </c>
      <c r="N12" s="82"/>
      <c r="O12" s="92">
        <f t="shared" ref="O12:O75" si="0">M12/$M$11</f>
        <v>1</v>
      </c>
      <c r="P12" s="92">
        <f>M12/'סכום נכסי הקרן'!$C$42</f>
        <v>0.27331413855537373</v>
      </c>
    </row>
    <row r="13" spans="2:66">
      <c r="B13" s="102" t="s">
        <v>72</v>
      </c>
      <c r="C13" s="82"/>
      <c r="D13" s="82"/>
      <c r="E13" s="82"/>
      <c r="F13" s="82"/>
      <c r="G13" s="91">
        <v>7.346443569580825</v>
      </c>
      <c r="H13" s="82"/>
      <c r="I13" s="82"/>
      <c r="J13" s="104">
        <v>4.851412622025144E-2</v>
      </c>
      <c r="K13" s="91"/>
      <c r="L13" s="82"/>
      <c r="M13" s="91">
        <v>15881208.834719995</v>
      </c>
      <c r="N13" s="82"/>
      <c r="O13" s="92">
        <f t="shared" si="0"/>
        <v>1</v>
      </c>
      <c r="P13" s="92">
        <f>M13/'סכום נכסי הקרן'!$C$42</f>
        <v>0.27331413855537373</v>
      </c>
    </row>
    <row r="14" spans="2:66">
      <c r="B14" s="87" t="s">
        <v>1857</v>
      </c>
      <c r="C14" s="84" t="s">
        <v>1858</v>
      </c>
      <c r="D14" s="84" t="s">
        <v>278</v>
      </c>
      <c r="E14" s="84"/>
      <c r="F14" s="107">
        <v>38473</v>
      </c>
      <c r="G14" s="94">
        <v>0.33</v>
      </c>
      <c r="H14" s="97" t="s">
        <v>170</v>
      </c>
      <c r="I14" s="98">
        <v>4.8000000000000001E-2</v>
      </c>
      <c r="J14" s="98">
        <v>4.8299999999999989E-2</v>
      </c>
      <c r="K14" s="94">
        <v>10860000</v>
      </c>
      <c r="L14" s="108">
        <v>126.0552</v>
      </c>
      <c r="M14" s="94">
        <v>13689.60009</v>
      </c>
      <c r="N14" s="84"/>
      <c r="O14" s="95">
        <f t="shared" si="0"/>
        <v>8.6199987875427769E-4</v>
      </c>
      <c r="P14" s="95">
        <f>M14/'סכום נכסי הקרן'!$C$42</f>
        <v>2.35596754296562E-4</v>
      </c>
    </row>
    <row r="15" spans="2:66">
      <c r="B15" s="87" t="s">
        <v>1859</v>
      </c>
      <c r="C15" s="84" t="s">
        <v>1860</v>
      </c>
      <c r="D15" s="84" t="s">
        <v>278</v>
      </c>
      <c r="E15" s="84"/>
      <c r="F15" s="107">
        <v>38565</v>
      </c>
      <c r="G15" s="94">
        <v>0.57000000000000006</v>
      </c>
      <c r="H15" s="97" t="s">
        <v>170</v>
      </c>
      <c r="I15" s="98">
        <v>4.8000000000000001E-2</v>
      </c>
      <c r="J15" s="98">
        <v>4.8300000000000003E-2</v>
      </c>
      <c r="K15" s="94">
        <v>3550000</v>
      </c>
      <c r="L15" s="108">
        <v>126.1743</v>
      </c>
      <c r="M15" s="94">
        <v>4479.1893899999995</v>
      </c>
      <c r="N15" s="84"/>
      <c r="O15" s="95">
        <f t="shared" si="0"/>
        <v>2.8204335303540971E-4</v>
      </c>
      <c r="P15" s="95">
        <f>M15/'סכום נכסי הקרן'!$C$42</f>
        <v>7.7086436070142168E-5</v>
      </c>
    </row>
    <row r="16" spans="2:66">
      <c r="B16" s="87" t="s">
        <v>1861</v>
      </c>
      <c r="C16" s="84" t="s">
        <v>1862</v>
      </c>
      <c r="D16" s="84" t="s">
        <v>278</v>
      </c>
      <c r="E16" s="84"/>
      <c r="F16" s="107">
        <v>38596</v>
      </c>
      <c r="G16" s="94">
        <v>0.65999999999999992</v>
      </c>
      <c r="H16" s="97" t="s">
        <v>170</v>
      </c>
      <c r="I16" s="98">
        <v>4.8000000000000001E-2</v>
      </c>
      <c r="J16" s="98">
        <v>4.8099999999999997E-2</v>
      </c>
      <c r="K16" s="94">
        <v>7500000</v>
      </c>
      <c r="L16" s="108">
        <v>124.3248</v>
      </c>
      <c r="M16" s="94">
        <v>9324.3571300000003</v>
      </c>
      <c r="N16" s="84"/>
      <c r="O16" s="95">
        <f t="shared" si="0"/>
        <v>5.8713144742576523E-4</v>
      </c>
      <c r="P16" s="95">
        <f>M16/'סכום נכסי הקרן'!$C$42</f>
        <v>1.6047132577194271E-4</v>
      </c>
    </row>
    <row r="17" spans="2:16">
      <c r="B17" s="87" t="s">
        <v>1863</v>
      </c>
      <c r="C17" s="84" t="s">
        <v>1864</v>
      </c>
      <c r="D17" s="84" t="s">
        <v>278</v>
      </c>
      <c r="E17" s="84"/>
      <c r="F17" s="107">
        <v>38443</v>
      </c>
      <c r="G17" s="94">
        <v>0.25</v>
      </c>
      <c r="H17" s="97" t="s">
        <v>170</v>
      </c>
      <c r="I17" s="98">
        <v>4.8000000000000001E-2</v>
      </c>
      <c r="J17" s="98">
        <v>4.8099999999999997E-2</v>
      </c>
      <c r="K17" s="94">
        <v>4500000</v>
      </c>
      <c r="L17" s="108">
        <v>126.30070000000001</v>
      </c>
      <c r="M17" s="94">
        <v>5683.5309999999999</v>
      </c>
      <c r="N17" s="84"/>
      <c r="O17" s="95">
        <f t="shared" si="0"/>
        <v>3.5787773205113248E-4</v>
      </c>
      <c r="P17" s="95">
        <f>M17/'סכום נכסי הקרן'!$C$42</f>
        <v>9.7813044043706135E-5</v>
      </c>
    </row>
    <row r="18" spans="2:16">
      <c r="B18" s="87" t="s">
        <v>1865</v>
      </c>
      <c r="C18" s="84" t="s">
        <v>1866</v>
      </c>
      <c r="D18" s="84" t="s">
        <v>278</v>
      </c>
      <c r="E18" s="84"/>
      <c r="F18" s="107">
        <v>38504</v>
      </c>
      <c r="G18" s="94">
        <v>0.42</v>
      </c>
      <c r="H18" s="97" t="s">
        <v>170</v>
      </c>
      <c r="I18" s="98">
        <v>4.8000000000000001E-2</v>
      </c>
      <c r="J18" s="98">
        <v>4.8099999999999997E-2</v>
      </c>
      <c r="K18" s="94">
        <v>3832000</v>
      </c>
      <c r="L18" s="108">
        <v>124.68689999999999</v>
      </c>
      <c r="M18" s="94">
        <v>4778.0007300000007</v>
      </c>
      <c r="N18" s="84"/>
      <c r="O18" s="95">
        <f t="shared" si="0"/>
        <v>3.00858755761349E-4</v>
      </c>
      <c r="P18" s="95">
        <f>M18/'סכום נכסי הקרן'!$C$42</f>
        <v>8.2228951657754674E-5</v>
      </c>
    </row>
    <row r="19" spans="2:16">
      <c r="B19" s="87" t="s">
        <v>1867</v>
      </c>
      <c r="C19" s="84" t="s">
        <v>1868</v>
      </c>
      <c r="D19" s="84" t="s">
        <v>278</v>
      </c>
      <c r="E19" s="84"/>
      <c r="F19" s="107">
        <v>38627</v>
      </c>
      <c r="G19" s="94">
        <v>0.74</v>
      </c>
      <c r="H19" s="97" t="s">
        <v>170</v>
      </c>
      <c r="I19" s="98">
        <v>4.8000000000000001E-2</v>
      </c>
      <c r="J19" s="98">
        <v>4.8399999999999999E-2</v>
      </c>
      <c r="K19" s="94">
        <v>9155000</v>
      </c>
      <c r="L19" s="108">
        <v>123.56489999999999</v>
      </c>
      <c r="M19" s="94">
        <v>11312.36526</v>
      </c>
      <c r="N19" s="84"/>
      <c r="O19" s="95">
        <f t="shared" si="0"/>
        <v>7.1231134718589893E-4</v>
      </c>
      <c r="P19" s="95">
        <f>M19/'סכום נכסי הקרן'!$C$42</f>
        <v>1.9468476223933172E-4</v>
      </c>
    </row>
    <row r="20" spans="2:16">
      <c r="B20" s="87" t="s">
        <v>1869</v>
      </c>
      <c r="C20" s="84" t="s">
        <v>1870</v>
      </c>
      <c r="D20" s="84" t="s">
        <v>278</v>
      </c>
      <c r="E20" s="84"/>
      <c r="F20" s="107">
        <v>38718</v>
      </c>
      <c r="G20" s="94">
        <v>0.97000000000000008</v>
      </c>
      <c r="H20" s="97" t="s">
        <v>170</v>
      </c>
      <c r="I20" s="98">
        <v>4.8000000000000001E-2</v>
      </c>
      <c r="J20" s="98">
        <v>4.8300000000000003E-2</v>
      </c>
      <c r="K20" s="94">
        <v>7815884</v>
      </c>
      <c r="L20" s="108">
        <v>124.08499999999999</v>
      </c>
      <c r="M20" s="94">
        <v>9698.3413599999985</v>
      </c>
      <c r="N20" s="84"/>
      <c r="O20" s="95">
        <f t="shared" si="0"/>
        <v>6.1068029902088948E-4</v>
      </c>
      <c r="P20" s="95">
        <f>M20/'סכום נכסי הקרן'!$C$42</f>
        <v>1.6690755985963244E-4</v>
      </c>
    </row>
    <row r="21" spans="2:16">
      <c r="B21" s="87" t="s">
        <v>1871</v>
      </c>
      <c r="C21" s="84" t="s">
        <v>1872</v>
      </c>
      <c r="D21" s="84" t="s">
        <v>278</v>
      </c>
      <c r="E21" s="84"/>
      <c r="F21" s="107">
        <v>39203</v>
      </c>
      <c r="G21" s="94">
        <v>2.2200000000000002</v>
      </c>
      <c r="H21" s="97" t="s">
        <v>170</v>
      </c>
      <c r="I21" s="98">
        <v>4.8000000000000001E-2</v>
      </c>
      <c r="J21" s="98">
        <v>4.8599999999999997E-2</v>
      </c>
      <c r="K21" s="94">
        <v>96546326</v>
      </c>
      <c r="L21" s="108">
        <v>122.7804</v>
      </c>
      <c r="M21" s="94">
        <v>118539.70391</v>
      </c>
      <c r="N21" s="84"/>
      <c r="O21" s="95">
        <f t="shared" si="0"/>
        <v>7.4641486768214265E-3</v>
      </c>
      <c r="P21" s="95">
        <f>M21/'סכום נכסי הקרן'!$C$42</f>
        <v>2.0400573656546806E-3</v>
      </c>
    </row>
    <row r="22" spans="2:16">
      <c r="B22" s="87" t="s">
        <v>1873</v>
      </c>
      <c r="C22" s="84" t="s">
        <v>1874</v>
      </c>
      <c r="D22" s="84" t="s">
        <v>278</v>
      </c>
      <c r="E22" s="84"/>
      <c r="F22" s="107">
        <v>39234</v>
      </c>
      <c r="G22" s="94">
        <v>2.31</v>
      </c>
      <c r="H22" s="97" t="s">
        <v>170</v>
      </c>
      <c r="I22" s="98">
        <v>4.8000000000000001E-2</v>
      </c>
      <c r="J22" s="98">
        <v>4.8600000000000004E-2</v>
      </c>
      <c r="K22" s="94">
        <v>90958226</v>
      </c>
      <c r="L22" s="108">
        <v>121.68089999999999</v>
      </c>
      <c r="M22" s="94">
        <v>110678.71054</v>
      </c>
      <c r="N22" s="84"/>
      <c r="O22" s="95">
        <f t="shared" si="0"/>
        <v>6.9691615853593424E-3</v>
      </c>
      <c r="P22" s="95">
        <f>M22/'סכום נכסי הקרן'!$C$42</f>
        <v>1.9047703951556914E-3</v>
      </c>
    </row>
    <row r="23" spans="2:16">
      <c r="B23" s="87" t="s">
        <v>1875</v>
      </c>
      <c r="C23" s="84" t="s">
        <v>1876</v>
      </c>
      <c r="D23" s="84" t="s">
        <v>278</v>
      </c>
      <c r="E23" s="84"/>
      <c r="F23" s="107">
        <v>39264</v>
      </c>
      <c r="G23" s="94">
        <v>2.3299999999999996</v>
      </c>
      <c r="H23" s="97" t="s">
        <v>170</v>
      </c>
      <c r="I23" s="98">
        <v>4.8000000000000001E-2</v>
      </c>
      <c r="J23" s="98">
        <v>4.8599999999999997E-2</v>
      </c>
      <c r="K23" s="94">
        <v>66000000</v>
      </c>
      <c r="L23" s="108">
        <v>124.1103</v>
      </c>
      <c r="M23" s="94">
        <v>81912.812540000014</v>
      </c>
      <c r="N23" s="84"/>
      <c r="O23" s="95">
        <f t="shared" si="0"/>
        <v>5.1578449343805408E-3</v>
      </c>
      <c r="P23" s="95">
        <f>M23/'סכום נכסי הקרן'!$C$42</f>
        <v>1.4097119450424155E-3</v>
      </c>
    </row>
    <row r="24" spans="2:16">
      <c r="B24" s="87" t="s">
        <v>1877</v>
      </c>
      <c r="C24" s="84" t="s">
        <v>1878</v>
      </c>
      <c r="D24" s="84" t="s">
        <v>278</v>
      </c>
      <c r="E24" s="84"/>
      <c r="F24" s="107">
        <v>39295</v>
      </c>
      <c r="G24" s="94">
        <v>2.42</v>
      </c>
      <c r="H24" s="97" t="s">
        <v>170</v>
      </c>
      <c r="I24" s="98">
        <v>4.8000000000000001E-2</v>
      </c>
      <c r="J24" s="98">
        <v>4.8499999999999995E-2</v>
      </c>
      <c r="K24" s="94">
        <v>25170220</v>
      </c>
      <c r="L24" s="108">
        <v>122.7578</v>
      </c>
      <c r="M24" s="94">
        <v>30898.13607</v>
      </c>
      <c r="N24" s="84"/>
      <c r="O24" s="95">
        <f t="shared" si="0"/>
        <v>1.9455783493287696E-3</v>
      </c>
      <c r="P24" s="95">
        <f>M24/'סכום נכסי הקרן'!$C$42</f>
        <v>5.3175407053877865E-4</v>
      </c>
    </row>
    <row r="25" spans="2:16">
      <c r="B25" s="87" t="s">
        <v>1879</v>
      </c>
      <c r="C25" s="84" t="s">
        <v>1880</v>
      </c>
      <c r="D25" s="84" t="s">
        <v>278</v>
      </c>
      <c r="E25" s="84"/>
      <c r="F25" s="107">
        <v>39356</v>
      </c>
      <c r="G25" s="94">
        <v>2.58</v>
      </c>
      <c r="H25" s="97" t="s">
        <v>170</v>
      </c>
      <c r="I25" s="98">
        <v>4.8000000000000001E-2</v>
      </c>
      <c r="J25" s="98">
        <v>4.8500000000000008E-2</v>
      </c>
      <c r="K25" s="94">
        <v>26970000</v>
      </c>
      <c r="L25" s="108">
        <v>119.63800000000001</v>
      </c>
      <c r="M25" s="94">
        <v>32266.380430000001</v>
      </c>
      <c r="N25" s="84"/>
      <c r="O25" s="95">
        <f t="shared" si="0"/>
        <v>2.0317332745765694E-3</v>
      </c>
      <c r="P25" s="95">
        <f>M25/'סכום נכסי הקרן'!$C$42</f>
        <v>5.553014297151837E-4</v>
      </c>
    </row>
    <row r="26" spans="2:16">
      <c r="B26" s="87" t="s">
        <v>1881</v>
      </c>
      <c r="C26" s="84" t="s">
        <v>1882</v>
      </c>
      <c r="D26" s="84" t="s">
        <v>278</v>
      </c>
      <c r="E26" s="84"/>
      <c r="F26" s="107">
        <v>39387</v>
      </c>
      <c r="G26" s="94">
        <v>2.6699999999999995</v>
      </c>
      <c r="H26" s="97" t="s">
        <v>170</v>
      </c>
      <c r="I26" s="98">
        <v>4.8000000000000001E-2</v>
      </c>
      <c r="J26" s="98">
        <v>4.8499999999999995E-2</v>
      </c>
      <c r="K26" s="94">
        <v>134156000</v>
      </c>
      <c r="L26" s="108">
        <v>119.7522</v>
      </c>
      <c r="M26" s="94">
        <v>160654.75390000001</v>
      </c>
      <c r="N26" s="84"/>
      <c r="O26" s="95">
        <f t="shared" si="0"/>
        <v>1.0116028041188626E-2</v>
      </c>
      <c r="P26" s="95">
        <f>M26/'סכום נכסי הקרן'!$C$42</f>
        <v>2.7648534896794739E-3</v>
      </c>
    </row>
    <row r="27" spans="2:16">
      <c r="B27" s="87" t="s">
        <v>1883</v>
      </c>
      <c r="C27" s="84" t="s">
        <v>1884</v>
      </c>
      <c r="D27" s="84" t="s">
        <v>278</v>
      </c>
      <c r="E27" s="84"/>
      <c r="F27" s="107">
        <v>39845</v>
      </c>
      <c r="G27" s="94">
        <v>3.69</v>
      </c>
      <c r="H27" s="97" t="s">
        <v>170</v>
      </c>
      <c r="I27" s="98">
        <v>4.8000000000000001E-2</v>
      </c>
      <c r="J27" s="98">
        <v>4.8499999999999995E-2</v>
      </c>
      <c r="K27" s="94">
        <v>2965000</v>
      </c>
      <c r="L27" s="108">
        <v>115.4879</v>
      </c>
      <c r="M27" s="94">
        <v>3424.2158599999998</v>
      </c>
      <c r="N27" s="84"/>
      <c r="O27" s="95">
        <f t="shared" si="0"/>
        <v>2.1561430843437259E-4</v>
      </c>
      <c r="P27" s="95">
        <f>M27/'סכום נכסי הקרן'!$C$42</f>
        <v>5.8930438969953194E-5</v>
      </c>
    </row>
    <row r="28" spans="2:16">
      <c r="B28" s="87" t="s">
        <v>1885</v>
      </c>
      <c r="C28" s="84" t="s">
        <v>1886</v>
      </c>
      <c r="D28" s="84" t="s">
        <v>278</v>
      </c>
      <c r="E28" s="84"/>
      <c r="F28" s="107">
        <v>39873</v>
      </c>
      <c r="G28" s="94">
        <v>3.77</v>
      </c>
      <c r="H28" s="97" t="s">
        <v>170</v>
      </c>
      <c r="I28" s="98">
        <v>4.8000000000000001E-2</v>
      </c>
      <c r="J28" s="98">
        <v>4.8499999999999995E-2</v>
      </c>
      <c r="K28" s="94">
        <v>106053682</v>
      </c>
      <c r="L28" s="108">
        <v>115.64570000000001</v>
      </c>
      <c r="M28" s="94">
        <v>122646.28531000001</v>
      </c>
      <c r="N28" s="84"/>
      <c r="O28" s="95">
        <f t="shared" si="0"/>
        <v>7.7227298366524134E-3</v>
      </c>
      <c r="P28" s="95">
        <f>M28/'סכום נכסי הקרן'!$C$42</f>
        <v>2.1107312526005362E-3</v>
      </c>
    </row>
    <row r="29" spans="2:16">
      <c r="B29" s="87" t="s">
        <v>1887</v>
      </c>
      <c r="C29" s="84" t="s">
        <v>1888</v>
      </c>
      <c r="D29" s="84" t="s">
        <v>278</v>
      </c>
      <c r="E29" s="84"/>
      <c r="F29" s="107">
        <v>39934</v>
      </c>
      <c r="G29" s="94">
        <v>3.94</v>
      </c>
      <c r="H29" s="97" t="s">
        <v>170</v>
      </c>
      <c r="I29" s="98">
        <v>4.8000000000000001E-2</v>
      </c>
      <c r="J29" s="98">
        <v>4.8500000000000008E-2</v>
      </c>
      <c r="K29" s="94">
        <v>118930000</v>
      </c>
      <c r="L29" s="108">
        <v>114.2777</v>
      </c>
      <c r="M29" s="94">
        <v>135910.44075000001</v>
      </c>
      <c r="N29" s="84"/>
      <c r="O29" s="95">
        <f t="shared" si="0"/>
        <v>8.5579405298712753E-3</v>
      </c>
      <c r="P29" s="95">
        <f>M29/'סכום נכסי הקרן'!$C$42</f>
        <v>2.3390061437298863E-3</v>
      </c>
    </row>
    <row r="30" spans="2:16">
      <c r="B30" s="87" t="s">
        <v>1889</v>
      </c>
      <c r="C30" s="84" t="s">
        <v>1890</v>
      </c>
      <c r="D30" s="84" t="s">
        <v>278</v>
      </c>
      <c r="E30" s="84"/>
      <c r="F30" s="107">
        <v>38412</v>
      </c>
      <c r="G30" s="94">
        <v>0.17</v>
      </c>
      <c r="H30" s="97" t="s">
        <v>170</v>
      </c>
      <c r="I30" s="98">
        <v>4.8000000000000001E-2</v>
      </c>
      <c r="J30" s="98">
        <v>4.830000000000001E-2</v>
      </c>
      <c r="K30" s="94">
        <v>5530000</v>
      </c>
      <c r="L30" s="108">
        <v>127.0515</v>
      </c>
      <c r="M30" s="94">
        <v>7025.9478099999997</v>
      </c>
      <c r="N30" s="84"/>
      <c r="O30" s="95">
        <f t="shared" si="0"/>
        <v>4.4240636107244262E-4</v>
      </c>
      <c r="P30" s="95">
        <f>M30/'סכום נכסי הקרן'!$C$42</f>
        <v>1.2091591346793228E-4</v>
      </c>
    </row>
    <row r="31" spans="2:16">
      <c r="B31" s="87" t="s">
        <v>1891</v>
      </c>
      <c r="C31" s="84" t="s">
        <v>1892</v>
      </c>
      <c r="D31" s="84" t="s">
        <v>278</v>
      </c>
      <c r="E31" s="84"/>
      <c r="F31" s="107">
        <v>39448</v>
      </c>
      <c r="G31" s="94">
        <v>2.77</v>
      </c>
      <c r="H31" s="97" t="s">
        <v>170</v>
      </c>
      <c r="I31" s="98">
        <v>4.8000000000000001E-2</v>
      </c>
      <c r="J31" s="98">
        <v>4.8499999999999995E-2</v>
      </c>
      <c r="K31" s="94">
        <v>51770094</v>
      </c>
      <c r="L31" s="108">
        <v>121.0663</v>
      </c>
      <c r="M31" s="94">
        <v>62675.93245</v>
      </c>
      <c r="N31" s="84"/>
      <c r="O31" s="95">
        <f t="shared" si="0"/>
        <v>3.9465467082692041E-3</v>
      </c>
      <c r="P31" s="95">
        <f>M31/'סכום נכסי הקרן'!$C$42</f>
        <v>1.0786470138391434E-3</v>
      </c>
    </row>
    <row r="32" spans="2:16">
      <c r="B32" s="87" t="s">
        <v>1893</v>
      </c>
      <c r="C32" s="84" t="s">
        <v>1894</v>
      </c>
      <c r="D32" s="84" t="s">
        <v>278</v>
      </c>
      <c r="E32" s="84"/>
      <c r="F32" s="107">
        <v>40148</v>
      </c>
      <c r="G32" s="94">
        <v>4.43</v>
      </c>
      <c r="H32" s="97" t="s">
        <v>170</v>
      </c>
      <c r="I32" s="98">
        <v>4.8000000000000001E-2</v>
      </c>
      <c r="J32" s="98">
        <v>4.8500000000000008E-2</v>
      </c>
      <c r="K32" s="94">
        <v>153358000</v>
      </c>
      <c r="L32" s="108">
        <v>109.7045</v>
      </c>
      <c r="M32" s="94">
        <v>168241.03778000001</v>
      </c>
      <c r="N32" s="84"/>
      <c r="O32" s="95">
        <f t="shared" si="0"/>
        <v>1.059371736313839E-2</v>
      </c>
      <c r="P32" s="95">
        <f>M32/'סכום נכסי הקרן'!$C$42</f>
        <v>2.8954127352052743E-3</v>
      </c>
    </row>
    <row r="33" spans="2:16">
      <c r="B33" s="87" t="s">
        <v>1895</v>
      </c>
      <c r="C33" s="84" t="s">
        <v>1896</v>
      </c>
      <c r="D33" s="84" t="s">
        <v>278</v>
      </c>
      <c r="E33" s="84"/>
      <c r="F33" s="107">
        <v>40269</v>
      </c>
      <c r="G33" s="94">
        <v>4.6499999999999995</v>
      </c>
      <c r="H33" s="97" t="s">
        <v>170</v>
      </c>
      <c r="I33" s="98">
        <v>4.8000000000000001E-2</v>
      </c>
      <c r="J33" s="98">
        <v>4.8499999999999995E-2</v>
      </c>
      <c r="K33" s="94">
        <v>152522000</v>
      </c>
      <c r="L33" s="108">
        <v>111.31570000000001</v>
      </c>
      <c r="M33" s="94">
        <v>169780.19633000001</v>
      </c>
      <c r="N33" s="84"/>
      <c r="O33" s="95">
        <f t="shared" si="0"/>
        <v>1.0690634327458828E-2</v>
      </c>
      <c r="P33" s="95">
        <f>M33/'סכום נכסי הקרן'!$C$42</f>
        <v>2.9219015118199169E-3</v>
      </c>
    </row>
    <row r="34" spans="2:16">
      <c r="B34" s="87" t="s">
        <v>1897</v>
      </c>
      <c r="C34" s="84" t="s">
        <v>1898</v>
      </c>
      <c r="D34" s="84" t="s">
        <v>278</v>
      </c>
      <c r="E34" s="84"/>
      <c r="F34" s="107">
        <v>40391</v>
      </c>
      <c r="G34" s="94">
        <v>4.87</v>
      </c>
      <c r="H34" s="97" t="s">
        <v>170</v>
      </c>
      <c r="I34" s="98">
        <v>4.8000000000000001E-2</v>
      </c>
      <c r="J34" s="98">
        <v>4.8499999999999995E-2</v>
      </c>
      <c r="K34" s="94">
        <v>114604000</v>
      </c>
      <c r="L34" s="108">
        <v>110.40089999999999</v>
      </c>
      <c r="M34" s="94">
        <v>126524.05109000001</v>
      </c>
      <c r="N34" s="84"/>
      <c r="O34" s="95">
        <f t="shared" si="0"/>
        <v>7.96690304918031E-3</v>
      </c>
      <c r="P34" s="95">
        <f>M34/'סכום נכסי הקרן'!$C$42</f>
        <v>2.1774672438408969E-3</v>
      </c>
    </row>
    <row r="35" spans="2:16">
      <c r="B35" s="87" t="s">
        <v>1899</v>
      </c>
      <c r="C35" s="84" t="s">
        <v>1900</v>
      </c>
      <c r="D35" s="84" t="s">
        <v>278</v>
      </c>
      <c r="E35" s="84"/>
      <c r="F35" s="107">
        <v>40452</v>
      </c>
      <c r="G35" s="94">
        <v>5.04</v>
      </c>
      <c r="H35" s="97" t="s">
        <v>170</v>
      </c>
      <c r="I35" s="98">
        <v>4.8000000000000001E-2</v>
      </c>
      <c r="J35" s="98">
        <v>4.8599999999999997E-2</v>
      </c>
      <c r="K35" s="94">
        <v>152358000</v>
      </c>
      <c r="L35" s="108">
        <v>108.4757</v>
      </c>
      <c r="M35" s="94">
        <v>165271.34546000001</v>
      </c>
      <c r="N35" s="84"/>
      <c r="O35" s="95">
        <f t="shared" si="0"/>
        <v>1.0406723265213831E-2</v>
      </c>
      <c r="P35" s="95">
        <f>M35/'סכום נכסי הקרן'!$C$42</f>
        <v>2.8443046044160842E-3</v>
      </c>
    </row>
    <row r="36" spans="2:16">
      <c r="B36" s="87" t="s">
        <v>1901</v>
      </c>
      <c r="C36" s="84" t="s">
        <v>1902</v>
      </c>
      <c r="D36" s="84" t="s">
        <v>278</v>
      </c>
      <c r="E36" s="84"/>
      <c r="F36" s="107">
        <v>38384</v>
      </c>
      <c r="G36" s="94">
        <v>9.0000000000000011E-2</v>
      </c>
      <c r="H36" s="97" t="s">
        <v>170</v>
      </c>
      <c r="I36" s="98">
        <v>4.8000000000000001E-2</v>
      </c>
      <c r="J36" s="98">
        <v>4.6000000000000006E-2</v>
      </c>
      <c r="K36" s="94">
        <v>11384176</v>
      </c>
      <c r="L36" s="108">
        <v>126.794</v>
      </c>
      <c r="M36" s="94">
        <v>14434.46643</v>
      </c>
      <c r="N36" s="84"/>
      <c r="O36" s="95">
        <f t="shared" si="0"/>
        <v>9.0890224920680586E-4</v>
      </c>
      <c r="P36" s="95">
        <f>M36/'סכום נכסי הקרן'!$C$42</f>
        <v>2.4841583527299979E-4</v>
      </c>
    </row>
    <row r="37" spans="2:16">
      <c r="B37" s="87" t="s">
        <v>1903</v>
      </c>
      <c r="C37" s="84" t="s">
        <v>1904</v>
      </c>
      <c r="D37" s="84" t="s">
        <v>278</v>
      </c>
      <c r="E37" s="84"/>
      <c r="F37" s="107">
        <v>39569</v>
      </c>
      <c r="G37" s="94">
        <v>3.0999999999999996</v>
      </c>
      <c r="H37" s="97" t="s">
        <v>170</v>
      </c>
      <c r="I37" s="98">
        <v>4.8000000000000001E-2</v>
      </c>
      <c r="J37" s="98">
        <v>4.8599999999999997E-2</v>
      </c>
      <c r="K37" s="94">
        <v>112578000</v>
      </c>
      <c r="L37" s="108">
        <v>118.3509</v>
      </c>
      <c r="M37" s="94">
        <v>133237.10081</v>
      </c>
      <c r="N37" s="84"/>
      <c r="O37" s="95">
        <f t="shared" si="0"/>
        <v>8.3896070001115344E-3</v>
      </c>
      <c r="P37" s="95">
        <f>M37/'סכום נכסי הקרן'!$C$42</f>
        <v>2.2929982100536169E-3</v>
      </c>
    </row>
    <row r="38" spans="2:16">
      <c r="B38" s="87" t="s">
        <v>1905</v>
      </c>
      <c r="C38" s="84" t="s">
        <v>1906</v>
      </c>
      <c r="D38" s="84" t="s">
        <v>278</v>
      </c>
      <c r="E38" s="84"/>
      <c r="F38" s="107">
        <v>39661</v>
      </c>
      <c r="G38" s="94">
        <v>3.27</v>
      </c>
      <c r="H38" s="97" t="s">
        <v>170</v>
      </c>
      <c r="I38" s="98">
        <v>4.8000000000000001E-2</v>
      </c>
      <c r="J38" s="98">
        <v>4.8500000000000008E-2</v>
      </c>
      <c r="K38" s="94">
        <v>20857000</v>
      </c>
      <c r="L38" s="108">
        <v>117.1396</v>
      </c>
      <c r="M38" s="94">
        <v>24431.79838</v>
      </c>
      <c r="N38" s="84"/>
      <c r="O38" s="95">
        <f t="shared" si="0"/>
        <v>1.5384092378778144E-3</v>
      </c>
      <c r="P38" s="95">
        <f>M38/'סכום נכסי הקרן'!$C$42</f>
        <v>4.2046899559620385E-4</v>
      </c>
    </row>
    <row r="39" spans="2:16">
      <c r="B39" s="87" t="s">
        <v>1907</v>
      </c>
      <c r="C39" s="84" t="s">
        <v>1908</v>
      </c>
      <c r="D39" s="84" t="s">
        <v>278</v>
      </c>
      <c r="E39" s="84"/>
      <c r="F39" s="107">
        <v>39692</v>
      </c>
      <c r="G39" s="94">
        <v>3.3600000000000003</v>
      </c>
      <c r="H39" s="97" t="s">
        <v>170</v>
      </c>
      <c r="I39" s="98">
        <v>4.8000000000000001E-2</v>
      </c>
      <c r="J39" s="98">
        <v>4.8500000000000008E-2</v>
      </c>
      <c r="K39" s="94">
        <v>66472000</v>
      </c>
      <c r="L39" s="108">
        <v>115.3574</v>
      </c>
      <c r="M39" s="94">
        <v>76680.379520000002</v>
      </c>
      <c r="N39" s="84"/>
      <c r="O39" s="95">
        <f t="shared" si="0"/>
        <v>4.8283717138936531E-3</v>
      </c>
      <c r="P39" s="95">
        <f>M39/'סכום נכסי הקרן'!$C$42</f>
        <v>1.3196622556079772E-3</v>
      </c>
    </row>
    <row r="40" spans="2:16">
      <c r="B40" s="87" t="s">
        <v>1909</v>
      </c>
      <c r="C40" s="84" t="s">
        <v>1910</v>
      </c>
      <c r="D40" s="84" t="s">
        <v>278</v>
      </c>
      <c r="E40" s="84"/>
      <c r="F40" s="107">
        <v>40909</v>
      </c>
      <c r="G40" s="94">
        <v>5.8899999999999988</v>
      </c>
      <c r="H40" s="97" t="s">
        <v>170</v>
      </c>
      <c r="I40" s="98">
        <v>4.8000000000000001E-2</v>
      </c>
      <c r="J40" s="98">
        <v>4.8499999999999995E-2</v>
      </c>
      <c r="K40" s="94">
        <v>64393000</v>
      </c>
      <c r="L40" s="108">
        <v>106.37869999999999</v>
      </c>
      <c r="M40" s="94">
        <v>68503.001650000006</v>
      </c>
      <c r="N40" s="84"/>
      <c r="O40" s="95">
        <f t="shared" si="0"/>
        <v>4.3134626817724732E-3</v>
      </c>
      <c r="P40" s="95">
        <f>M40/'סכום נכסי הקרן'!$C$42</f>
        <v>1.1789303370593957E-3</v>
      </c>
    </row>
    <row r="41" spans="2:16">
      <c r="B41" s="87" t="s">
        <v>1911</v>
      </c>
      <c r="C41" s="84">
        <v>8790</v>
      </c>
      <c r="D41" s="84" t="s">
        <v>278</v>
      </c>
      <c r="E41" s="84"/>
      <c r="F41" s="107">
        <v>41030</v>
      </c>
      <c r="G41" s="94">
        <v>6.22</v>
      </c>
      <c r="H41" s="97" t="s">
        <v>170</v>
      </c>
      <c r="I41" s="98">
        <v>4.8000000000000001E-2</v>
      </c>
      <c r="J41" s="98">
        <v>4.8599999999999997E-2</v>
      </c>
      <c r="K41" s="94">
        <v>146011000</v>
      </c>
      <c r="L41" s="108">
        <v>104.26519999999999</v>
      </c>
      <c r="M41" s="94">
        <v>152238.09399000002</v>
      </c>
      <c r="N41" s="84"/>
      <c r="O41" s="95">
        <f t="shared" si="0"/>
        <v>9.5860520174744102E-3</v>
      </c>
      <c r="P41" s="95">
        <f>M41/'סכום נכסי הקרן'!$C$42</f>
        <v>2.6200035493030207E-3</v>
      </c>
    </row>
    <row r="42" spans="2:16">
      <c r="B42" s="87" t="s">
        <v>1912</v>
      </c>
      <c r="C42" s="84" t="s">
        <v>1913</v>
      </c>
      <c r="D42" s="84" t="s">
        <v>278</v>
      </c>
      <c r="E42" s="84"/>
      <c r="F42" s="107">
        <v>41091</v>
      </c>
      <c r="G42" s="94">
        <v>6.24</v>
      </c>
      <c r="H42" s="97" t="s">
        <v>170</v>
      </c>
      <c r="I42" s="98">
        <v>4.8000000000000001E-2</v>
      </c>
      <c r="J42" s="98">
        <v>4.8599999999999997E-2</v>
      </c>
      <c r="K42" s="94">
        <v>11988000</v>
      </c>
      <c r="L42" s="108">
        <v>105.0188</v>
      </c>
      <c r="M42" s="94">
        <v>12594.282580000001</v>
      </c>
      <c r="N42" s="84"/>
      <c r="O42" s="95">
        <f t="shared" si="0"/>
        <v>7.930304746365394E-4</v>
      </c>
      <c r="P42" s="95">
        <f>M42/'סכום נכסי הקרן'!$C$42</f>
        <v>2.1674644102344492E-4</v>
      </c>
    </row>
    <row r="43" spans="2:16">
      <c r="B43" s="87" t="s">
        <v>1914</v>
      </c>
      <c r="C43" s="84">
        <v>8793</v>
      </c>
      <c r="D43" s="84" t="s">
        <v>278</v>
      </c>
      <c r="E43" s="84"/>
      <c r="F43" s="107">
        <v>41122</v>
      </c>
      <c r="G43" s="94">
        <v>6.33</v>
      </c>
      <c r="H43" s="97" t="s">
        <v>170</v>
      </c>
      <c r="I43" s="98">
        <v>4.8000000000000001E-2</v>
      </c>
      <c r="J43" s="98">
        <v>4.8499999999999995E-2</v>
      </c>
      <c r="K43" s="94">
        <v>48437000</v>
      </c>
      <c r="L43" s="108">
        <v>104.9419</v>
      </c>
      <c r="M43" s="94">
        <v>50830.711360000001</v>
      </c>
      <c r="N43" s="84"/>
      <c r="O43" s="95">
        <f t="shared" si="0"/>
        <v>3.2006827621882481E-3</v>
      </c>
      <c r="P43" s="95">
        <f>M43/'סכום נכסי הקרן'!$C$42</f>
        <v>8.7479185193651513E-4</v>
      </c>
    </row>
    <row r="44" spans="2:16">
      <c r="B44" s="87" t="s">
        <v>1915</v>
      </c>
      <c r="C44" s="84" t="s">
        <v>1916</v>
      </c>
      <c r="D44" s="84" t="s">
        <v>278</v>
      </c>
      <c r="E44" s="84"/>
      <c r="F44" s="107">
        <v>41154</v>
      </c>
      <c r="G44" s="94">
        <v>6.41</v>
      </c>
      <c r="H44" s="97" t="s">
        <v>170</v>
      </c>
      <c r="I44" s="98">
        <v>4.8000000000000001E-2</v>
      </c>
      <c r="J44" s="98">
        <v>4.8599999999999997E-2</v>
      </c>
      <c r="K44" s="94">
        <v>122998000</v>
      </c>
      <c r="L44" s="108">
        <v>104.4203</v>
      </c>
      <c r="M44" s="94">
        <v>128434.84938</v>
      </c>
      <c r="N44" s="84"/>
      <c r="O44" s="95">
        <f t="shared" si="0"/>
        <v>8.0872212384243518E-3</v>
      </c>
      <c r="P44" s="95">
        <f>M44/'סכום נכסי הקרן'!$C$42</f>
        <v>2.2103519060866746E-3</v>
      </c>
    </row>
    <row r="45" spans="2:16">
      <c r="B45" s="87" t="s">
        <v>1917</v>
      </c>
      <c r="C45" s="84" t="s">
        <v>1918</v>
      </c>
      <c r="D45" s="84" t="s">
        <v>278</v>
      </c>
      <c r="E45" s="84"/>
      <c r="F45" s="107">
        <v>41184</v>
      </c>
      <c r="G45" s="94">
        <v>6.4899999999999993</v>
      </c>
      <c r="H45" s="97" t="s">
        <v>170</v>
      </c>
      <c r="I45" s="98">
        <v>4.8000000000000001E-2</v>
      </c>
      <c r="J45" s="98">
        <v>4.8600000000000004E-2</v>
      </c>
      <c r="K45" s="94">
        <v>136940000</v>
      </c>
      <c r="L45" s="108">
        <v>102.923</v>
      </c>
      <c r="M45" s="94">
        <v>140942.71246000001</v>
      </c>
      <c r="N45" s="84"/>
      <c r="O45" s="95">
        <f t="shared" si="0"/>
        <v>8.8748100932887833E-3</v>
      </c>
      <c r="P45" s="95">
        <f>M45/'סכום נכסי הקרן'!$C$42</f>
        <v>2.4256110754897597E-3</v>
      </c>
    </row>
    <row r="46" spans="2:16">
      <c r="B46" s="87" t="s">
        <v>1919</v>
      </c>
      <c r="C46" s="84" t="s">
        <v>1920</v>
      </c>
      <c r="D46" s="84" t="s">
        <v>278</v>
      </c>
      <c r="E46" s="84"/>
      <c r="F46" s="107">
        <v>41214</v>
      </c>
      <c r="G46" s="94">
        <v>6.58</v>
      </c>
      <c r="H46" s="97" t="s">
        <v>170</v>
      </c>
      <c r="I46" s="98">
        <v>4.8000000000000001E-2</v>
      </c>
      <c r="J46" s="98">
        <v>4.8499999999999995E-2</v>
      </c>
      <c r="K46" s="94">
        <v>151007000</v>
      </c>
      <c r="L46" s="108">
        <v>102.5337</v>
      </c>
      <c r="M46" s="94">
        <v>154833.12419</v>
      </c>
      <c r="N46" s="84"/>
      <c r="O46" s="95">
        <f t="shared" si="0"/>
        <v>9.7494545787660068E-3</v>
      </c>
      <c r="P46" s="95">
        <f>M46/'סכום נכסי הקרן'!$C$42</f>
        <v>2.664663779580175E-3</v>
      </c>
    </row>
    <row r="47" spans="2:16">
      <c r="B47" s="87" t="s">
        <v>1921</v>
      </c>
      <c r="C47" s="84" t="s">
        <v>1922</v>
      </c>
      <c r="D47" s="84" t="s">
        <v>278</v>
      </c>
      <c r="E47" s="84"/>
      <c r="F47" s="107">
        <v>41245</v>
      </c>
      <c r="G47" s="94">
        <v>6.66</v>
      </c>
      <c r="H47" s="97" t="s">
        <v>170</v>
      </c>
      <c r="I47" s="98">
        <v>4.8000000000000001E-2</v>
      </c>
      <c r="J47" s="98">
        <v>4.8599999999999997E-2</v>
      </c>
      <c r="K47" s="94">
        <v>155216000</v>
      </c>
      <c r="L47" s="108">
        <v>102.3087</v>
      </c>
      <c r="M47" s="94">
        <v>158799.52759000001</v>
      </c>
      <c r="N47" s="84"/>
      <c r="O47" s="95">
        <f t="shared" si="0"/>
        <v>9.9992090805346955E-3</v>
      </c>
      <c r="P47" s="95">
        <f>M47/'סכום נכסי הקרן'!$C$42</f>
        <v>2.7329252160814112E-3</v>
      </c>
    </row>
    <row r="48" spans="2:16">
      <c r="B48" s="87" t="s">
        <v>1923</v>
      </c>
      <c r="C48" s="84" t="s">
        <v>1924</v>
      </c>
      <c r="D48" s="84" t="s">
        <v>278</v>
      </c>
      <c r="E48" s="84"/>
      <c r="F48" s="107">
        <v>41275</v>
      </c>
      <c r="G48" s="94">
        <v>6.589999999999999</v>
      </c>
      <c r="H48" s="97" t="s">
        <v>170</v>
      </c>
      <c r="I48" s="98">
        <v>4.8000000000000001E-2</v>
      </c>
      <c r="J48" s="98">
        <v>4.8499999999999995E-2</v>
      </c>
      <c r="K48" s="94">
        <v>144366000</v>
      </c>
      <c r="L48" s="108">
        <v>104.85339999999999</v>
      </c>
      <c r="M48" s="94">
        <v>151372.52119</v>
      </c>
      <c r="N48" s="84"/>
      <c r="O48" s="95">
        <f t="shared" si="0"/>
        <v>9.5315490631333218E-3</v>
      </c>
      <c r="P48" s="95">
        <f>M48/'סכום נכסי הקרן'!$C$42</f>
        <v>2.6051071212885631E-3</v>
      </c>
    </row>
    <row r="49" spans="2:16">
      <c r="B49" s="87" t="s">
        <v>1925</v>
      </c>
      <c r="C49" s="84" t="s">
        <v>1926</v>
      </c>
      <c r="D49" s="84" t="s">
        <v>278</v>
      </c>
      <c r="E49" s="84"/>
      <c r="F49" s="107">
        <v>41306</v>
      </c>
      <c r="G49" s="94">
        <v>6.67</v>
      </c>
      <c r="H49" s="97" t="s">
        <v>170</v>
      </c>
      <c r="I49" s="98">
        <v>4.8000000000000001E-2</v>
      </c>
      <c r="J49" s="98">
        <v>4.8499999999999988E-2</v>
      </c>
      <c r="K49" s="94">
        <v>177605000</v>
      </c>
      <c r="L49" s="108">
        <v>104.24290000000001</v>
      </c>
      <c r="M49" s="94">
        <v>185140.38799000002</v>
      </c>
      <c r="N49" s="84"/>
      <c r="O49" s="95">
        <f t="shared" si="0"/>
        <v>1.1657827179077219E-2</v>
      </c>
      <c r="P49" s="95">
        <f>M49/'סכום נכסי הקרן'!$C$42</f>
        <v>3.1862489928769127E-3</v>
      </c>
    </row>
    <row r="50" spans="2:16">
      <c r="B50" s="87" t="s">
        <v>1927</v>
      </c>
      <c r="C50" s="84" t="s">
        <v>1928</v>
      </c>
      <c r="D50" s="84" t="s">
        <v>278</v>
      </c>
      <c r="E50" s="84"/>
      <c r="F50" s="107">
        <v>41334</v>
      </c>
      <c r="G50" s="94">
        <v>6.75</v>
      </c>
      <c r="H50" s="97" t="s">
        <v>170</v>
      </c>
      <c r="I50" s="98">
        <v>4.8000000000000001E-2</v>
      </c>
      <c r="J50" s="98">
        <v>4.8499999999999995E-2</v>
      </c>
      <c r="K50" s="94">
        <v>128676000</v>
      </c>
      <c r="L50" s="108">
        <v>104.0129</v>
      </c>
      <c r="M50" s="94">
        <v>133839.69203000001</v>
      </c>
      <c r="N50" s="84"/>
      <c r="O50" s="95">
        <f t="shared" si="0"/>
        <v>8.4275506621004498E-3</v>
      </c>
      <c r="P50" s="95">
        <f>M50/'סכום נכסי הקרן'!$C$42</f>
        <v>2.3033687493437538E-3</v>
      </c>
    </row>
    <row r="51" spans="2:16">
      <c r="B51" s="87" t="s">
        <v>1929</v>
      </c>
      <c r="C51" s="84" t="s">
        <v>1930</v>
      </c>
      <c r="D51" s="84" t="s">
        <v>278</v>
      </c>
      <c r="E51" s="84"/>
      <c r="F51" s="107">
        <v>41366</v>
      </c>
      <c r="G51" s="94">
        <v>6.83</v>
      </c>
      <c r="H51" s="97" t="s">
        <v>170</v>
      </c>
      <c r="I51" s="98">
        <v>4.8000000000000001E-2</v>
      </c>
      <c r="J51" s="98">
        <v>4.8600000000000004E-2</v>
      </c>
      <c r="K51" s="94">
        <v>190014000</v>
      </c>
      <c r="L51" s="108">
        <v>103.5925</v>
      </c>
      <c r="M51" s="94">
        <v>196840.08328999998</v>
      </c>
      <c r="N51" s="84"/>
      <c r="O51" s="95">
        <f t="shared" si="0"/>
        <v>1.2394527730134877E-2</v>
      </c>
      <c r="P51" s="95">
        <f>M51/'סכום נכסי הקרן'!$C$42</f>
        <v>3.3875996693625058E-3</v>
      </c>
    </row>
    <row r="52" spans="2:16">
      <c r="B52" s="87" t="s">
        <v>1931</v>
      </c>
      <c r="C52" s="84">
        <v>2704</v>
      </c>
      <c r="D52" s="84" t="s">
        <v>278</v>
      </c>
      <c r="E52" s="84"/>
      <c r="F52" s="107">
        <v>41395</v>
      </c>
      <c r="G52" s="94">
        <v>6.9200000000000008</v>
      </c>
      <c r="H52" s="97" t="s">
        <v>170</v>
      </c>
      <c r="I52" s="98">
        <v>4.8000000000000001E-2</v>
      </c>
      <c r="J52" s="98">
        <v>4.8500000000000008E-2</v>
      </c>
      <c r="K52" s="94">
        <v>126990000</v>
      </c>
      <c r="L52" s="108">
        <v>102.988</v>
      </c>
      <c r="M52" s="94">
        <v>130784.43899</v>
      </c>
      <c r="N52" s="84"/>
      <c r="O52" s="95">
        <f t="shared" si="0"/>
        <v>8.2351690196324958E-3</v>
      </c>
      <c r="P52" s="95">
        <f>M52/'סכום נכסי הקרן'!$C$42</f>
        <v>2.2507881264587572E-3</v>
      </c>
    </row>
    <row r="53" spans="2:16">
      <c r="B53" s="87" t="s">
        <v>1932</v>
      </c>
      <c r="C53" s="84" t="s">
        <v>1933</v>
      </c>
      <c r="D53" s="84" t="s">
        <v>278</v>
      </c>
      <c r="E53" s="84"/>
      <c r="F53" s="107">
        <v>41427</v>
      </c>
      <c r="G53" s="94">
        <v>6.9999999999999991</v>
      </c>
      <c r="H53" s="97" t="s">
        <v>170</v>
      </c>
      <c r="I53" s="98">
        <v>4.8000000000000001E-2</v>
      </c>
      <c r="J53" s="98">
        <v>4.8600000000000004E-2</v>
      </c>
      <c r="K53" s="94">
        <v>256283000</v>
      </c>
      <c r="L53" s="108">
        <v>102.1662</v>
      </c>
      <c r="M53" s="94">
        <v>261834.59258000003</v>
      </c>
      <c r="N53" s="84"/>
      <c r="O53" s="95">
        <f t="shared" si="0"/>
        <v>1.6487069423051039E-2</v>
      </c>
      <c r="P53" s="95">
        <f>M53/'סכום נכסי הקרן'!$C$42</f>
        <v>4.5061491766638364E-3</v>
      </c>
    </row>
    <row r="54" spans="2:16">
      <c r="B54" s="87" t="s">
        <v>1934</v>
      </c>
      <c r="C54" s="84">
        <v>8805</v>
      </c>
      <c r="D54" s="84" t="s">
        <v>278</v>
      </c>
      <c r="E54" s="84"/>
      <c r="F54" s="107">
        <v>41487</v>
      </c>
      <c r="G54" s="94">
        <v>7</v>
      </c>
      <c r="H54" s="97" t="s">
        <v>170</v>
      </c>
      <c r="I54" s="98">
        <v>4.8000000000000001E-2</v>
      </c>
      <c r="J54" s="98">
        <v>4.8499999999999995E-2</v>
      </c>
      <c r="K54" s="94">
        <v>110288000</v>
      </c>
      <c r="L54" s="108">
        <v>102.8857</v>
      </c>
      <c r="M54" s="94">
        <v>113471.00623</v>
      </c>
      <c r="N54" s="84"/>
      <c r="O54" s="95">
        <f t="shared" si="0"/>
        <v>7.1449854611776243E-3</v>
      </c>
      <c r="P54" s="95">
        <f>M54/'סכום נכסי הקרן'!$C$42</f>
        <v>1.952825546312432E-3</v>
      </c>
    </row>
    <row r="55" spans="2:16">
      <c r="B55" s="87" t="s">
        <v>1935</v>
      </c>
      <c r="C55" s="84">
        <v>8806</v>
      </c>
      <c r="D55" s="84" t="s">
        <v>278</v>
      </c>
      <c r="E55" s="84"/>
      <c r="F55" s="107">
        <v>41518</v>
      </c>
      <c r="G55" s="94">
        <v>7.089999999999999</v>
      </c>
      <c r="H55" s="97" t="s">
        <v>170</v>
      </c>
      <c r="I55" s="98">
        <v>4.8000000000000001E-2</v>
      </c>
      <c r="J55" s="98">
        <v>4.8499999999999988E-2</v>
      </c>
      <c r="K55" s="94">
        <v>9996000</v>
      </c>
      <c r="L55" s="108">
        <v>102.1831</v>
      </c>
      <c r="M55" s="94">
        <v>10214.41806</v>
      </c>
      <c r="N55" s="84"/>
      <c r="O55" s="95">
        <f t="shared" si="0"/>
        <v>6.4317635806595023E-4</v>
      </c>
      <c r="P55" s="95">
        <f>M55/'סכום נכסי הקרן'!$C$42</f>
        <v>1.757891922439778E-4</v>
      </c>
    </row>
    <row r="56" spans="2:16">
      <c r="B56" s="87" t="s">
        <v>1936</v>
      </c>
      <c r="C56" s="84" t="s">
        <v>1937</v>
      </c>
      <c r="D56" s="84" t="s">
        <v>278</v>
      </c>
      <c r="E56" s="84"/>
      <c r="F56" s="107">
        <v>41548</v>
      </c>
      <c r="G56" s="94">
        <v>7.1700000000000008</v>
      </c>
      <c r="H56" s="97" t="s">
        <v>170</v>
      </c>
      <c r="I56" s="98">
        <v>4.8000000000000001E-2</v>
      </c>
      <c r="J56" s="98">
        <v>4.8499999999999995E-2</v>
      </c>
      <c r="K56" s="94">
        <v>331205000</v>
      </c>
      <c r="L56" s="108">
        <v>101.5748</v>
      </c>
      <c r="M56" s="94">
        <v>336421.61507999996</v>
      </c>
      <c r="N56" s="84"/>
      <c r="O56" s="95">
        <f t="shared" si="0"/>
        <v>2.118362768106824E-2</v>
      </c>
      <c r="P56" s="95">
        <f>M56/'סכום נכסי הקרן'!$C$42</f>
        <v>5.7897849511289352E-3</v>
      </c>
    </row>
    <row r="57" spans="2:16">
      <c r="B57" s="87" t="s">
        <v>1938</v>
      </c>
      <c r="C57" s="84" t="s">
        <v>1939</v>
      </c>
      <c r="D57" s="84" t="s">
        <v>278</v>
      </c>
      <c r="E57" s="84"/>
      <c r="F57" s="107">
        <v>41579</v>
      </c>
      <c r="G57" s="94">
        <v>7.25</v>
      </c>
      <c r="H57" s="97" t="s">
        <v>170</v>
      </c>
      <c r="I57" s="98">
        <v>4.8000000000000001E-2</v>
      </c>
      <c r="J57" s="98">
        <v>4.8499999999999988E-2</v>
      </c>
      <c r="K57" s="94">
        <v>168637000</v>
      </c>
      <c r="L57" s="108">
        <v>101.17529999999999</v>
      </c>
      <c r="M57" s="94">
        <v>170625.39968</v>
      </c>
      <c r="N57" s="84"/>
      <c r="O57" s="95">
        <f t="shared" si="0"/>
        <v>1.0743854668479229E-2</v>
      </c>
      <c r="P57" s="95">
        <f>M57/'סכום נכסי הקרן'!$C$42</f>
        <v>2.9364473834795311E-3</v>
      </c>
    </row>
    <row r="58" spans="2:16">
      <c r="B58" s="87" t="s">
        <v>1940</v>
      </c>
      <c r="C58" s="84" t="s">
        <v>1941</v>
      </c>
      <c r="D58" s="84" t="s">
        <v>278</v>
      </c>
      <c r="E58" s="84"/>
      <c r="F58" s="107">
        <v>41609</v>
      </c>
      <c r="G58" s="94">
        <v>7.339999999999999</v>
      </c>
      <c r="H58" s="97" t="s">
        <v>170</v>
      </c>
      <c r="I58" s="98">
        <v>4.8000000000000001E-2</v>
      </c>
      <c r="J58" s="98">
        <v>4.8499999999999995E-2</v>
      </c>
      <c r="K58" s="94">
        <v>151418000</v>
      </c>
      <c r="L58" s="108">
        <v>100.4819</v>
      </c>
      <c r="M58" s="94">
        <v>152152.6819</v>
      </c>
      <c r="N58" s="84"/>
      <c r="O58" s="95">
        <f t="shared" si="0"/>
        <v>9.5806738317903758E-3</v>
      </c>
      <c r="P58" s="95">
        <f>M58/'סכום נכסי הקרן'!$C$42</f>
        <v>2.6185336151157983E-3</v>
      </c>
    </row>
    <row r="59" spans="2:16">
      <c r="B59" s="87" t="s">
        <v>1942</v>
      </c>
      <c r="C59" s="84" t="s">
        <v>1943</v>
      </c>
      <c r="D59" s="84" t="s">
        <v>278</v>
      </c>
      <c r="E59" s="84"/>
      <c r="F59" s="107">
        <v>41672</v>
      </c>
      <c r="G59" s="94">
        <v>7.3299999999999992</v>
      </c>
      <c r="H59" s="97" t="s">
        <v>170</v>
      </c>
      <c r="I59" s="98">
        <v>4.8000000000000001E-2</v>
      </c>
      <c r="J59" s="98">
        <v>4.8499999999999995E-2</v>
      </c>
      <c r="K59" s="94">
        <v>67096000</v>
      </c>
      <c r="L59" s="108">
        <v>102.37869999999999</v>
      </c>
      <c r="M59" s="94">
        <v>68692.044900000008</v>
      </c>
      <c r="N59" s="84"/>
      <c r="O59" s="95">
        <f t="shared" si="0"/>
        <v>4.3253662624109139E-3</v>
      </c>
      <c r="P59" s="95">
        <f>M59/'סכום נכסי הקרן'!$C$42</f>
        <v>1.1821837539473154E-3</v>
      </c>
    </row>
    <row r="60" spans="2:16">
      <c r="B60" s="87" t="s">
        <v>1944</v>
      </c>
      <c r="C60" s="84" t="s">
        <v>1945</v>
      </c>
      <c r="D60" s="84" t="s">
        <v>278</v>
      </c>
      <c r="E60" s="84"/>
      <c r="F60" s="107">
        <v>41700</v>
      </c>
      <c r="G60" s="94">
        <v>7.41</v>
      </c>
      <c r="H60" s="97" t="s">
        <v>170</v>
      </c>
      <c r="I60" s="98">
        <v>4.8000000000000001E-2</v>
      </c>
      <c r="J60" s="98">
        <v>4.8599999999999997E-2</v>
      </c>
      <c r="K60" s="94">
        <v>304913000</v>
      </c>
      <c r="L60" s="108">
        <v>102.5752</v>
      </c>
      <c r="M60" s="94">
        <v>312765.22622000001</v>
      </c>
      <c r="N60" s="84"/>
      <c r="O60" s="95">
        <f t="shared" si="0"/>
        <v>1.9694044041296335E-2</v>
      </c>
      <c r="P60" s="95">
        <f>M60/'סכום נכסי הקרן'!$C$42</f>
        <v>5.3826606818184984E-3</v>
      </c>
    </row>
    <row r="61" spans="2:16">
      <c r="B61" s="87" t="s">
        <v>1946</v>
      </c>
      <c r="C61" s="84" t="s">
        <v>1947</v>
      </c>
      <c r="D61" s="84" t="s">
        <v>278</v>
      </c>
      <c r="E61" s="84"/>
      <c r="F61" s="107">
        <v>41730</v>
      </c>
      <c r="G61" s="94">
        <v>7.4900000000000011</v>
      </c>
      <c r="H61" s="97" t="s">
        <v>170</v>
      </c>
      <c r="I61" s="98">
        <v>4.8000000000000001E-2</v>
      </c>
      <c r="J61" s="98">
        <v>4.8500000000000008E-2</v>
      </c>
      <c r="K61" s="94">
        <v>175976000</v>
      </c>
      <c r="L61" s="108">
        <v>102.3811</v>
      </c>
      <c r="M61" s="94">
        <v>180166.01056999998</v>
      </c>
      <c r="N61" s="84"/>
      <c r="O61" s="95">
        <f t="shared" si="0"/>
        <v>1.1344603074302217E-2</v>
      </c>
      <c r="P61" s="95">
        <f>M61/'סכום נכסי הקרן'!$C$42</f>
        <v>3.1006404165055549E-3</v>
      </c>
    </row>
    <row r="62" spans="2:16">
      <c r="B62" s="87" t="s">
        <v>1948</v>
      </c>
      <c r="C62" s="84" t="s">
        <v>1949</v>
      </c>
      <c r="D62" s="84" t="s">
        <v>278</v>
      </c>
      <c r="E62" s="84"/>
      <c r="F62" s="107">
        <v>41760</v>
      </c>
      <c r="G62" s="94">
        <v>7.58</v>
      </c>
      <c r="H62" s="97" t="s">
        <v>170</v>
      </c>
      <c r="I62" s="98">
        <v>4.8000000000000001E-2</v>
      </c>
      <c r="J62" s="98">
        <v>4.8500000000000008E-2</v>
      </c>
      <c r="K62" s="94">
        <v>63695000</v>
      </c>
      <c r="L62" s="108">
        <v>101.6768</v>
      </c>
      <c r="M62" s="94">
        <v>64763.030590000002</v>
      </c>
      <c r="N62" s="84"/>
      <c r="O62" s="95">
        <f t="shared" si="0"/>
        <v>4.0779660581260688E-3</v>
      </c>
      <c r="P62" s="95">
        <f>M62/'סכום נכסי הקרן'!$C$42</f>
        <v>1.1145657802347796E-3</v>
      </c>
    </row>
    <row r="63" spans="2:16">
      <c r="B63" s="87" t="s">
        <v>1950</v>
      </c>
      <c r="C63" s="84" t="s">
        <v>1951</v>
      </c>
      <c r="D63" s="84" t="s">
        <v>278</v>
      </c>
      <c r="E63" s="84"/>
      <c r="F63" s="107">
        <v>41791</v>
      </c>
      <c r="G63" s="94">
        <v>7.6599999999999993</v>
      </c>
      <c r="H63" s="97" t="s">
        <v>170</v>
      </c>
      <c r="I63" s="98">
        <v>4.8000000000000001E-2</v>
      </c>
      <c r="J63" s="98">
        <v>4.8599999999999997E-2</v>
      </c>
      <c r="K63" s="94">
        <v>262929000</v>
      </c>
      <c r="L63" s="108">
        <v>101.1698</v>
      </c>
      <c r="M63" s="94">
        <v>266004.58953</v>
      </c>
      <c r="N63" s="84"/>
      <c r="O63" s="95">
        <f t="shared" si="0"/>
        <v>1.6749643701457564E-2</v>
      </c>
      <c r="P63" s="95">
        <f>M63/'סכום נכסי הקרן'!$C$42</f>
        <v>4.5779144393733161E-3</v>
      </c>
    </row>
    <row r="64" spans="2:16">
      <c r="B64" s="87" t="s">
        <v>1952</v>
      </c>
      <c r="C64" s="84" t="s">
        <v>1953</v>
      </c>
      <c r="D64" s="84" t="s">
        <v>278</v>
      </c>
      <c r="E64" s="84"/>
      <c r="F64" s="107">
        <v>41821</v>
      </c>
      <c r="G64" s="94">
        <v>7.5600000000000014</v>
      </c>
      <c r="H64" s="97" t="s">
        <v>170</v>
      </c>
      <c r="I64" s="98">
        <v>4.8000000000000001E-2</v>
      </c>
      <c r="J64" s="98">
        <v>4.8500000000000008E-2</v>
      </c>
      <c r="K64" s="94">
        <v>162322000</v>
      </c>
      <c r="L64" s="108">
        <v>103.0945</v>
      </c>
      <c r="M64" s="94">
        <v>167344.97456999999</v>
      </c>
      <c r="N64" s="84"/>
      <c r="O64" s="95">
        <f t="shared" si="0"/>
        <v>1.0537294503938843E-2</v>
      </c>
      <c r="P64" s="95">
        <f>M64/'סכום נכסי הקרן'!$C$42</f>
        <v>2.879991570048319E-3</v>
      </c>
    </row>
    <row r="65" spans="2:16">
      <c r="B65" s="87" t="s">
        <v>1954</v>
      </c>
      <c r="C65" s="84" t="s">
        <v>1955</v>
      </c>
      <c r="D65" s="84" t="s">
        <v>278</v>
      </c>
      <c r="E65" s="84"/>
      <c r="F65" s="107">
        <v>41852</v>
      </c>
      <c r="G65" s="94">
        <v>7.6499999999999995</v>
      </c>
      <c r="H65" s="97" t="s">
        <v>170</v>
      </c>
      <c r="I65" s="98">
        <v>4.8000000000000001E-2</v>
      </c>
      <c r="J65" s="98">
        <v>4.8499999999999995E-2</v>
      </c>
      <c r="K65" s="94">
        <v>114402000</v>
      </c>
      <c r="L65" s="108">
        <v>102.3854</v>
      </c>
      <c r="M65" s="94">
        <v>117131.31365000001</v>
      </c>
      <c r="N65" s="84"/>
      <c r="O65" s="95">
        <f t="shared" si="0"/>
        <v>7.3754658646591103E-3</v>
      </c>
      <c r="P65" s="95">
        <f>M65/'סכום נכסי הקרן'!$C$42</f>
        <v>2.0158190992438695E-3</v>
      </c>
    </row>
    <row r="66" spans="2:16">
      <c r="B66" s="87" t="s">
        <v>1956</v>
      </c>
      <c r="C66" s="84" t="s">
        <v>1957</v>
      </c>
      <c r="D66" s="84" t="s">
        <v>278</v>
      </c>
      <c r="E66" s="84"/>
      <c r="F66" s="107">
        <v>41883</v>
      </c>
      <c r="G66" s="94">
        <v>7.73</v>
      </c>
      <c r="H66" s="97" t="s">
        <v>170</v>
      </c>
      <c r="I66" s="98">
        <v>4.8000000000000001E-2</v>
      </c>
      <c r="J66" s="98">
        <v>4.8500000000000008E-2</v>
      </c>
      <c r="K66" s="94">
        <v>206066000</v>
      </c>
      <c r="L66" s="108">
        <v>101.87569999999999</v>
      </c>
      <c r="M66" s="94">
        <v>209931.00744999998</v>
      </c>
      <c r="N66" s="84"/>
      <c r="O66" s="95">
        <f t="shared" si="0"/>
        <v>1.3218830482919049E-2</v>
      </c>
      <c r="P66" s="95">
        <f>M66/'סכום נכסי הקרן'!$C$42</f>
        <v>3.6128932661485349E-3</v>
      </c>
    </row>
    <row r="67" spans="2:16">
      <c r="B67" s="87" t="s">
        <v>1958</v>
      </c>
      <c r="C67" s="84" t="s">
        <v>1959</v>
      </c>
      <c r="D67" s="84" t="s">
        <v>278</v>
      </c>
      <c r="E67" s="84"/>
      <c r="F67" s="107">
        <v>41913</v>
      </c>
      <c r="G67" s="94">
        <v>7.8099999999999987</v>
      </c>
      <c r="H67" s="97" t="s">
        <v>170</v>
      </c>
      <c r="I67" s="98">
        <v>4.8000000000000001E-2</v>
      </c>
      <c r="J67" s="98">
        <v>4.8499999999999995E-2</v>
      </c>
      <c r="K67" s="94">
        <v>170672000</v>
      </c>
      <c r="L67" s="108">
        <v>101.5806</v>
      </c>
      <c r="M67" s="94">
        <v>173369.34805</v>
      </c>
      <c r="N67" s="84"/>
      <c r="O67" s="95">
        <f t="shared" si="0"/>
        <v>1.0916634234478077E-2</v>
      </c>
      <c r="P67" s="95">
        <f>M67/'סכום נכסי הקרן'!$C$42</f>
        <v>2.9836704817204776E-3</v>
      </c>
    </row>
    <row r="68" spans="2:16">
      <c r="B68" s="87" t="s">
        <v>1960</v>
      </c>
      <c r="C68" s="84" t="s">
        <v>1961</v>
      </c>
      <c r="D68" s="84" t="s">
        <v>278</v>
      </c>
      <c r="E68" s="84"/>
      <c r="F68" s="107">
        <v>41945</v>
      </c>
      <c r="G68" s="94">
        <v>7.8999999999999995</v>
      </c>
      <c r="H68" s="97" t="s">
        <v>170</v>
      </c>
      <c r="I68" s="98">
        <v>4.8000000000000001E-2</v>
      </c>
      <c r="J68" s="98">
        <v>4.8499999999999995E-2</v>
      </c>
      <c r="K68" s="94">
        <v>85436000</v>
      </c>
      <c r="L68" s="108">
        <v>101.4635</v>
      </c>
      <c r="M68" s="94">
        <v>86686.286670000001</v>
      </c>
      <c r="N68" s="84"/>
      <c r="O68" s="95">
        <f t="shared" si="0"/>
        <v>5.4584186614613193E-3</v>
      </c>
      <c r="P68" s="95">
        <f>M68/'סכום נכסי הקרן'!$C$42</f>
        <v>1.4918629943318767E-3</v>
      </c>
    </row>
    <row r="69" spans="2:16">
      <c r="B69" s="87" t="s">
        <v>1962</v>
      </c>
      <c r="C69" s="84" t="s">
        <v>1963</v>
      </c>
      <c r="D69" s="84" t="s">
        <v>278</v>
      </c>
      <c r="E69" s="84"/>
      <c r="F69" s="107">
        <v>41974</v>
      </c>
      <c r="G69" s="94">
        <v>7.9799999999999995</v>
      </c>
      <c r="H69" s="97" t="s">
        <v>170</v>
      </c>
      <c r="I69" s="98">
        <v>4.8000000000000001E-2</v>
      </c>
      <c r="J69" s="98">
        <v>4.8499999999999995E-2</v>
      </c>
      <c r="K69" s="94">
        <v>324641000</v>
      </c>
      <c r="L69" s="108">
        <v>100.77719999999999</v>
      </c>
      <c r="M69" s="94">
        <v>327163.90141000005</v>
      </c>
      <c r="N69" s="84"/>
      <c r="O69" s="95">
        <f t="shared" si="0"/>
        <v>2.0600692605637433E-2</v>
      </c>
      <c r="P69" s="95">
        <f>M69/'סכום נכסי הקרן'!$C$42</f>
        <v>5.630460553153852E-3</v>
      </c>
    </row>
    <row r="70" spans="2:16">
      <c r="B70" s="87" t="s">
        <v>1964</v>
      </c>
      <c r="C70" s="84" t="s">
        <v>1965</v>
      </c>
      <c r="D70" s="84" t="s">
        <v>278</v>
      </c>
      <c r="E70" s="84"/>
      <c r="F70" s="107">
        <v>42005</v>
      </c>
      <c r="G70" s="94">
        <v>7.8800000000000008</v>
      </c>
      <c r="H70" s="97" t="s">
        <v>170</v>
      </c>
      <c r="I70" s="98">
        <v>4.8000000000000001E-2</v>
      </c>
      <c r="J70" s="98">
        <v>4.8500000000000008E-2</v>
      </c>
      <c r="K70" s="94">
        <v>18379000</v>
      </c>
      <c r="L70" s="108">
        <v>102.99339999999999</v>
      </c>
      <c r="M70" s="94">
        <v>18929.1649</v>
      </c>
      <c r="N70" s="84"/>
      <c r="O70" s="95">
        <f t="shared" si="0"/>
        <v>1.1919221702202207E-3</v>
      </c>
      <c r="P70" s="95">
        <f>M70/'סכום נכסי הקרן'!$C$42</f>
        <v>3.2576918117879116E-4</v>
      </c>
    </row>
    <row r="71" spans="2:16">
      <c r="B71" s="87" t="s">
        <v>1966</v>
      </c>
      <c r="C71" s="84" t="s">
        <v>1967</v>
      </c>
      <c r="D71" s="84" t="s">
        <v>278</v>
      </c>
      <c r="E71" s="84"/>
      <c r="F71" s="107">
        <v>42036</v>
      </c>
      <c r="G71" s="94">
        <v>7.9600000000000009</v>
      </c>
      <c r="H71" s="97" t="s">
        <v>170</v>
      </c>
      <c r="I71" s="98">
        <v>4.8000000000000001E-2</v>
      </c>
      <c r="J71" s="98">
        <v>4.8499999999999995E-2</v>
      </c>
      <c r="K71" s="94">
        <v>165325000</v>
      </c>
      <c r="L71" s="108">
        <v>102.58710000000001</v>
      </c>
      <c r="M71" s="94">
        <v>169602.14381000001</v>
      </c>
      <c r="N71" s="84"/>
      <c r="O71" s="95">
        <f t="shared" si="0"/>
        <v>1.067942280559969E-2</v>
      </c>
      <c r="P71" s="95">
        <f>M71/'סכום נכסי הקרן'!$C$42</f>
        <v>2.9188372443810918E-3</v>
      </c>
    </row>
    <row r="72" spans="2:16">
      <c r="B72" s="87" t="s">
        <v>1968</v>
      </c>
      <c r="C72" s="84" t="s">
        <v>1969</v>
      </c>
      <c r="D72" s="84" t="s">
        <v>278</v>
      </c>
      <c r="E72" s="84"/>
      <c r="F72" s="107">
        <v>42064</v>
      </c>
      <c r="G72" s="94">
        <v>8.0400000000000009</v>
      </c>
      <c r="H72" s="97" t="s">
        <v>170</v>
      </c>
      <c r="I72" s="98">
        <v>4.8000000000000001E-2</v>
      </c>
      <c r="J72" s="98">
        <v>4.8500000000000008E-2</v>
      </c>
      <c r="K72" s="94">
        <v>455819000</v>
      </c>
      <c r="L72" s="108">
        <v>103.1007</v>
      </c>
      <c r="M72" s="94">
        <v>469952.59813999996</v>
      </c>
      <c r="N72" s="84"/>
      <c r="O72" s="95">
        <f t="shared" si="0"/>
        <v>2.9591739711436506E-2</v>
      </c>
      <c r="P72" s="95">
        <f>M72/'סכום נכסי הקרן'!$C$42</f>
        <v>8.0878408475861131E-3</v>
      </c>
    </row>
    <row r="73" spans="2:16">
      <c r="B73" s="87" t="s">
        <v>1970</v>
      </c>
      <c r="C73" s="84" t="s">
        <v>1971</v>
      </c>
      <c r="D73" s="84" t="s">
        <v>278</v>
      </c>
      <c r="E73" s="84"/>
      <c r="F73" s="107">
        <v>42095</v>
      </c>
      <c r="G73" s="94">
        <v>8.1199999999999992</v>
      </c>
      <c r="H73" s="97" t="s">
        <v>170</v>
      </c>
      <c r="I73" s="98">
        <v>4.8000000000000001E-2</v>
      </c>
      <c r="J73" s="98">
        <v>4.8499999999999995E-2</v>
      </c>
      <c r="K73" s="94">
        <v>249662000</v>
      </c>
      <c r="L73" s="108">
        <v>103.43049999999999</v>
      </c>
      <c r="M73" s="94">
        <v>258226.64475000001</v>
      </c>
      <c r="N73" s="84"/>
      <c r="O73" s="95">
        <f t="shared" si="0"/>
        <v>1.6259885971995836E-2</v>
      </c>
      <c r="P73" s="95">
        <f>M73/'סכום נכסי הקרן'!$C$42</f>
        <v>4.444056727444648E-3</v>
      </c>
    </row>
    <row r="74" spans="2:16">
      <c r="B74" s="87" t="s">
        <v>1972</v>
      </c>
      <c r="C74" s="84" t="s">
        <v>1973</v>
      </c>
      <c r="D74" s="84" t="s">
        <v>278</v>
      </c>
      <c r="E74" s="84"/>
      <c r="F74" s="107">
        <v>42125</v>
      </c>
      <c r="G74" s="94">
        <v>8.2100000000000009</v>
      </c>
      <c r="H74" s="97" t="s">
        <v>170</v>
      </c>
      <c r="I74" s="98">
        <v>4.8000000000000001E-2</v>
      </c>
      <c r="J74" s="98">
        <v>4.8500000000000008E-2</v>
      </c>
      <c r="K74" s="94">
        <v>266579000</v>
      </c>
      <c r="L74" s="108">
        <v>102.70959999999999</v>
      </c>
      <c r="M74" s="94">
        <v>273802.28307999996</v>
      </c>
      <c r="N74" s="84"/>
      <c r="O74" s="95">
        <f t="shared" si="0"/>
        <v>1.7240644961572751E-2</v>
      </c>
      <c r="P74" s="95">
        <f>M74/'סכום נכסי הקרן'!$C$42</f>
        <v>4.7121120258113011E-3</v>
      </c>
    </row>
    <row r="75" spans="2:16">
      <c r="B75" s="87" t="s">
        <v>1974</v>
      </c>
      <c r="C75" s="84" t="s">
        <v>1975</v>
      </c>
      <c r="D75" s="84" t="s">
        <v>278</v>
      </c>
      <c r="E75" s="84"/>
      <c r="F75" s="107">
        <v>42156</v>
      </c>
      <c r="G75" s="94">
        <v>8.2899999999999991</v>
      </c>
      <c r="H75" s="97" t="s">
        <v>170</v>
      </c>
      <c r="I75" s="98">
        <v>4.8000000000000001E-2</v>
      </c>
      <c r="J75" s="98">
        <v>4.8499999999999995E-2</v>
      </c>
      <c r="K75" s="94">
        <v>67329000</v>
      </c>
      <c r="L75" s="108">
        <v>101.6874</v>
      </c>
      <c r="M75" s="94">
        <v>68464.758260000002</v>
      </c>
      <c r="N75" s="84"/>
      <c r="O75" s="95">
        <f t="shared" si="0"/>
        <v>4.3110545911543086E-3</v>
      </c>
      <c r="P75" s="95">
        <f>M75/'סכום נכסי הקרן'!$C$42</f>
        <v>1.1782721718465287E-3</v>
      </c>
    </row>
    <row r="76" spans="2:16">
      <c r="B76" s="87" t="s">
        <v>1976</v>
      </c>
      <c r="C76" s="84" t="s">
        <v>1977</v>
      </c>
      <c r="D76" s="84" t="s">
        <v>278</v>
      </c>
      <c r="E76" s="84"/>
      <c r="F76" s="107">
        <v>42218</v>
      </c>
      <c r="G76" s="94">
        <v>8.2700000000000014</v>
      </c>
      <c r="H76" s="97" t="s">
        <v>170</v>
      </c>
      <c r="I76" s="98">
        <v>4.8000000000000001E-2</v>
      </c>
      <c r="J76" s="98">
        <v>4.8500000000000008E-2</v>
      </c>
      <c r="K76" s="94">
        <v>91313000</v>
      </c>
      <c r="L76" s="108">
        <v>102.7769</v>
      </c>
      <c r="M76" s="94">
        <v>93848.639760000005</v>
      </c>
      <c r="N76" s="84"/>
      <c r="O76" s="95">
        <f t="shared" ref="O76:O139" si="1">M76/$M$11</f>
        <v>5.9094141218535689E-3</v>
      </c>
      <c r="P76" s="95">
        <f>M76/'סכום נכסי הקרן'!$C$42</f>
        <v>1.6151264300813687E-3</v>
      </c>
    </row>
    <row r="77" spans="2:16">
      <c r="B77" s="87" t="s">
        <v>1978</v>
      </c>
      <c r="C77" s="84" t="s">
        <v>1979</v>
      </c>
      <c r="D77" s="84" t="s">
        <v>278</v>
      </c>
      <c r="E77" s="84"/>
      <c r="F77" s="107">
        <v>42309</v>
      </c>
      <c r="G77" s="94">
        <v>8.51</v>
      </c>
      <c r="H77" s="97" t="s">
        <v>170</v>
      </c>
      <c r="I77" s="98">
        <v>4.8000000000000001E-2</v>
      </c>
      <c r="J77" s="98">
        <v>4.8499999999999995E-2</v>
      </c>
      <c r="K77" s="94">
        <v>218990000</v>
      </c>
      <c r="L77" s="108">
        <v>101.9867</v>
      </c>
      <c r="M77" s="94">
        <v>223340.76681999999</v>
      </c>
      <c r="N77" s="84"/>
      <c r="O77" s="95">
        <f t="shared" si="1"/>
        <v>1.4063209491441573E-2</v>
      </c>
      <c r="P77" s="95">
        <f>M77/'סכום נכסי הקרן'!$C$42</f>
        <v>3.8436739874771089E-3</v>
      </c>
    </row>
    <row r="78" spans="2:16">
      <c r="B78" s="87" t="s">
        <v>1980</v>
      </c>
      <c r="C78" s="84" t="s">
        <v>1981</v>
      </c>
      <c r="D78" s="84" t="s">
        <v>278</v>
      </c>
      <c r="E78" s="84"/>
      <c r="F78" s="107">
        <v>42339</v>
      </c>
      <c r="G78" s="94">
        <v>8.6000000000000014</v>
      </c>
      <c r="H78" s="97" t="s">
        <v>170</v>
      </c>
      <c r="I78" s="98">
        <v>4.8000000000000001E-2</v>
      </c>
      <c r="J78" s="98">
        <v>4.8499999999999995E-2</v>
      </c>
      <c r="K78" s="94">
        <v>161865000</v>
      </c>
      <c r="L78" s="108">
        <v>101.4823</v>
      </c>
      <c r="M78" s="94">
        <v>164264.34815999999</v>
      </c>
      <c r="N78" s="84"/>
      <c r="O78" s="95">
        <f t="shared" si="1"/>
        <v>1.0343315163823055E-2</v>
      </c>
      <c r="P78" s="95">
        <f>M78/'סכום נכסי הקרן'!$C$42</f>
        <v>2.8269742738070325E-3</v>
      </c>
    </row>
    <row r="79" spans="2:16">
      <c r="B79" s="87" t="s">
        <v>1982</v>
      </c>
      <c r="C79" s="84" t="s">
        <v>1983</v>
      </c>
      <c r="D79" s="84" t="s">
        <v>278</v>
      </c>
      <c r="E79" s="84"/>
      <c r="F79" s="107">
        <v>42370</v>
      </c>
      <c r="G79" s="94">
        <v>8.4799999999999986</v>
      </c>
      <c r="H79" s="97" t="s">
        <v>170</v>
      </c>
      <c r="I79" s="98">
        <v>4.8000000000000001E-2</v>
      </c>
      <c r="J79" s="98">
        <v>4.8499999999999995E-2</v>
      </c>
      <c r="K79" s="94">
        <v>82609000</v>
      </c>
      <c r="L79" s="108">
        <v>103.9255</v>
      </c>
      <c r="M79" s="94">
        <v>85851.783869999999</v>
      </c>
      <c r="N79" s="84"/>
      <c r="O79" s="95">
        <f t="shared" si="1"/>
        <v>5.4058721073113871E-3</v>
      </c>
      <c r="P79" s="95">
        <f>M79/'סכום נכסי הקרן'!$C$42</f>
        <v>1.4775012781503346E-3</v>
      </c>
    </row>
    <row r="80" spans="2:16">
      <c r="B80" s="87" t="s">
        <v>1984</v>
      </c>
      <c r="C80" s="84" t="s">
        <v>1985</v>
      </c>
      <c r="D80" s="84" t="s">
        <v>278</v>
      </c>
      <c r="E80" s="84"/>
      <c r="F80" s="107">
        <v>42461</v>
      </c>
      <c r="G80" s="94">
        <v>8.7199999999999989</v>
      </c>
      <c r="H80" s="97" t="s">
        <v>170</v>
      </c>
      <c r="I80" s="98">
        <v>4.8000000000000001E-2</v>
      </c>
      <c r="J80" s="98">
        <v>4.8500000000000008E-2</v>
      </c>
      <c r="K80" s="94">
        <v>229747000</v>
      </c>
      <c r="L80" s="108">
        <v>103.6403</v>
      </c>
      <c r="M80" s="94">
        <v>238110.52581999998</v>
      </c>
      <c r="N80" s="84"/>
      <c r="O80" s="95">
        <f t="shared" si="1"/>
        <v>1.49932242751846E-2</v>
      </c>
      <c r="P80" s="95">
        <f>M80/'סכום נכסי הקרן'!$C$42</f>
        <v>4.0978601769395967E-3</v>
      </c>
    </row>
    <row r="81" spans="2:16">
      <c r="B81" s="87" t="s">
        <v>1986</v>
      </c>
      <c r="C81" s="84" t="s">
        <v>1987</v>
      </c>
      <c r="D81" s="84" t="s">
        <v>278</v>
      </c>
      <c r="E81" s="84"/>
      <c r="F81" s="107">
        <v>42491</v>
      </c>
      <c r="G81" s="94">
        <v>8.81</v>
      </c>
      <c r="H81" s="97" t="s">
        <v>170</v>
      </c>
      <c r="I81" s="98">
        <v>4.8000000000000001E-2</v>
      </c>
      <c r="J81" s="98">
        <v>4.8600000000000004E-2</v>
      </c>
      <c r="K81" s="94">
        <v>269102000</v>
      </c>
      <c r="L81" s="108">
        <v>103.4418</v>
      </c>
      <c r="M81" s="94">
        <v>278364.05507999996</v>
      </c>
      <c r="N81" s="84"/>
      <c r="O81" s="95">
        <f t="shared" si="1"/>
        <v>1.7527888335013377E-2</v>
      </c>
      <c r="P81" s="95">
        <f>M81/'סכום נכסי הקרן'!$C$42</f>
        <v>4.7906197009789644E-3</v>
      </c>
    </row>
    <row r="82" spans="2:16">
      <c r="B82" s="87" t="s">
        <v>1988</v>
      </c>
      <c r="C82" s="84" t="s">
        <v>1989</v>
      </c>
      <c r="D82" s="84" t="s">
        <v>278</v>
      </c>
      <c r="E82" s="84"/>
      <c r="F82" s="107">
        <v>42522</v>
      </c>
      <c r="G82" s="94">
        <v>8.89</v>
      </c>
      <c r="H82" s="97" t="s">
        <v>170</v>
      </c>
      <c r="I82" s="98">
        <v>4.8000000000000001E-2</v>
      </c>
      <c r="J82" s="98">
        <v>4.8500000000000008E-2</v>
      </c>
      <c r="K82" s="94">
        <v>129532000</v>
      </c>
      <c r="L82" s="108">
        <v>102.6153</v>
      </c>
      <c r="M82" s="94">
        <v>132919.58554999999</v>
      </c>
      <c r="N82" s="84"/>
      <c r="O82" s="95">
        <f t="shared" si="1"/>
        <v>8.3696138583233687E-3</v>
      </c>
      <c r="P82" s="95">
        <f>M82/'סכום נכסי הקרן'!$C$42</f>
        <v>2.2875338017287693E-3</v>
      </c>
    </row>
    <row r="83" spans="2:16">
      <c r="B83" s="87" t="s">
        <v>1990</v>
      </c>
      <c r="C83" s="84" t="s">
        <v>1991</v>
      </c>
      <c r="D83" s="84" t="s">
        <v>278</v>
      </c>
      <c r="E83" s="84"/>
      <c r="F83" s="107">
        <v>42552</v>
      </c>
      <c r="G83" s="94">
        <v>8.7699999999999978</v>
      </c>
      <c r="H83" s="97" t="s">
        <v>170</v>
      </c>
      <c r="I83" s="98">
        <v>4.8000000000000001E-2</v>
      </c>
      <c r="J83" s="98">
        <v>4.8499999999999995E-2</v>
      </c>
      <c r="K83" s="94">
        <v>12311000</v>
      </c>
      <c r="L83" s="108">
        <v>104.34529999999999</v>
      </c>
      <c r="M83" s="94">
        <v>12845.725630000001</v>
      </c>
      <c r="N83" s="84"/>
      <c r="O83" s="95">
        <f t="shared" si="1"/>
        <v>8.0886321461350432E-4</v>
      </c>
      <c r="P83" s="95">
        <f>M83/'סכום נכסי הקרן'!$C$42</f>
        <v>2.2107375271122033E-4</v>
      </c>
    </row>
    <row r="84" spans="2:16">
      <c r="B84" s="87" t="s">
        <v>1992</v>
      </c>
      <c r="C84" s="84" t="s">
        <v>1993</v>
      </c>
      <c r="D84" s="84" t="s">
        <v>278</v>
      </c>
      <c r="E84" s="84"/>
      <c r="F84" s="107">
        <v>42583</v>
      </c>
      <c r="G84" s="94">
        <v>8.8500000000000014</v>
      </c>
      <c r="H84" s="97" t="s">
        <v>170</v>
      </c>
      <c r="I84" s="98">
        <v>4.8000000000000001E-2</v>
      </c>
      <c r="J84" s="98">
        <v>4.8499999999999995E-2</v>
      </c>
      <c r="K84" s="94">
        <v>257710000</v>
      </c>
      <c r="L84" s="108">
        <v>103.63079999999999</v>
      </c>
      <c r="M84" s="94">
        <v>267066.72025999997</v>
      </c>
      <c r="N84" s="84"/>
      <c r="O84" s="95">
        <f t="shared" si="1"/>
        <v>1.6816523417041804E-2</v>
      </c>
      <c r="P84" s="95">
        <f>M84/'סכום נכסי הקרן'!$C$42</f>
        <v>4.5961936112250508E-3</v>
      </c>
    </row>
    <row r="85" spans="2:16">
      <c r="B85" s="87" t="s">
        <v>1994</v>
      </c>
      <c r="C85" s="84" t="s">
        <v>1995</v>
      </c>
      <c r="D85" s="84" t="s">
        <v>278</v>
      </c>
      <c r="E85" s="84"/>
      <c r="F85" s="107">
        <v>42644</v>
      </c>
      <c r="G85" s="94">
        <v>9.0200000000000014</v>
      </c>
      <c r="H85" s="97" t="s">
        <v>170</v>
      </c>
      <c r="I85" s="98">
        <v>4.8000000000000001E-2</v>
      </c>
      <c r="J85" s="98">
        <v>4.8600000000000004E-2</v>
      </c>
      <c r="K85" s="94">
        <v>33201000</v>
      </c>
      <c r="L85" s="108">
        <v>102.7002</v>
      </c>
      <c r="M85" s="94">
        <v>34097.325159999993</v>
      </c>
      <c r="N85" s="84"/>
      <c r="O85" s="95">
        <f t="shared" si="1"/>
        <v>2.1470232848683E-3</v>
      </c>
      <c r="P85" s="95">
        <f>M85/'סכום נכסי הקרן'!$C$42</f>
        <v>5.8681181956210819E-4</v>
      </c>
    </row>
    <row r="86" spans="2:16">
      <c r="B86" s="87" t="s">
        <v>1996</v>
      </c>
      <c r="C86" s="84" t="s">
        <v>1997</v>
      </c>
      <c r="D86" s="84" t="s">
        <v>278</v>
      </c>
      <c r="E86" s="84"/>
      <c r="F86" s="107">
        <v>42675</v>
      </c>
      <c r="G86" s="94">
        <v>9.1</v>
      </c>
      <c r="H86" s="97" t="s">
        <v>170</v>
      </c>
      <c r="I86" s="98">
        <v>4.8000000000000001E-2</v>
      </c>
      <c r="J86" s="98">
        <v>4.8499999999999995E-2</v>
      </c>
      <c r="K86" s="94">
        <v>147742000</v>
      </c>
      <c r="L86" s="108">
        <v>102.3974</v>
      </c>
      <c r="M86" s="94">
        <v>151284.35868999999</v>
      </c>
      <c r="N86" s="84"/>
      <c r="O86" s="95">
        <f t="shared" si="1"/>
        <v>9.5259976910106112E-3</v>
      </c>
      <c r="P86" s="95">
        <f>M86/'סכום נכסי הקרן'!$C$42</f>
        <v>2.6035898527990444E-3</v>
      </c>
    </row>
    <row r="87" spans="2:16">
      <c r="B87" s="87" t="s">
        <v>1998</v>
      </c>
      <c r="C87" s="84" t="s">
        <v>1999</v>
      </c>
      <c r="D87" s="84" t="s">
        <v>278</v>
      </c>
      <c r="E87" s="84"/>
      <c r="F87" s="107">
        <v>42705</v>
      </c>
      <c r="G87" s="94">
        <v>9.19</v>
      </c>
      <c r="H87" s="97" t="s">
        <v>170</v>
      </c>
      <c r="I87" s="98">
        <v>4.8000000000000001E-2</v>
      </c>
      <c r="J87" s="98">
        <v>4.8499999999999995E-2</v>
      </c>
      <c r="K87" s="94">
        <v>47384000</v>
      </c>
      <c r="L87" s="108">
        <v>101.7881</v>
      </c>
      <c r="M87" s="94">
        <v>48231.08728</v>
      </c>
      <c r="N87" s="84"/>
      <c r="O87" s="95">
        <f t="shared" si="1"/>
        <v>3.0369909357627544E-3</v>
      </c>
      <c r="P87" s="95">
        <f>M87/'סכום נכסי הקרן'!$C$42</f>
        <v>8.3005256140847555E-4</v>
      </c>
    </row>
    <row r="88" spans="2:16">
      <c r="B88" s="87" t="s">
        <v>2000</v>
      </c>
      <c r="C88" s="84" t="s">
        <v>2001</v>
      </c>
      <c r="D88" s="84" t="s">
        <v>278</v>
      </c>
      <c r="E88" s="84"/>
      <c r="F88" s="107">
        <v>42736</v>
      </c>
      <c r="G88" s="94">
        <v>9.0500000000000007</v>
      </c>
      <c r="H88" s="97" t="s">
        <v>170</v>
      </c>
      <c r="I88" s="98">
        <v>4.8000000000000001E-2</v>
      </c>
      <c r="J88" s="98">
        <v>4.8500000000000008E-2</v>
      </c>
      <c r="K88" s="94">
        <v>273331000</v>
      </c>
      <c r="L88" s="108">
        <v>104.24</v>
      </c>
      <c r="M88" s="94">
        <v>284920.18062</v>
      </c>
      <c r="N88" s="84"/>
      <c r="O88" s="95">
        <f t="shared" si="1"/>
        <v>1.7940711162811398E-2</v>
      </c>
      <c r="P88" s="95">
        <f>M88/'סכום נכסי הקרן'!$C$42</f>
        <v>4.9034500165345742E-3</v>
      </c>
    </row>
    <row r="89" spans="2:16">
      <c r="B89" s="87" t="s">
        <v>2002</v>
      </c>
      <c r="C89" s="84" t="s">
        <v>2003</v>
      </c>
      <c r="D89" s="84" t="s">
        <v>278</v>
      </c>
      <c r="E89" s="84"/>
      <c r="F89" s="107">
        <v>42767</v>
      </c>
      <c r="G89" s="94">
        <v>9.129999999999999</v>
      </c>
      <c r="H89" s="97" t="s">
        <v>170</v>
      </c>
      <c r="I89" s="98">
        <v>4.8000000000000001E-2</v>
      </c>
      <c r="J89" s="98">
        <v>4.8499999999999995E-2</v>
      </c>
      <c r="K89" s="94">
        <v>116623000</v>
      </c>
      <c r="L89" s="108">
        <v>103.8287</v>
      </c>
      <c r="M89" s="94">
        <v>121088.09062</v>
      </c>
      <c r="N89" s="84"/>
      <c r="O89" s="95">
        <f t="shared" si="1"/>
        <v>7.6246142142072605E-3</v>
      </c>
      <c r="P89" s="95">
        <f>M89/'סכום נכסי הקרן'!$C$42</f>
        <v>2.0839148657731152E-3</v>
      </c>
    </row>
    <row r="90" spans="2:16">
      <c r="B90" s="87" t="s">
        <v>2004</v>
      </c>
      <c r="C90" s="84" t="s">
        <v>2005</v>
      </c>
      <c r="D90" s="84" t="s">
        <v>278</v>
      </c>
      <c r="E90" s="84"/>
      <c r="F90" s="107">
        <v>42795</v>
      </c>
      <c r="G90" s="94">
        <v>9.2199999999999989</v>
      </c>
      <c r="H90" s="97" t="s">
        <v>170</v>
      </c>
      <c r="I90" s="98">
        <v>4.8000000000000001E-2</v>
      </c>
      <c r="J90" s="98">
        <v>4.8499999999999995E-2</v>
      </c>
      <c r="K90" s="94">
        <v>163029000</v>
      </c>
      <c r="L90" s="108">
        <v>103.6262</v>
      </c>
      <c r="M90" s="94">
        <v>168940.83365000002</v>
      </c>
      <c r="N90" s="84"/>
      <c r="O90" s="95">
        <f t="shared" si="1"/>
        <v>1.0637781758820292E-2</v>
      </c>
      <c r="P90" s="95">
        <f>M90/'סכום נכסי הקרן'!$C$42</f>
        <v>2.9074561575520362E-3</v>
      </c>
    </row>
    <row r="91" spans="2:16">
      <c r="B91" s="87" t="s">
        <v>2006</v>
      </c>
      <c r="C91" s="84" t="s">
        <v>2007</v>
      </c>
      <c r="D91" s="84" t="s">
        <v>278</v>
      </c>
      <c r="E91" s="84"/>
      <c r="F91" s="107">
        <v>42826</v>
      </c>
      <c r="G91" s="94">
        <v>9.2999999999999989</v>
      </c>
      <c r="H91" s="97" t="s">
        <v>170</v>
      </c>
      <c r="I91" s="98">
        <v>4.8000000000000001E-2</v>
      </c>
      <c r="J91" s="98">
        <v>4.8499999999999995E-2</v>
      </c>
      <c r="K91" s="94">
        <v>116410000</v>
      </c>
      <c r="L91" s="108">
        <v>103.21729999999999</v>
      </c>
      <c r="M91" s="94">
        <v>120155.30847</v>
      </c>
      <c r="N91" s="84"/>
      <c r="O91" s="95">
        <f t="shared" si="1"/>
        <v>7.5658792551932643E-3</v>
      </c>
      <c r="P91" s="95">
        <f>M91/'סכום נכסי הקרן'!$C$42</f>
        <v>2.0678617710471196E-3</v>
      </c>
    </row>
    <row r="92" spans="2:16">
      <c r="B92" s="87" t="s">
        <v>2008</v>
      </c>
      <c r="C92" s="84" t="s">
        <v>2009</v>
      </c>
      <c r="D92" s="84" t="s">
        <v>278</v>
      </c>
      <c r="E92" s="84"/>
      <c r="F92" s="107">
        <v>42856</v>
      </c>
      <c r="G92" s="94">
        <v>9.3800000000000008</v>
      </c>
      <c r="H92" s="97" t="s">
        <v>170</v>
      </c>
      <c r="I92" s="98">
        <v>4.8000000000000001E-2</v>
      </c>
      <c r="J92" s="98">
        <v>4.8500000000000008E-2</v>
      </c>
      <c r="K92" s="94">
        <v>234187885</v>
      </c>
      <c r="L92" s="108">
        <v>102.4982</v>
      </c>
      <c r="M92" s="94">
        <v>240046.94248</v>
      </c>
      <c r="N92" s="84"/>
      <c r="O92" s="95">
        <f t="shared" si="1"/>
        <v>1.5115155589113713E-2</v>
      </c>
      <c r="P92" s="95">
        <f>M92/'סכום נכסי הקרן'!$C$42</f>
        <v>4.1311857289690569E-3</v>
      </c>
    </row>
    <row r="93" spans="2:16">
      <c r="B93" s="87" t="s">
        <v>2010</v>
      </c>
      <c r="C93" s="84" t="s">
        <v>2011</v>
      </c>
      <c r="D93" s="84" t="s">
        <v>278</v>
      </c>
      <c r="E93" s="84"/>
      <c r="F93" s="107">
        <v>42887</v>
      </c>
      <c r="G93" s="94">
        <v>9.4700000000000006</v>
      </c>
      <c r="H93" s="97" t="s">
        <v>170</v>
      </c>
      <c r="I93" s="98">
        <v>4.8000000000000001E-2</v>
      </c>
      <c r="J93" s="98">
        <v>4.8500000000000008E-2</v>
      </c>
      <c r="K93" s="94">
        <v>172220000</v>
      </c>
      <c r="L93" s="108">
        <v>101.89319999999999</v>
      </c>
      <c r="M93" s="94">
        <v>175481.61616999999</v>
      </c>
      <c r="N93" s="84"/>
      <c r="O93" s="95">
        <f t="shared" si="1"/>
        <v>1.1049638475023174E-2</v>
      </c>
      <c r="P93" s="95">
        <f>M93/'סכום נכסי הקרן'!$C$42</f>
        <v>3.020022421149272E-3</v>
      </c>
    </row>
    <row r="94" spans="2:16">
      <c r="B94" s="87" t="s">
        <v>2012</v>
      </c>
      <c r="C94" s="84" t="s">
        <v>2013</v>
      </c>
      <c r="D94" s="84" t="s">
        <v>278</v>
      </c>
      <c r="E94" s="84"/>
      <c r="F94" s="107">
        <v>42918</v>
      </c>
      <c r="G94" s="94">
        <v>9.3000000000000007</v>
      </c>
      <c r="H94" s="97" t="s">
        <v>170</v>
      </c>
      <c r="I94" s="98">
        <v>4.8000000000000001E-2</v>
      </c>
      <c r="J94" s="98">
        <v>5.0100000000000006E-2</v>
      </c>
      <c r="K94" s="94">
        <v>16000</v>
      </c>
      <c r="L94" s="108">
        <v>103.4996</v>
      </c>
      <c r="M94" s="94">
        <v>16.337049999999998</v>
      </c>
      <c r="N94" s="84"/>
      <c r="O94" s="95">
        <f t="shared" si="1"/>
        <v>1.0287031780781969E-6</v>
      </c>
      <c r="P94" s="95">
        <f>M94/'סכום נכסי הקרן'!$C$42</f>
        <v>2.8115912294561763E-7</v>
      </c>
    </row>
    <row r="95" spans="2:16">
      <c r="B95" s="87" t="s">
        <v>2014</v>
      </c>
      <c r="C95" s="84" t="s">
        <v>2015</v>
      </c>
      <c r="D95" s="84" t="s">
        <v>278</v>
      </c>
      <c r="E95" s="84"/>
      <c r="F95" s="107">
        <v>42949</v>
      </c>
      <c r="G95" s="94">
        <v>9.41</v>
      </c>
      <c r="H95" s="97" t="s">
        <v>170</v>
      </c>
      <c r="I95" s="98">
        <v>4.8000000000000001E-2</v>
      </c>
      <c r="J95" s="98">
        <v>4.8499999999999995E-2</v>
      </c>
      <c r="K95" s="94">
        <v>189380000</v>
      </c>
      <c r="L95" s="108">
        <v>103.8266</v>
      </c>
      <c r="M95" s="94">
        <v>196626.83577999999</v>
      </c>
      <c r="N95" s="84"/>
      <c r="O95" s="95">
        <f t="shared" si="1"/>
        <v>1.2381100067781255E-2</v>
      </c>
      <c r="P95" s="95">
        <f>M95/'סכום נכסי הקרן'!$C$42</f>
        <v>3.3839296993935131E-3</v>
      </c>
    </row>
    <row r="96" spans="2:16">
      <c r="B96" s="87" t="s">
        <v>2016</v>
      </c>
      <c r="C96" s="84" t="s">
        <v>2017</v>
      </c>
      <c r="D96" s="84" t="s">
        <v>278</v>
      </c>
      <c r="E96" s="84"/>
      <c r="F96" s="107">
        <v>43009</v>
      </c>
      <c r="G96" s="94">
        <v>9.58</v>
      </c>
      <c r="H96" s="97" t="s">
        <v>170</v>
      </c>
      <c r="I96" s="98">
        <v>4.8000000000000001E-2</v>
      </c>
      <c r="J96" s="98">
        <v>4.8500000000000008E-2</v>
      </c>
      <c r="K96" s="94">
        <v>181064000</v>
      </c>
      <c r="L96" s="108">
        <v>102.8169</v>
      </c>
      <c r="M96" s="94">
        <v>186164.46706</v>
      </c>
      <c r="N96" s="84"/>
      <c r="O96" s="95">
        <f t="shared" si="1"/>
        <v>1.172231087680186E-2</v>
      </c>
      <c r="P96" s="95">
        <f>M96/'סכום נכסי הקרן'!$C$42</f>
        <v>3.2038732991713881E-3</v>
      </c>
    </row>
    <row r="97" spans="2:16">
      <c r="B97" s="87" t="s">
        <v>2018</v>
      </c>
      <c r="C97" s="84" t="s">
        <v>2019</v>
      </c>
      <c r="D97" s="84" t="s">
        <v>278</v>
      </c>
      <c r="E97" s="84"/>
      <c r="F97" s="107">
        <v>43040</v>
      </c>
      <c r="G97" s="94">
        <v>9.66</v>
      </c>
      <c r="H97" s="97" t="s">
        <v>170</v>
      </c>
      <c r="I97" s="98">
        <v>4.8000000000000001E-2</v>
      </c>
      <c r="J97" s="98">
        <v>4.8499999999999995E-2</v>
      </c>
      <c r="K97" s="94">
        <v>200615000</v>
      </c>
      <c r="L97" s="108">
        <v>102.3092</v>
      </c>
      <c r="M97" s="94">
        <v>205247.47584</v>
      </c>
      <c r="N97" s="84"/>
      <c r="O97" s="95">
        <f t="shared" si="1"/>
        <v>1.2923920211368392E-2</v>
      </c>
      <c r="P97" s="95">
        <f>M97/'סכום נכסי הקרן'!$C$42</f>
        <v>3.5322901193285353E-3</v>
      </c>
    </row>
    <row r="98" spans="2:16">
      <c r="B98" s="87" t="s">
        <v>2020</v>
      </c>
      <c r="C98" s="84" t="s">
        <v>2021</v>
      </c>
      <c r="D98" s="84" t="s">
        <v>278</v>
      </c>
      <c r="E98" s="84"/>
      <c r="F98" s="107">
        <v>43070</v>
      </c>
      <c r="G98" s="94">
        <v>9.74</v>
      </c>
      <c r="H98" s="97" t="s">
        <v>170</v>
      </c>
      <c r="I98" s="98">
        <v>4.8000000000000001E-2</v>
      </c>
      <c r="J98" s="98">
        <v>4.8500000000000008E-2</v>
      </c>
      <c r="K98" s="94">
        <v>213512000</v>
      </c>
      <c r="L98" s="108">
        <v>101.60169999999999</v>
      </c>
      <c r="M98" s="94">
        <v>216931.91699999999</v>
      </c>
      <c r="N98" s="84"/>
      <c r="O98" s="95">
        <f t="shared" si="1"/>
        <v>1.3659660247382218E-2</v>
      </c>
      <c r="P98" s="95">
        <f>M98/'סכום נכסי הקרן'!$C$42</f>
        <v>3.733378273472354E-3</v>
      </c>
    </row>
    <row r="99" spans="2:16">
      <c r="B99" s="87" t="s">
        <v>2022</v>
      </c>
      <c r="C99" s="84" t="s">
        <v>2023</v>
      </c>
      <c r="D99" s="84" t="s">
        <v>278</v>
      </c>
      <c r="E99" s="84"/>
      <c r="F99" s="107">
        <v>43101</v>
      </c>
      <c r="G99" s="94">
        <v>9.6</v>
      </c>
      <c r="H99" s="97" t="s">
        <v>170</v>
      </c>
      <c r="I99" s="98">
        <v>4.8000000000000001E-2</v>
      </c>
      <c r="J99" s="98">
        <v>4.8499999999999995E-2</v>
      </c>
      <c r="K99" s="94">
        <v>242178000</v>
      </c>
      <c r="L99" s="108">
        <v>103.93980000000001</v>
      </c>
      <c r="M99" s="94">
        <v>251719.27505000003</v>
      </c>
      <c r="N99" s="84"/>
      <c r="O99" s="95">
        <f t="shared" si="1"/>
        <v>1.5850133177499906E-2</v>
      </c>
      <c r="P99" s="95">
        <f>M99/'סכום נכסי הקרן'!$C$42</f>
        <v>4.3320654953963355E-3</v>
      </c>
    </row>
    <row r="100" spans="2:16">
      <c r="B100" s="87" t="s">
        <v>2024</v>
      </c>
      <c r="C100" s="84" t="s">
        <v>2025</v>
      </c>
      <c r="D100" s="84" t="s">
        <v>278</v>
      </c>
      <c r="E100" s="84"/>
      <c r="F100" s="107">
        <v>43132</v>
      </c>
      <c r="G100" s="94">
        <v>9.6799999999999979</v>
      </c>
      <c r="H100" s="97" t="s">
        <v>170</v>
      </c>
      <c r="I100" s="98">
        <v>4.8000000000000001E-2</v>
      </c>
      <c r="J100" s="98">
        <v>4.8499999999999995E-2</v>
      </c>
      <c r="K100" s="94">
        <v>154147175</v>
      </c>
      <c r="L100" s="108">
        <v>103.4211</v>
      </c>
      <c r="M100" s="94">
        <v>159423.71171</v>
      </c>
      <c r="N100" s="84"/>
      <c r="O100" s="95">
        <f t="shared" si="1"/>
        <v>1.0038512393430839E-2</v>
      </c>
      <c r="P100" s="95">
        <f>M100/'סכום נכסי הקרן'!$C$42</f>
        <v>2.7436673671879927E-3</v>
      </c>
    </row>
    <row r="101" spans="2:16">
      <c r="B101" s="87" t="s">
        <v>2026</v>
      </c>
      <c r="C101" s="84" t="s">
        <v>2027</v>
      </c>
      <c r="D101" s="84" t="s">
        <v>278</v>
      </c>
      <c r="E101" s="84"/>
      <c r="F101" s="107">
        <v>43161</v>
      </c>
      <c r="G101" s="94">
        <v>9.7699999999999978</v>
      </c>
      <c r="H101" s="97" t="s">
        <v>170</v>
      </c>
      <c r="I101" s="98">
        <v>4.8000000000000001E-2</v>
      </c>
      <c r="J101" s="98">
        <v>4.8500000000000008E-2</v>
      </c>
      <c r="K101" s="94">
        <v>14351000</v>
      </c>
      <c r="L101" s="108">
        <v>103.5206</v>
      </c>
      <c r="M101" s="94">
        <v>14856.236710000001</v>
      </c>
      <c r="N101" s="84"/>
      <c r="O101" s="95">
        <f t="shared" si="1"/>
        <v>9.3546006885324954E-4</v>
      </c>
      <c r="P101" s="95">
        <f>M101/'סכום נכסי הקרן'!$C$42</f>
        <v>2.5567446287157647E-4</v>
      </c>
    </row>
    <row r="102" spans="2:16">
      <c r="B102" s="87" t="s">
        <v>2028</v>
      </c>
      <c r="C102" s="84" t="s">
        <v>2029</v>
      </c>
      <c r="D102" s="84" t="s">
        <v>278</v>
      </c>
      <c r="E102" s="84"/>
      <c r="F102" s="107">
        <v>43221</v>
      </c>
      <c r="G102" s="94">
        <v>9.9300000000000015</v>
      </c>
      <c r="H102" s="97" t="s">
        <v>170</v>
      </c>
      <c r="I102" s="98">
        <v>4.8000000000000001E-2</v>
      </c>
      <c r="J102" s="98">
        <v>4.8500000000000008E-2</v>
      </c>
      <c r="K102" s="94">
        <v>97522000</v>
      </c>
      <c r="L102" s="108">
        <v>102.29810000000001</v>
      </c>
      <c r="M102" s="94">
        <v>99774.087910000002</v>
      </c>
      <c r="N102" s="84"/>
      <c r="O102" s="95">
        <f t="shared" si="1"/>
        <v>6.2825247717837934E-3</v>
      </c>
      <c r="P102" s="95">
        <f>M102/'סכום נכסי הקרן'!$C$42</f>
        <v>1.7171028459528833E-3</v>
      </c>
    </row>
    <row r="103" spans="2:16">
      <c r="B103" s="87" t="s">
        <v>2030</v>
      </c>
      <c r="C103" s="84" t="s">
        <v>2031</v>
      </c>
      <c r="D103" s="84" t="s">
        <v>278</v>
      </c>
      <c r="E103" s="84"/>
      <c r="F103" s="107">
        <v>43252</v>
      </c>
      <c r="G103" s="94">
        <v>10.02</v>
      </c>
      <c r="H103" s="97" t="s">
        <v>170</v>
      </c>
      <c r="I103" s="98">
        <v>4.8000000000000001E-2</v>
      </c>
      <c r="J103" s="98">
        <v>4.8500000000000008E-2</v>
      </c>
      <c r="K103" s="94">
        <v>50597000</v>
      </c>
      <c r="L103" s="108">
        <v>101.49979999999999</v>
      </c>
      <c r="M103" s="94">
        <v>51354.398939999999</v>
      </c>
      <c r="N103" s="84"/>
      <c r="O103" s="95">
        <f t="shared" si="1"/>
        <v>3.2336580593114177E-3</v>
      </c>
      <c r="P103" s="95">
        <f>M103/'סכום נכסי הקרן'!$C$42</f>
        <v>8.8380446686334168E-4</v>
      </c>
    </row>
    <row r="104" spans="2:16">
      <c r="B104" s="87" t="s">
        <v>2032</v>
      </c>
      <c r="C104" s="84" t="s">
        <v>2033</v>
      </c>
      <c r="D104" s="84" t="s">
        <v>278</v>
      </c>
      <c r="E104" s="84"/>
      <c r="F104" s="107">
        <v>43282</v>
      </c>
      <c r="G104" s="94">
        <v>9.8600000000000012</v>
      </c>
      <c r="H104" s="97" t="s">
        <v>170</v>
      </c>
      <c r="I104" s="98">
        <v>4.8000000000000001E-2</v>
      </c>
      <c r="J104" s="98">
        <v>4.8500000000000008E-2</v>
      </c>
      <c r="K104" s="94">
        <v>82742000</v>
      </c>
      <c r="L104" s="108">
        <v>103.01560000000001</v>
      </c>
      <c r="M104" s="94">
        <v>85237.016989999989</v>
      </c>
      <c r="N104" s="84"/>
      <c r="O104" s="95">
        <f t="shared" si="1"/>
        <v>5.3671617744646839E-3</v>
      </c>
      <c r="P104" s="95">
        <f>M104/'סכום נכסי הקרן'!$C$42</f>
        <v>1.4669211968751463E-3</v>
      </c>
    </row>
    <row r="105" spans="2:16">
      <c r="B105" s="87" t="s">
        <v>2034</v>
      </c>
      <c r="C105" s="84" t="s">
        <v>2035</v>
      </c>
      <c r="D105" s="84" t="s">
        <v>278</v>
      </c>
      <c r="E105" s="84"/>
      <c r="F105" s="107">
        <v>43313</v>
      </c>
      <c r="G105" s="94">
        <v>9.9400000000000013</v>
      </c>
      <c r="H105" s="97" t="s">
        <v>170</v>
      </c>
      <c r="I105" s="98">
        <v>4.8000000000000001E-2</v>
      </c>
      <c r="J105" s="98">
        <v>4.8499999999999995E-2</v>
      </c>
      <c r="K105" s="94">
        <v>101623000</v>
      </c>
      <c r="L105" s="108">
        <v>102.4871</v>
      </c>
      <c r="M105" s="94">
        <v>104165.09238</v>
      </c>
      <c r="N105" s="84"/>
      <c r="O105" s="95">
        <f t="shared" si="1"/>
        <v>6.5590153409651681E-3</v>
      </c>
      <c r="P105" s="95">
        <f>M105/'סכום נכסי הקרן'!$C$42</f>
        <v>1.7926716276873756E-3</v>
      </c>
    </row>
    <row r="106" spans="2:16">
      <c r="B106" s="87" t="s">
        <v>2036</v>
      </c>
      <c r="C106" s="84" t="s">
        <v>2037</v>
      </c>
      <c r="D106" s="84" t="s">
        <v>278</v>
      </c>
      <c r="E106" s="84"/>
      <c r="F106" s="107">
        <v>43345</v>
      </c>
      <c r="G106" s="94">
        <v>10.029999999999998</v>
      </c>
      <c r="H106" s="97" t="s">
        <v>170</v>
      </c>
      <c r="I106" s="98">
        <v>4.8000000000000001E-2</v>
      </c>
      <c r="J106" s="98">
        <v>4.8499999999999995E-2</v>
      </c>
      <c r="K106" s="94">
        <v>21764000</v>
      </c>
      <c r="L106" s="108">
        <v>102.0659</v>
      </c>
      <c r="M106" s="94">
        <v>22218.840390000001</v>
      </c>
      <c r="N106" s="84"/>
      <c r="O106" s="95">
        <f t="shared" si="1"/>
        <v>1.3990648080531804E-3</v>
      </c>
      <c r="P106" s="95">
        <f>M106/'סכום נכסי הקרן'!$C$42</f>
        <v>3.8238419279619426E-4</v>
      </c>
    </row>
    <row r="107" spans="2:16">
      <c r="B107" s="87" t="s">
        <v>2038</v>
      </c>
      <c r="C107" s="84" t="s">
        <v>2039</v>
      </c>
      <c r="D107" s="84" t="s">
        <v>278</v>
      </c>
      <c r="E107" s="84"/>
      <c r="F107" s="107">
        <v>43375</v>
      </c>
      <c r="G107" s="94">
        <v>10.11</v>
      </c>
      <c r="H107" s="97" t="s">
        <v>170</v>
      </c>
      <c r="I107" s="98">
        <v>4.8000000000000001E-2</v>
      </c>
      <c r="J107" s="98">
        <v>4.8499999999999995E-2</v>
      </c>
      <c r="K107" s="94">
        <v>89576355</v>
      </c>
      <c r="L107" s="108">
        <v>101.5868</v>
      </c>
      <c r="M107" s="94">
        <v>90997.769260000001</v>
      </c>
      <c r="N107" s="84"/>
      <c r="O107" s="95">
        <f t="shared" si="1"/>
        <v>5.7299019367504211E-3</v>
      </c>
      <c r="P107" s="95">
        <f>M107/'סכום נכסי הקרן'!$C$42</f>
        <v>1.5660632118497089E-3</v>
      </c>
    </row>
    <row r="108" spans="2:16">
      <c r="B108" s="87" t="s">
        <v>2040</v>
      </c>
      <c r="C108" s="84" t="s">
        <v>2041</v>
      </c>
      <c r="D108" s="84" t="s">
        <v>278</v>
      </c>
      <c r="E108" s="84"/>
      <c r="F108" s="107">
        <v>43435</v>
      </c>
      <c r="G108" s="94">
        <v>10.280000000000001</v>
      </c>
      <c r="H108" s="97" t="s">
        <v>170</v>
      </c>
      <c r="I108" s="98">
        <v>4.8000000000000001E-2</v>
      </c>
      <c r="J108" s="98">
        <v>4.8500000000000008E-2</v>
      </c>
      <c r="K108" s="94">
        <v>45901000</v>
      </c>
      <c r="L108" s="108">
        <v>100.404</v>
      </c>
      <c r="M108" s="94">
        <v>46086.421549999999</v>
      </c>
      <c r="N108" s="84"/>
      <c r="O108" s="95">
        <f t="shared" si="1"/>
        <v>2.9019466987452759E-3</v>
      </c>
      <c r="P108" s="95">
        <f>M108/'סכום נכסי הקרן'!$C$42</f>
        <v>7.9314306210117572E-4</v>
      </c>
    </row>
    <row r="109" spans="2:16">
      <c r="B109" s="87" t="s">
        <v>2042</v>
      </c>
      <c r="C109" s="84" t="s">
        <v>2043</v>
      </c>
      <c r="D109" s="84" t="s">
        <v>278</v>
      </c>
      <c r="E109" s="84"/>
      <c r="F109" s="107">
        <v>43497</v>
      </c>
      <c r="G109" s="94">
        <v>10.199999999999999</v>
      </c>
      <c r="H109" s="97" t="s">
        <v>170</v>
      </c>
      <c r="I109" s="98">
        <v>4.8000000000000001E-2</v>
      </c>
      <c r="J109" s="98">
        <v>4.8499999999999995E-2</v>
      </c>
      <c r="K109" s="94">
        <v>76709000</v>
      </c>
      <c r="L109" s="108">
        <v>102.6078</v>
      </c>
      <c r="M109" s="94">
        <v>78710.362290000005</v>
      </c>
      <c r="N109" s="84"/>
      <c r="O109" s="95">
        <f t="shared" si="1"/>
        <v>4.9561946517522612E-3</v>
      </c>
      <c r="P109" s="95">
        <f>M109/'סכום נכסי הקרן'!$C$42</f>
        <v>1.3545980717564199E-3</v>
      </c>
    </row>
    <row r="110" spans="2:16">
      <c r="B110" s="87" t="s">
        <v>2044</v>
      </c>
      <c r="C110" s="84" t="s">
        <v>2045</v>
      </c>
      <c r="D110" s="84" t="s">
        <v>278</v>
      </c>
      <c r="E110" s="84"/>
      <c r="F110" s="107">
        <v>43525</v>
      </c>
      <c r="G110" s="94">
        <v>10.279999999999998</v>
      </c>
      <c r="H110" s="97" t="s">
        <v>170</v>
      </c>
      <c r="I110" s="98">
        <v>4.8000000000000001E-2</v>
      </c>
      <c r="J110" s="98">
        <v>4.8499999999999995E-2</v>
      </c>
      <c r="K110" s="94">
        <v>202194000</v>
      </c>
      <c r="L110" s="108">
        <v>102.2958</v>
      </c>
      <c r="M110" s="94">
        <v>206853.06794000001</v>
      </c>
      <c r="N110" s="84"/>
      <c r="O110" s="95">
        <f t="shared" si="1"/>
        <v>1.3025020330176086E-2</v>
      </c>
      <c r="P110" s="95">
        <f>M110/'סכום נכסי הקרן'!$C$42</f>
        <v>3.5599222112083066E-3</v>
      </c>
    </row>
    <row r="111" spans="2:16">
      <c r="B111" s="87" t="s">
        <v>2046</v>
      </c>
      <c r="C111" s="84" t="s">
        <v>2047</v>
      </c>
      <c r="D111" s="84" t="s">
        <v>278</v>
      </c>
      <c r="E111" s="84"/>
      <c r="F111" s="107">
        <v>43556</v>
      </c>
      <c r="G111" s="94">
        <v>10.370000000000001</v>
      </c>
      <c r="H111" s="97" t="s">
        <v>170</v>
      </c>
      <c r="I111" s="98">
        <v>4.8000000000000001E-2</v>
      </c>
      <c r="J111" s="98">
        <v>4.8500000000000008E-2</v>
      </c>
      <c r="K111" s="94">
        <v>95625000</v>
      </c>
      <c r="L111" s="108">
        <v>101.79900000000001</v>
      </c>
      <c r="M111" s="94">
        <v>97345.25705</v>
      </c>
      <c r="N111" s="84"/>
      <c r="O111" s="95">
        <f t="shared" si="1"/>
        <v>6.1295873672525961E-3</v>
      </c>
      <c r="P111" s="95">
        <f>M111/'סכום נכסי הקרן'!$C$42</f>
        <v>1.6753028909805444E-3</v>
      </c>
    </row>
    <row r="112" spans="2:16">
      <c r="B112" s="87" t="s">
        <v>2048</v>
      </c>
      <c r="C112" s="84" t="s">
        <v>2049</v>
      </c>
      <c r="D112" s="84" t="s">
        <v>278</v>
      </c>
      <c r="E112" s="84"/>
      <c r="F112" s="107">
        <v>43586</v>
      </c>
      <c r="G112" s="94">
        <v>10.45</v>
      </c>
      <c r="H112" s="97" t="s">
        <v>170</v>
      </c>
      <c r="I112" s="98">
        <v>4.8000000000000001E-2</v>
      </c>
      <c r="J112" s="98">
        <v>4.8500000000000008E-2</v>
      </c>
      <c r="K112" s="94">
        <v>132535000</v>
      </c>
      <c r="L112" s="108">
        <v>100.8998</v>
      </c>
      <c r="M112" s="94">
        <v>133719.55395</v>
      </c>
      <c r="N112" s="84"/>
      <c r="O112" s="95">
        <f t="shared" si="1"/>
        <v>8.4199858676789214E-3</v>
      </c>
      <c r="P112" s="95">
        <f>M112/'סכום נכסי הקרן'!$C$42</f>
        <v>2.3013011840730857E-3</v>
      </c>
    </row>
    <row r="113" spans="2:16">
      <c r="B113" s="87" t="s">
        <v>2050</v>
      </c>
      <c r="C113" s="84" t="s">
        <v>2051</v>
      </c>
      <c r="D113" s="84" t="s">
        <v>278</v>
      </c>
      <c r="E113" s="84"/>
      <c r="F113" s="107">
        <v>43647</v>
      </c>
      <c r="G113" s="94">
        <v>10.37</v>
      </c>
      <c r="H113" s="97" t="s">
        <v>170</v>
      </c>
      <c r="I113" s="98">
        <v>4.8000000000000001E-2</v>
      </c>
      <c r="J113" s="98">
        <v>4.8500000000000008E-2</v>
      </c>
      <c r="K113" s="94">
        <v>3438000</v>
      </c>
      <c r="L113" s="108">
        <v>102.4002</v>
      </c>
      <c r="M113" s="94">
        <v>3520.5172499999999</v>
      </c>
      <c r="N113" s="84"/>
      <c r="O113" s="95">
        <f t="shared" si="1"/>
        <v>2.2167816610429146E-4</v>
      </c>
      <c r="P113" s="95">
        <f>M113/'סכום נכסי הקרן'!$C$42</f>
        <v>6.0587777005329463E-5</v>
      </c>
    </row>
    <row r="114" spans="2:16">
      <c r="B114" s="87" t="s">
        <v>2052</v>
      </c>
      <c r="C114" s="84" t="s">
        <v>2053</v>
      </c>
      <c r="D114" s="84" t="s">
        <v>278</v>
      </c>
      <c r="E114" s="84"/>
      <c r="F114" s="107">
        <v>43678</v>
      </c>
      <c r="G114" s="94">
        <v>10.45</v>
      </c>
      <c r="H114" s="97" t="s">
        <v>170</v>
      </c>
      <c r="I114" s="98">
        <v>4.8000000000000001E-2</v>
      </c>
      <c r="J114" s="98">
        <v>4.8500000000000008E-2</v>
      </c>
      <c r="K114" s="94">
        <v>133249000</v>
      </c>
      <c r="L114" s="108">
        <v>101.9962</v>
      </c>
      <c r="M114" s="94">
        <v>135908.99291</v>
      </c>
      <c r="N114" s="84"/>
      <c r="O114" s="95">
        <f t="shared" si="1"/>
        <v>8.557849363007651E-3</v>
      </c>
      <c r="P114" s="95">
        <f>M114/'סכום נכסי הקרן'!$C$42</f>
        <v>2.3389812265370903E-3</v>
      </c>
    </row>
    <row r="115" spans="2:16">
      <c r="B115" s="87" t="s">
        <v>2054</v>
      </c>
      <c r="C115" s="84" t="s">
        <v>2055</v>
      </c>
      <c r="D115" s="84" t="s">
        <v>278</v>
      </c>
      <c r="E115" s="84"/>
      <c r="F115" s="107">
        <v>43740</v>
      </c>
      <c r="G115" s="94">
        <v>10.620000000000001</v>
      </c>
      <c r="H115" s="97" t="s">
        <v>170</v>
      </c>
      <c r="I115" s="98">
        <v>4.8000000000000001E-2</v>
      </c>
      <c r="J115" s="98">
        <v>4.8500000000000008E-2</v>
      </c>
      <c r="K115" s="94">
        <v>202789000</v>
      </c>
      <c r="L115" s="108">
        <v>101.1797</v>
      </c>
      <c r="M115" s="94">
        <v>205181.31728999998</v>
      </c>
      <c r="N115" s="84"/>
      <c r="O115" s="95">
        <f t="shared" si="1"/>
        <v>1.2919754372943335E-2</v>
      </c>
      <c r="P115" s="95">
        <f>M115/'סכום נכסי הקרן'!$C$42</f>
        <v>3.53115153678803E-3</v>
      </c>
    </row>
    <row r="116" spans="2:16">
      <c r="B116" s="87" t="s">
        <v>2056</v>
      </c>
      <c r="C116" s="84" t="s">
        <v>2057</v>
      </c>
      <c r="D116" s="84" t="s">
        <v>278</v>
      </c>
      <c r="E116" s="84"/>
      <c r="F116" s="107">
        <v>43770</v>
      </c>
      <c r="G116" s="94">
        <v>10.7</v>
      </c>
      <c r="H116" s="97" t="s">
        <v>170</v>
      </c>
      <c r="I116" s="98">
        <v>4.8000000000000001E-2</v>
      </c>
      <c r="J116" s="98">
        <v>4.8499999999999995E-2</v>
      </c>
      <c r="K116" s="94">
        <v>326601000</v>
      </c>
      <c r="L116" s="108">
        <v>100.7938</v>
      </c>
      <c r="M116" s="94">
        <v>329193.68679000001</v>
      </c>
      <c r="N116" s="84"/>
      <c r="O116" s="95">
        <f t="shared" si="1"/>
        <v>2.0728503114341428E-2</v>
      </c>
      <c r="P116" s="95">
        <f>M116/'סכום נכסי הקרן'!$C$42</f>
        <v>5.6653929722386091E-3</v>
      </c>
    </row>
    <row r="117" spans="2:16">
      <c r="B117" s="87" t="s">
        <v>2058</v>
      </c>
      <c r="C117" s="84" t="s">
        <v>2059</v>
      </c>
      <c r="D117" s="84" t="s">
        <v>278</v>
      </c>
      <c r="E117" s="84"/>
      <c r="F117" s="107">
        <v>43800</v>
      </c>
      <c r="G117" s="94">
        <v>10.79</v>
      </c>
      <c r="H117" s="97" t="s">
        <v>170</v>
      </c>
      <c r="I117" s="98">
        <v>4.8000000000000001E-2</v>
      </c>
      <c r="J117" s="98">
        <v>4.8500000000000008E-2</v>
      </c>
      <c r="K117" s="94">
        <v>116464000</v>
      </c>
      <c r="L117" s="108">
        <v>100.39619999999999</v>
      </c>
      <c r="M117" s="94">
        <v>116925.4461</v>
      </c>
      <c r="N117" s="84"/>
      <c r="O117" s="95">
        <f t="shared" si="1"/>
        <v>7.3625028999287469E-3</v>
      </c>
      <c r="P117" s="95">
        <f>M117/'סכום נכסי הקרן'!$C$42</f>
        <v>2.0122761377054663E-3</v>
      </c>
    </row>
    <row r="118" spans="2:16">
      <c r="B118" s="87" t="s">
        <v>2060</v>
      </c>
      <c r="C118" s="84" t="s">
        <v>2061</v>
      </c>
      <c r="D118" s="84" t="s">
        <v>278</v>
      </c>
      <c r="E118" s="84"/>
      <c r="F118" s="107">
        <v>40057</v>
      </c>
      <c r="G118" s="94">
        <v>4.18</v>
      </c>
      <c r="H118" s="97" t="s">
        <v>170</v>
      </c>
      <c r="I118" s="98">
        <v>4.8000000000000001E-2</v>
      </c>
      <c r="J118" s="98">
        <v>4.8499999999999995E-2</v>
      </c>
      <c r="K118" s="94">
        <v>107699160</v>
      </c>
      <c r="L118" s="108">
        <v>111.43989999999999</v>
      </c>
      <c r="M118" s="94">
        <v>120019.83168</v>
      </c>
      <c r="N118" s="84"/>
      <c r="O118" s="95">
        <f t="shared" si="1"/>
        <v>7.5573486205665211E-3</v>
      </c>
      <c r="P118" s="95">
        <f>M118/'סכום נכסי הקרן'!$C$42</f>
        <v>2.0655302279927808E-3</v>
      </c>
    </row>
    <row r="119" spans="2:16">
      <c r="B119" s="87" t="s">
        <v>2062</v>
      </c>
      <c r="C119" s="84" t="s">
        <v>2063</v>
      </c>
      <c r="D119" s="84" t="s">
        <v>278</v>
      </c>
      <c r="E119" s="84"/>
      <c r="F119" s="107">
        <v>40087</v>
      </c>
      <c r="G119" s="94">
        <v>4.26</v>
      </c>
      <c r="H119" s="97" t="s">
        <v>170</v>
      </c>
      <c r="I119" s="98">
        <v>4.8000000000000001E-2</v>
      </c>
      <c r="J119" s="98">
        <v>4.8500000000000008E-2</v>
      </c>
      <c r="K119" s="94">
        <v>100332000</v>
      </c>
      <c r="L119" s="108">
        <v>110.47029999999999</v>
      </c>
      <c r="M119" s="94">
        <v>110837.09204</v>
      </c>
      <c r="N119" s="84"/>
      <c r="O119" s="95">
        <f t="shared" si="1"/>
        <v>6.9791344722880599E-3</v>
      </c>
      <c r="P119" s="95">
        <f>M119/'סכום נכסי הקרן'!$C$42</f>
        <v>1.9074961261555238E-3</v>
      </c>
    </row>
    <row r="120" spans="2:16">
      <c r="B120" s="87" t="s">
        <v>2064</v>
      </c>
      <c r="C120" s="84" t="s">
        <v>2065</v>
      </c>
      <c r="D120" s="84" t="s">
        <v>278</v>
      </c>
      <c r="E120" s="84"/>
      <c r="F120" s="107">
        <v>40118</v>
      </c>
      <c r="G120" s="94">
        <v>4.34</v>
      </c>
      <c r="H120" s="97" t="s">
        <v>170</v>
      </c>
      <c r="I120" s="98">
        <v>4.8000000000000001E-2</v>
      </c>
      <c r="J120" s="98">
        <v>4.8500000000000008E-2</v>
      </c>
      <c r="K120" s="94">
        <v>122827000</v>
      </c>
      <c r="L120" s="108">
        <v>110.3481</v>
      </c>
      <c r="M120" s="94">
        <v>135537.31013999999</v>
      </c>
      <c r="N120" s="84"/>
      <c r="O120" s="95">
        <f t="shared" si="1"/>
        <v>8.5344454285925693E-3</v>
      </c>
      <c r="P120" s="95">
        <f>M120/'סכום נכסי הקרן'!$C$42</f>
        <v>2.3325846003636255E-3</v>
      </c>
    </row>
    <row r="121" spans="2:16">
      <c r="B121" s="87" t="s">
        <v>2066</v>
      </c>
      <c r="C121" s="84" t="s">
        <v>2067</v>
      </c>
      <c r="D121" s="84" t="s">
        <v>278</v>
      </c>
      <c r="E121" s="84"/>
      <c r="F121" s="107">
        <v>39509</v>
      </c>
      <c r="G121" s="94">
        <v>2.9299999999999997</v>
      </c>
      <c r="H121" s="97" t="s">
        <v>170</v>
      </c>
      <c r="I121" s="98">
        <v>4.8000000000000001E-2</v>
      </c>
      <c r="J121" s="98">
        <v>4.8600000000000004E-2</v>
      </c>
      <c r="K121" s="94">
        <v>14639000</v>
      </c>
      <c r="L121" s="108">
        <v>119.39360000000001</v>
      </c>
      <c r="M121" s="94">
        <v>17478.026579999998</v>
      </c>
      <c r="N121" s="84"/>
      <c r="O121" s="95">
        <f t="shared" si="1"/>
        <v>1.1005476196364215E-3</v>
      </c>
      <c r="P121" s="95">
        <f>M121/'סכום נכסי הקרן'!$C$42</f>
        <v>3.0079522460009565E-4</v>
      </c>
    </row>
    <row r="122" spans="2:16">
      <c r="B122" s="87" t="s">
        <v>2068</v>
      </c>
      <c r="C122" s="84" t="s">
        <v>2069</v>
      </c>
      <c r="D122" s="84" t="s">
        <v>278</v>
      </c>
      <c r="E122" s="84"/>
      <c r="F122" s="107">
        <v>39600</v>
      </c>
      <c r="G122" s="94">
        <v>3.18</v>
      </c>
      <c r="H122" s="97" t="s">
        <v>170</v>
      </c>
      <c r="I122" s="98">
        <v>4.8000000000000001E-2</v>
      </c>
      <c r="J122" s="98">
        <v>4.8599999999999997E-2</v>
      </c>
      <c r="K122" s="94">
        <v>38870946</v>
      </c>
      <c r="L122" s="108">
        <v>116.1795</v>
      </c>
      <c r="M122" s="94">
        <v>45162.907899999998</v>
      </c>
      <c r="N122" s="84"/>
      <c r="O122" s="95">
        <f t="shared" si="1"/>
        <v>2.8437953539949324E-3</v>
      </c>
      <c r="P122" s="95">
        <f>M122/'סכום נכסי הקרן'!$C$42</f>
        <v>7.7724947740489907E-4</v>
      </c>
    </row>
    <row r="123" spans="2:16">
      <c r="B123" s="87" t="s">
        <v>2070</v>
      </c>
      <c r="C123" s="84" t="s">
        <v>2071</v>
      </c>
      <c r="D123" s="84" t="s">
        <v>278</v>
      </c>
      <c r="E123" s="84"/>
      <c r="F123" s="107">
        <v>39630</v>
      </c>
      <c r="G123" s="94">
        <v>3.1900000000000004</v>
      </c>
      <c r="H123" s="97" t="s">
        <v>170</v>
      </c>
      <c r="I123" s="98">
        <v>4.8000000000000001E-2</v>
      </c>
      <c r="J123" s="98">
        <v>4.8600000000000004E-2</v>
      </c>
      <c r="K123" s="94">
        <v>19076000</v>
      </c>
      <c r="L123" s="108">
        <v>117.7157</v>
      </c>
      <c r="M123" s="94">
        <v>22455.398249999998</v>
      </c>
      <c r="N123" s="84"/>
      <c r="O123" s="95">
        <f t="shared" si="1"/>
        <v>1.4139602648450354E-3</v>
      </c>
      <c r="P123" s="95">
        <f>M123/'סכום נכסי הקרן'!$C$42</f>
        <v>3.8645533173764892E-4</v>
      </c>
    </row>
    <row r="124" spans="2:16">
      <c r="B124" s="87" t="s">
        <v>2072</v>
      </c>
      <c r="C124" s="84" t="s">
        <v>2073</v>
      </c>
      <c r="D124" s="84" t="s">
        <v>278</v>
      </c>
      <c r="E124" s="84"/>
      <c r="F124" s="107">
        <v>39904</v>
      </c>
      <c r="G124" s="94">
        <v>3.85</v>
      </c>
      <c r="H124" s="97" t="s">
        <v>170</v>
      </c>
      <c r="I124" s="98">
        <v>4.8000000000000001E-2</v>
      </c>
      <c r="J124" s="98">
        <v>4.8500000000000015E-2</v>
      </c>
      <c r="K124" s="94">
        <v>156180000</v>
      </c>
      <c r="L124" s="108">
        <v>115.30200000000001</v>
      </c>
      <c r="M124" s="94">
        <v>180078.60728999999</v>
      </c>
      <c r="N124" s="84"/>
      <c r="O124" s="95">
        <f t="shared" si="1"/>
        <v>1.133909950836403E-2</v>
      </c>
      <c r="P124" s="95">
        <f>M124/'סכום נכסי הקרן'!$C$42</f>
        <v>3.0991362141221768E-3</v>
      </c>
    </row>
    <row r="125" spans="2:16">
      <c r="B125" s="87" t="s">
        <v>2074</v>
      </c>
      <c r="C125" s="84" t="s">
        <v>2075</v>
      </c>
      <c r="D125" s="84" t="s">
        <v>278</v>
      </c>
      <c r="E125" s="84"/>
      <c r="F125" s="107">
        <v>39965</v>
      </c>
      <c r="G125" s="94">
        <v>4.0199999999999996</v>
      </c>
      <c r="H125" s="97" t="s">
        <v>170</v>
      </c>
      <c r="I125" s="98">
        <v>4.8000000000000001E-2</v>
      </c>
      <c r="J125" s="98">
        <v>4.8500000000000008E-2</v>
      </c>
      <c r="K125" s="94">
        <v>63165923</v>
      </c>
      <c r="L125" s="108">
        <v>112.7064</v>
      </c>
      <c r="M125" s="94">
        <v>71196.643639999995</v>
      </c>
      <c r="N125" s="84"/>
      <c r="O125" s="95">
        <f t="shared" si="1"/>
        <v>4.4830745808434724E-3</v>
      </c>
      <c r="P125" s="95">
        <f>M125/'סכום נכסי הקרן'!$C$42</f>
        <v>1.2252876671427269E-3</v>
      </c>
    </row>
    <row r="126" spans="2:16">
      <c r="B126" s="87" t="s">
        <v>2076</v>
      </c>
      <c r="C126" s="84" t="s">
        <v>2077</v>
      </c>
      <c r="D126" s="84" t="s">
        <v>278</v>
      </c>
      <c r="E126" s="84"/>
      <c r="F126" s="107">
        <v>39995</v>
      </c>
      <c r="G126" s="94">
        <v>4.0100000000000007</v>
      </c>
      <c r="H126" s="97" t="s">
        <v>170</v>
      </c>
      <c r="I126" s="98">
        <v>4.8000000000000001E-2</v>
      </c>
      <c r="J126" s="98">
        <v>4.8500000000000008E-2</v>
      </c>
      <c r="K126" s="94">
        <v>108515000</v>
      </c>
      <c r="L126" s="108">
        <v>114.5086</v>
      </c>
      <c r="M126" s="94">
        <v>124258.77991</v>
      </c>
      <c r="N126" s="84"/>
      <c r="O126" s="95">
        <f t="shared" si="1"/>
        <v>7.8242645886213383E-3</v>
      </c>
      <c r="P126" s="95">
        <f>M126/'סכום נכסי הקרן'!$C$42</f>
        <v>2.1384821358683566E-3</v>
      </c>
    </row>
    <row r="127" spans="2:16">
      <c r="B127" s="87" t="s">
        <v>2078</v>
      </c>
      <c r="C127" s="84" t="s">
        <v>2079</v>
      </c>
      <c r="D127" s="84" t="s">
        <v>278</v>
      </c>
      <c r="E127" s="84"/>
      <c r="F127" s="107">
        <v>40027</v>
      </c>
      <c r="G127" s="94">
        <v>4.09</v>
      </c>
      <c r="H127" s="97" t="s">
        <v>170</v>
      </c>
      <c r="I127" s="98">
        <v>4.8000000000000001E-2</v>
      </c>
      <c r="J127" s="98">
        <v>4.8499999999999995E-2</v>
      </c>
      <c r="K127" s="94">
        <v>135237859</v>
      </c>
      <c r="L127" s="108">
        <v>113.05719999999999</v>
      </c>
      <c r="M127" s="94">
        <v>152895.71716</v>
      </c>
      <c r="N127" s="84"/>
      <c r="O127" s="95">
        <f t="shared" si="1"/>
        <v>9.6274609037149995E-3</v>
      </c>
      <c r="P127" s="95">
        <f>M127/'סכום נכסי הקרן'!$C$42</f>
        <v>2.6313211833744049E-3</v>
      </c>
    </row>
    <row r="128" spans="2:16">
      <c r="B128" s="87" t="s">
        <v>2080</v>
      </c>
      <c r="C128" s="84" t="s">
        <v>2081</v>
      </c>
      <c r="D128" s="84" t="s">
        <v>278</v>
      </c>
      <c r="E128" s="84"/>
      <c r="F128" s="107">
        <v>40179</v>
      </c>
      <c r="G128" s="94">
        <v>4.41</v>
      </c>
      <c r="H128" s="97" t="s">
        <v>170</v>
      </c>
      <c r="I128" s="98">
        <v>4.8000000000000001E-2</v>
      </c>
      <c r="J128" s="98">
        <v>4.8499999999999995E-2</v>
      </c>
      <c r="K128" s="94">
        <v>52790000</v>
      </c>
      <c r="L128" s="108">
        <v>111.5767</v>
      </c>
      <c r="M128" s="94">
        <v>58901.350780000001</v>
      </c>
      <c r="N128" s="84"/>
      <c r="O128" s="95">
        <f t="shared" si="1"/>
        <v>3.7088707410753282E-3</v>
      </c>
      <c r="P128" s="95">
        <f>M128/'סכום נכסי הקרן'!$C$42</f>
        <v>1.0136868116102339E-3</v>
      </c>
    </row>
    <row r="129" spans="2:16">
      <c r="B129" s="87" t="s">
        <v>2082</v>
      </c>
      <c r="C129" s="84" t="s">
        <v>2083</v>
      </c>
      <c r="D129" s="84" t="s">
        <v>278</v>
      </c>
      <c r="E129" s="84"/>
      <c r="F129" s="107">
        <v>40210</v>
      </c>
      <c r="G129" s="94">
        <v>4.4899999999999993</v>
      </c>
      <c r="H129" s="97" t="s">
        <v>170</v>
      </c>
      <c r="I129" s="98">
        <v>4.8000000000000001E-2</v>
      </c>
      <c r="J129" s="98">
        <v>4.8499999999999995E-2</v>
      </c>
      <c r="K129" s="94">
        <v>74753000</v>
      </c>
      <c r="L129" s="108">
        <v>111.13679999999999</v>
      </c>
      <c r="M129" s="94">
        <v>83078.048699999999</v>
      </c>
      <c r="N129" s="84"/>
      <c r="O129" s="95">
        <f t="shared" si="1"/>
        <v>5.2312169410159868E-3</v>
      </c>
      <c r="P129" s="95">
        <f>M129/'סכום נכסי הקרן'!$C$42</f>
        <v>1.4297655518300618E-3</v>
      </c>
    </row>
    <row r="130" spans="2:16">
      <c r="B130" s="87" t="s">
        <v>2084</v>
      </c>
      <c r="C130" s="84" t="s">
        <v>2085</v>
      </c>
      <c r="D130" s="84" t="s">
        <v>278</v>
      </c>
      <c r="E130" s="84"/>
      <c r="F130" s="107">
        <v>40238</v>
      </c>
      <c r="G130" s="94">
        <v>4.57</v>
      </c>
      <c r="H130" s="97" t="s">
        <v>170</v>
      </c>
      <c r="I130" s="98">
        <v>4.8000000000000001E-2</v>
      </c>
      <c r="J130" s="98">
        <v>4.8600000000000004E-2</v>
      </c>
      <c r="K130" s="94">
        <v>113855000</v>
      </c>
      <c r="L130" s="108">
        <v>111.4395</v>
      </c>
      <c r="M130" s="94">
        <v>126879.50072</v>
      </c>
      <c r="N130" s="84"/>
      <c r="O130" s="95">
        <f t="shared" si="1"/>
        <v>7.9892848233701248E-3</v>
      </c>
      <c r="P130" s="95">
        <f>M130/'סכום נכסי הקרן'!$C$42</f>
        <v>2.1835844991729267E-3</v>
      </c>
    </row>
    <row r="131" spans="2:16">
      <c r="B131" s="87" t="s">
        <v>2086</v>
      </c>
      <c r="C131" s="84" t="s">
        <v>2087</v>
      </c>
      <c r="D131" s="84" t="s">
        <v>278</v>
      </c>
      <c r="E131" s="84"/>
      <c r="F131" s="107">
        <v>40300</v>
      </c>
      <c r="G131" s="94">
        <v>4.74</v>
      </c>
      <c r="H131" s="97" t="s">
        <v>170</v>
      </c>
      <c r="I131" s="98">
        <v>4.8000000000000001E-2</v>
      </c>
      <c r="J131" s="98">
        <v>4.8499999999999995E-2</v>
      </c>
      <c r="K131" s="94">
        <v>18001000</v>
      </c>
      <c r="L131" s="108">
        <v>110.7654</v>
      </c>
      <c r="M131" s="94">
        <v>19938.884539999999</v>
      </c>
      <c r="N131" s="84"/>
      <c r="O131" s="95">
        <f t="shared" si="1"/>
        <v>1.2555016905519804E-3</v>
      </c>
      <c r="P131" s="95">
        <f>M131/'סכום נכסי הקרן'!$C$42</f>
        <v>3.431463630080299E-4</v>
      </c>
    </row>
    <row r="132" spans="2:16">
      <c r="B132" s="87" t="s">
        <v>2088</v>
      </c>
      <c r="C132" s="84" t="s">
        <v>2089</v>
      </c>
      <c r="D132" s="84" t="s">
        <v>278</v>
      </c>
      <c r="E132" s="84"/>
      <c r="F132" s="107">
        <v>40360</v>
      </c>
      <c r="G132" s="94">
        <v>4.79</v>
      </c>
      <c r="H132" s="97" t="s">
        <v>170</v>
      </c>
      <c r="I132" s="98">
        <v>4.8000000000000001E-2</v>
      </c>
      <c r="J132" s="98">
        <v>4.8499999999999995E-2</v>
      </c>
      <c r="K132" s="94">
        <v>45687000</v>
      </c>
      <c r="L132" s="108">
        <v>111.1529</v>
      </c>
      <c r="M132" s="94">
        <v>50782.431790000002</v>
      </c>
      <c r="N132" s="84"/>
      <c r="O132" s="95">
        <f t="shared" si="1"/>
        <v>3.1976427184168665E-3</v>
      </c>
      <c r="P132" s="95">
        <f>M132/'סכום נכסי הקרן'!$C$42</f>
        <v>8.7396096499196938E-4</v>
      </c>
    </row>
    <row r="133" spans="2:16">
      <c r="B133" s="87" t="s">
        <v>2090</v>
      </c>
      <c r="C133" s="84" t="s">
        <v>2091</v>
      </c>
      <c r="D133" s="84" t="s">
        <v>278</v>
      </c>
      <c r="E133" s="84"/>
      <c r="F133" s="107">
        <v>40422</v>
      </c>
      <c r="G133" s="94">
        <v>4.96</v>
      </c>
      <c r="H133" s="97" t="s">
        <v>170</v>
      </c>
      <c r="I133" s="98">
        <v>4.8000000000000001E-2</v>
      </c>
      <c r="J133" s="98">
        <v>4.8500000000000008E-2</v>
      </c>
      <c r="K133" s="94">
        <v>89024000</v>
      </c>
      <c r="L133" s="108">
        <v>109.4447</v>
      </c>
      <c r="M133" s="94">
        <v>97432.364279999994</v>
      </c>
      <c r="N133" s="84"/>
      <c r="O133" s="95">
        <f t="shared" si="1"/>
        <v>6.1350722916627297E-3</v>
      </c>
      <c r="P133" s="95">
        <f>M133/'סכום נכסי הקרן'!$C$42</f>
        <v>1.6768019983707417E-3</v>
      </c>
    </row>
    <row r="134" spans="2:16">
      <c r="B134" s="87" t="s">
        <v>2092</v>
      </c>
      <c r="C134" s="84" t="s">
        <v>2093</v>
      </c>
      <c r="D134" s="84" t="s">
        <v>278</v>
      </c>
      <c r="E134" s="84"/>
      <c r="F134" s="107">
        <v>40483</v>
      </c>
      <c r="G134" s="94">
        <v>5.12</v>
      </c>
      <c r="H134" s="97" t="s">
        <v>170</v>
      </c>
      <c r="I134" s="98">
        <v>4.8000000000000001E-2</v>
      </c>
      <c r="J134" s="98">
        <v>4.8499999999999995E-2</v>
      </c>
      <c r="K134" s="94">
        <v>190101000</v>
      </c>
      <c r="L134" s="108">
        <v>107.7728</v>
      </c>
      <c r="M134" s="94">
        <v>204877.25890000002</v>
      </c>
      <c r="N134" s="84"/>
      <c r="O134" s="95">
        <f t="shared" si="1"/>
        <v>1.2900608576602239E-2</v>
      </c>
      <c r="P134" s="95">
        <f>M134/'סכום נכסי הקרן'!$C$42</f>
        <v>3.525918719954107E-3</v>
      </c>
    </row>
    <row r="135" spans="2:16">
      <c r="B135" s="87" t="s">
        <v>2094</v>
      </c>
      <c r="C135" s="84" t="s">
        <v>2095</v>
      </c>
      <c r="D135" s="84" t="s">
        <v>278</v>
      </c>
      <c r="E135" s="84"/>
      <c r="F135" s="107">
        <v>40513</v>
      </c>
      <c r="G135" s="94">
        <v>5.21</v>
      </c>
      <c r="H135" s="97" t="s">
        <v>170</v>
      </c>
      <c r="I135" s="98">
        <v>4.8000000000000001E-2</v>
      </c>
      <c r="J135" s="98">
        <v>4.8499999999999995E-2</v>
      </c>
      <c r="K135" s="94">
        <v>54968000</v>
      </c>
      <c r="L135" s="108">
        <v>107.05029999999999</v>
      </c>
      <c r="M135" s="94">
        <v>58843.366190000001</v>
      </c>
      <c r="N135" s="84"/>
      <c r="O135" s="95">
        <f t="shared" si="1"/>
        <v>3.7052195964676691E-3</v>
      </c>
      <c r="P135" s="95">
        <f>M135/'סכום נכסי הקרן'!$C$42</f>
        <v>1.0126889021670504E-3</v>
      </c>
    </row>
    <row r="136" spans="2:16">
      <c r="B136" s="87" t="s">
        <v>2096</v>
      </c>
      <c r="C136" s="84" t="s">
        <v>2097</v>
      </c>
      <c r="D136" s="84" t="s">
        <v>278</v>
      </c>
      <c r="E136" s="84"/>
      <c r="F136" s="107">
        <v>40544</v>
      </c>
      <c r="G136" s="94">
        <v>5.17</v>
      </c>
      <c r="H136" s="97" t="s">
        <v>170</v>
      </c>
      <c r="I136" s="98">
        <v>4.8000000000000001E-2</v>
      </c>
      <c r="J136" s="98">
        <v>4.8500000000000008E-2</v>
      </c>
      <c r="K136" s="94">
        <v>162014000</v>
      </c>
      <c r="L136" s="108">
        <v>109.08669999999999</v>
      </c>
      <c r="M136" s="94">
        <v>176735.75068999999</v>
      </c>
      <c r="N136" s="84"/>
      <c r="O136" s="95">
        <f t="shared" si="1"/>
        <v>1.1128608189045078E-2</v>
      </c>
      <c r="P136" s="95">
        <f>M136/'סכום נכסי הקרן'!$C$42</f>
        <v>3.0416059605091333E-3</v>
      </c>
    </row>
    <row r="137" spans="2:16">
      <c r="B137" s="87" t="s">
        <v>2098</v>
      </c>
      <c r="C137" s="84" t="s">
        <v>2099</v>
      </c>
      <c r="D137" s="84" t="s">
        <v>278</v>
      </c>
      <c r="E137" s="84"/>
      <c r="F137" s="107">
        <v>40575</v>
      </c>
      <c r="G137" s="94">
        <v>5.25</v>
      </c>
      <c r="H137" s="97" t="s">
        <v>170</v>
      </c>
      <c r="I137" s="98">
        <v>4.8000000000000001E-2</v>
      </c>
      <c r="J137" s="98">
        <v>4.8499999999999995E-2</v>
      </c>
      <c r="K137" s="94">
        <v>61690000</v>
      </c>
      <c r="L137" s="108">
        <v>108.25530000000001</v>
      </c>
      <c r="M137" s="94">
        <v>66782.679270000008</v>
      </c>
      <c r="N137" s="84"/>
      <c r="O137" s="95">
        <f t="shared" si="1"/>
        <v>4.2051382841838602E-3</v>
      </c>
      <c r="P137" s="95">
        <f>M137/'סכום נכסי הקרן'!$C$42</f>
        <v>1.1493237476479343E-3</v>
      </c>
    </row>
    <row r="138" spans="2:16">
      <c r="B138" s="87" t="s">
        <v>2100</v>
      </c>
      <c r="C138" s="84" t="s">
        <v>2101</v>
      </c>
      <c r="D138" s="84" t="s">
        <v>278</v>
      </c>
      <c r="E138" s="84"/>
      <c r="F138" s="107">
        <v>40634</v>
      </c>
      <c r="G138" s="94">
        <v>5.41</v>
      </c>
      <c r="H138" s="97" t="s">
        <v>170</v>
      </c>
      <c r="I138" s="98">
        <v>4.8000000000000001E-2</v>
      </c>
      <c r="J138" s="98">
        <v>4.8499999999999995E-2</v>
      </c>
      <c r="K138" s="94">
        <v>31637000</v>
      </c>
      <c r="L138" s="108">
        <v>106.86620000000001</v>
      </c>
      <c r="M138" s="94">
        <v>33809.243750000001</v>
      </c>
      <c r="N138" s="84"/>
      <c r="O138" s="95">
        <f t="shared" si="1"/>
        <v>2.1288835189979477E-3</v>
      </c>
      <c r="P138" s="95">
        <f>M138/'סכום נכסי הקרן'!$C$42</f>
        <v>5.8185396507965672E-4</v>
      </c>
    </row>
    <row r="139" spans="2:16">
      <c r="B139" s="87" t="s">
        <v>2102</v>
      </c>
      <c r="C139" s="84" t="s">
        <v>2103</v>
      </c>
      <c r="D139" s="84" t="s">
        <v>278</v>
      </c>
      <c r="E139" s="84"/>
      <c r="F139" s="107">
        <v>40664</v>
      </c>
      <c r="G139" s="94">
        <v>5.5</v>
      </c>
      <c r="H139" s="97" t="s">
        <v>170</v>
      </c>
      <c r="I139" s="98">
        <v>4.8000000000000001E-2</v>
      </c>
      <c r="J139" s="98">
        <v>4.8499999999999995E-2</v>
      </c>
      <c r="K139" s="94">
        <v>126116316</v>
      </c>
      <c r="L139" s="108">
        <v>106.24169999999999</v>
      </c>
      <c r="M139" s="94">
        <v>133989.10925000001</v>
      </c>
      <c r="N139" s="84"/>
      <c r="O139" s="95">
        <f t="shared" si="1"/>
        <v>8.4369590907380325E-3</v>
      </c>
      <c r="P139" s="95">
        <f>M139/'סכום נכסי הקרן'!$C$42</f>
        <v>2.3059402059119943E-3</v>
      </c>
    </row>
    <row r="140" spans="2:16">
      <c r="B140" s="87" t="s">
        <v>2104</v>
      </c>
      <c r="C140" s="84" t="s">
        <v>2105</v>
      </c>
      <c r="D140" s="84" t="s">
        <v>278</v>
      </c>
      <c r="E140" s="84"/>
      <c r="F140" s="107">
        <v>40848</v>
      </c>
      <c r="G140" s="94">
        <v>5.8699999999999992</v>
      </c>
      <c r="H140" s="97" t="s">
        <v>170</v>
      </c>
      <c r="I140" s="98">
        <v>4.8000000000000001E-2</v>
      </c>
      <c r="J140" s="98">
        <v>4.8500000000000008E-2</v>
      </c>
      <c r="K140" s="94">
        <v>62000</v>
      </c>
      <c r="L140" s="108">
        <v>104.7058</v>
      </c>
      <c r="M140" s="94">
        <v>64.915449999999993</v>
      </c>
      <c r="N140" s="84"/>
      <c r="O140" s="95">
        <f t="shared" ref="O140:O142" si="2">M140/$M$11</f>
        <v>4.0875635271592049E-6</v>
      </c>
      <c r="P140" s="95">
        <f>M140/'סכום נכסי הקרן'!$C$42</f>
        <v>1.1171889042158831E-6</v>
      </c>
    </row>
    <row r="141" spans="2:16">
      <c r="B141" s="87" t="s">
        <v>2106</v>
      </c>
      <c r="C141" s="84">
        <v>8789</v>
      </c>
      <c r="D141" s="84" t="s">
        <v>278</v>
      </c>
      <c r="E141" s="84"/>
      <c r="F141" s="107">
        <v>41000</v>
      </c>
      <c r="G141" s="94">
        <v>6.1400000000000006</v>
      </c>
      <c r="H141" s="97" t="s">
        <v>170</v>
      </c>
      <c r="I141" s="98">
        <v>4.8000000000000001E-2</v>
      </c>
      <c r="J141" s="98">
        <v>4.8100000000000004E-2</v>
      </c>
      <c r="K141" s="94">
        <v>65000</v>
      </c>
      <c r="L141" s="108">
        <v>105.1212</v>
      </c>
      <c r="M141" s="94">
        <v>68.490009999999998</v>
      </c>
      <c r="N141" s="84"/>
      <c r="O141" s="95">
        <f t="shared" si="2"/>
        <v>4.3126446300652507E-6</v>
      </c>
      <c r="P141" s="95">
        <f>M141/'סכום נכסי הקרן'!$C$42</f>
        <v>1.1787067519617422E-6</v>
      </c>
    </row>
    <row r="142" spans="2:16">
      <c r="B142" s="87" t="s">
        <v>2107</v>
      </c>
      <c r="C142" s="84" t="s">
        <v>2108</v>
      </c>
      <c r="D142" s="84" t="s">
        <v>278</v>
      </c>
      <c r="E142" s="84"/>
      <c r="F142" s="107">
        <v>41640</v>
      </c>
      <c r="G142" s="94">
        <v>7.25</v>
      </c>
      <c r="H142" s="97" t="s">
        <v>170</v>
      </c>
      <c r="I142" s="98">
        <v>4.8000000000000001E-2</v>
      </c>
      <c r="J142" s="98">
        <v>4.8499999999999995E-2</v>
      </c>
      <c r="K142" s="94">
        <v>158418000</v>
      </c>
      <c r="L142" s="108">
        <v>102.8934</v>
      </c>
      <c r="M142" s="94">
        <v>163001.59943</v>
      </c>
      <c r="N142" s="84"/>
      <c r="O142" s="95">
        <f t="shared" si="2"/>
        <v>1.0263803034542359E-2</v>
      </c>
      <c r="P142" s="95">
        <f>M142/'סכום נכסי הקרן'!$C$42</f>
        <v>2.8052424846879754E-3</v>
      </c>
    </row>
    <row r="146" spans="2:2">
      <c r="B146" s="99" t="s">
        <v>120</v>
      </c>
    </row>
    <row r="147" spans="2:2">
      <c r="B147" s="99" t="s">
        <v>247</v>
      </c>
    </row>
    <row r="148" spans="2:2">
      <c r="B148" s="99" t="s">
        <v>255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AB25:XFD27 D1:P1048576 Q28:XFD1048576 Q1:XFD24 Q25:Z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>
      <selection activeCell="Z31" sqref="Z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185</v>
      </c>
      <c r="C1" s="78" t="s" vm="1">
        <v>273</v>
      </c>
    </row>
    <row r="2" spans="2:65">
      <c r="B2" s="57" t="s">
        <v>184</v>
      </c>
      <c r="C2" s="78" t="s">
        <v>274</v>
      </c>
    </row>
    <row r="3" spans="2:65">
      <c r="B3" s="57" t="s">
        <v>186</v>
      </c>
      <c r="C3" s="78" t="s">
        <v>275</v>
      </c>
    </row>
    <row r="4" spans="2:65">
      <c r="B4" s="57" t="s">
        <v>187</v>
      </c>
      <c r="C4" s="78">
        <v>2102</v>
      </c>
    </row>
    <row r="6" spans="2:65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3"/>
    </row>
    <row r="7" spans="2:65" ht="26.25" customHeight="1">
      <c r="B7" s="181" t="s">
        <v>96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</row>
    <row r="8" spans="2:65" s="3" customFormat="1" ht="78.75">
      <c r="B8" s="23" t="s">
        <v>124</v>
      </c>
      <c r="C8" s="31" t="s">
        <v>49</v>
      </c>
      <c r="D8" s="31" t="s">
        <v>126</v>
      </c>
      <c r="E8" s="31" t="s">
        <v>125</v>
      </c>
      <c r="F8" s="31" t="s">
        <v>70</v>
      </c>
      <c r="G8" s="31" t="s">
        <v>15</v>
      </c>
      <c r="H8" s="31" t="s">
        <v>71</v>
      </c>
      <c r="I8" s="31" t="s">
        <v>110</v>
      </c>
      <c r="J8" s="31" t="s">
        <v>18</v>
      </c>
      <c r="K8" s="31" t="s">
        <v>109</v>
      </c>
      <c r="L8" s="31" t="s">
        <v>17</v>
      </c>
      <c r="M8" s="71" t="s">
        <v>19</v>
      </c>
      <c r="N8" s="31" t="s">
        <v>249</v>
      </c>
      <c r="O8" s="31" t="s">
        <v>248</v>
      </c>
      <c r="P8" s="31" t="s">
        <v>118</v>
      </c>
      <c r="Q8" s="31" t="s">
        <v>64</v>
      </c>
      <c r="R8" s="31" t="s">
        <v>188</v>
      </c>
      <c r="S8" s="32" t="s">
        <v>190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256</v>
      </c>
      <c r="O9" s="33"/>
      <c r="P9" s="33" t="s">
        <v>252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121</v>
      </c>
      <c r="R10" s="21" t="s">
        <v>122</v>
      </c>
      <c r="S10" s="21" t="s">
        <v>191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BW540"/>
  <sheetViews>
    <sheetView rightToLeft="1" zoomScale="90" zoomScaleNormal="90" workbookViewId="0">
      <selection activeCell="A11" sqref="A11:XFD144"/>
    </sheetView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48.42578125" style="2" bestFit="1" customWidth="1"/>
    <col min="4" max="4" width="9.28515625" style="2" bestFit="1" customWidth="1"/>
    <col min="5" max="5" width="11.28515625" style="2" bestFit="1" customWidth="1"/>
    <col min="6" max="6" width="14.710937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8" style="1" bestFit="1" customWidth="1"/>
    <col min="14" max="14" width="15.42578125" style="1" bestFit="1" customWidth="1"/>
    <col min="15" max="15" width="7.28515625" style="1" bestFit="1" customWidth="1"/>
    <col min="16" max="16" width="13.140625" style="1" bestFit="1" customWidth="1"/>
    <col min="17" max="17" width="8" style="1" bestFit="1" customWidth="1"/>
    <col min="18" max="18" width="10" style="1" bestFit="1" customWidth="1"/>
    <col min="19" max="19" width="9" style="1" bestFit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75">
      <c r="B1" s="57" t="s">
        <v>185</v>
      </c>
      <c r="C1" s="78" t="s" vm="1">
        <v>273</v>
      </c>
    </row>
    <row r="2" spans="2:75">
      <c r="B2" s="57" t="s">
        <v>184</v>
      </c>
      <c r="C2" s="78" t="s">
        <v>274</v>
      </c>
    </row>
    <row r="3" spans="2:75">
      <c r="B3" s="57" t="s">
        <v>186</v>
      </c>
      <c r="C3" s="78" t="s">
        <v>275</v>
      </c>
    </row>
    <row r="4" spans="2:75">
      <c r="B4" s="57" t="s">
        <v>187</v>
      </c>
      <c r="C4" s="78">
        <v>2102</v>
      </c>
    </row>
    <row r="6" spans="2:75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3"/>
    </row>
    <row r="7" spans="2:75" ht="26.25" customHeight="1">
      <c r="B7" s="181" t="s">
        <v>97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3"/>
    </row>
    <row r="8" spans="2:75" s="3" customFormat="1" ht="78.75">
      <c r="B8" s="23" t="s">
        <v>124</v>
      </c>
      <c r="C8" s="31" t="s">
        <v>49</v>
      </c>
      <c r="D8" s="31" t="s">
        <v>126</v>
      </c>
      <c r="E8" s="31" t="s">
        <v>125</v>
      </c>
      <c r="F8" s="31" t="s">
        <v>70</v>
      </c>
      <c r="G8" s="31" t="s">
        <v>15</v>
      </c>
      <c r="H8" s="31" t="s">
        <v>71</v>
      </c>
      <c r="I8" s="31" t="s">
        <v>110</v>
      </c>
      <c r="J8" s="31" t="s">
        <v>18</v>
      </c>
      <c r="K8" s="31" t="s">
        <v>109</v>
      </c>
      <c r="L8" s="31" t="s">
        <v>17</v>
      </c>
      <c r="M8" s="71" t="s">
        <v>19</v>
      </c>
      <c r="N8" s="71" t="s">
        <v>249</v>
      </c>
      <c r="O8" s="31" t="s">
        <v>248</v>
      </c>
      <c r="P8" s="31" t="s">
        <v>118</v>
      </c>
      <c r="Q8" s="31" t="s">
        <v>64</v>
      </c>
      <c r="R8" s="31" t="s">
        <v>188</v>
      </c>
      <c r="S8" s="32" t="s">
        <v>190</v>
      </c>
      <c r="BT8" s="1"/>
    </row>
    <row r="9" spans="2:75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256</v>
      </c>
      <c r="O9" s="33"/>
      <c r="P9" s="33" t="s">
        <v>252</v>
      </c>
      <c r="Q9" s="33" t="s">
        <v>20</v>
      </c>
      <c r="R9" s="33" t="s">
        <v>20</v>
      </c>
      <c r="S9" s="34" t="s">
        <v>20</v>
      </c>
      <c r="BT9" s="1"/>
    </row>
    <row r="10" spans="2:7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121</v>
      </c>
      <c r="R10" s="21" t="s">
        <v>122</v>
      </c>
      <c r="S10" s="21" t="s">
        <v>191</v>
      </c>
      <c r="BT10" s="1"/>
    </row>
    <row r="11" spans="2:75" s="135" customFormat="1" ht="18" customHeight="1">
      <c r="B11" s="109" t="s">
        <v>56</v>
      </c>
      <c r="C11" s="80"/>
      <c r="D11" s="80"/>
      <c r="E11" s="80"/>
      <c r="F11" s="80"/>
      <c r="G11" s="80"/>
      <c r="H11" s="80"/>
      <c r="I11" s="80"/>
      <c r="J11" s="90">
        <v>5.9347335218308332</v>
      </c>
      <c r="K11" s="80"/>
      <c r="L11" s="80"/>
      <c r="M11" s="89">
        <v>1.1830462190822707E-2</v>
      </c>
      <c r="N11" s="88"/>
      <c r="O11" s="90"/>
      <c r="P11" s="88">
        <v>1003198.66778</v>
      </c>
      <c r="Q11" s="80"/>
      <c r="R11" s="89">
        <f>P11/$P$11</f>
        <v>1</v>
      </c>
      <c r="S11" s="89">
        <f>P11/'סכום נכסי הקרן'!$C$42</f>
        <v>1.7264956499076448E-2</v>
      </c>
      <c r="BT11" s="132"/>
      <c r="BW11" s="132"/>
    </row>
    <row r="12" spans="2:75" s="132" customFormat="1" ht="17.25" customHeight="1">
      <c r="B12" s="110" t="s">
        <v>243</v>
      </c>
      <c r="C12" s="82"/>
      <c r="D12" s="82"/>
      <c r="E12" s="82"/>
      <c r="F12" s="82"/>
      <c r="G12" s="82"/>
      <c r="H12" s="82"/>
      <c r="I12" s="82"/>
      <c r="J12" s="93">
        <v>5.6224486050566655</v>
      </c>
      <c r="K12" s="82"/>
      <c r="L12" s="82"/>
      <c r="M12" s="92">
        <v>9.9794023831148281E-3</v>
      </c>
      <c r="N12" s="91"/>
      <c r="O12" s="93"/>
      <c r="P12" s="91">
        <v>940671.73124999984</v>
      </c>
      <c r="Q12" s="82"/>
      <c r="R12" s="92">
        <f t="shared" ref="R12:R26" si="0">P12/$P$11</f>
        <v>0.93767242866423717</v>
      </c>
      <c r="S12" s="92">
        <f>P12/'סכום נכסי הקרן'!$C$42</f>
        <v>1.6188873691271418E-2</v>
      </c>
    </row>
    <row r="13" spans="2:75" s="132" customFormat="1">
      <c r="B13" s="111" t="s">
        <v>65</v>
      </c>
      <c r="C13" s="82"/>
      <c r="D13" s="82"/>
      <c r="E13" s="82"/>
      <c r="F13" s="82"/>
      <c r="G13" s="82"/>
      <c r="H13" s="82"/>
      <c r="I13" s="82"/>
      <c r="J13" s="93">
        <v>6.4169103092318567</v>
      </c>
      <c r="K13" s="82"/>
      <c r="L13" s="82"/>
      <c r="M13" s="92">
        <v>5.9157733887708454E-3</v>
      </c>
      <c r="N13" s="91"/>
      <c r="O13" s="93"/>
      <c r="P13" s="91">
        <v>639423.14517999999</v>
      </c>
      <c r="Q13" s="82"/>
      <c r="R13" s="92">
        <f t="shared" si="0"/>
        <v>0.63738436435027701</v>
      </c>
      <c r="S13" s="92">
        <f>P13/'סכום נכסי הקרן'!$C$42</f>
        <v>1.1004413323699024E-2</v>
      </c>
    </row>
    <row r="14" spans="2:75" s="132" customFormat="1">
      <c r="B14" s="112" t="s">
        <v>2109</v>
      </c>
      <c r="C14" s="84" t="s">
        <v>2110</v>
      </c>
      <c r="D14" s="97" t="s">
        <v>2111</v>
      </c>
      <c r="E14" s="84" t="s">
        <v>402</v>
      </c>
      <c r="F14" s="97" t="s">
        <v>164</v>
      </c>
      <c r="G14" s="84" t="s">
        <v>360</v>
      </c>
      <c r="H14" s="84" t="s">
        <v>361</v>
      </c>
      <c r="I14" s="107">
        <v>39076</v>
      </c>
      <c r="J14" s="96">
        <v>8</v>
      </c>
      <c r="K14" s="97" t="s">
        <v>170</v>
      </c>
      <c r="L14" s="98">
        <v>4.9000000000000002E-2</v>
      </c>
      <c r="M14" s="95">
        <v>7.6E-3</v>
      </c>
      <c r="N14" s="94">
        <v>34820965</v>
      </c>
      <c r="O14" s="96">
        <v>164.73</v>
      </c>
      <c r="P14" s="94">
        <v>57360.572319999999</v>
      </c>
      <c r="Q14" s="95">
        <v>1.773778124571506E-2</v>
      </c>
      <c r="R14" s="95">
        <f t="shared" si="0"/>
        <v>5.71776799175127E-2</v>
      </c>
      <c r="S14" s="95">
        <f>P14/'סכום נכסי הקרן'!$C$42</f>
        <v>9.871701564939737E-4</v>
      </c>
    </row>
    <row r="15" spans="2:75" s="132" customFormat="1">
      <c r="B15" s="112" t="s">
        <v>2112</v>
      </c>
      <c r="C15" s="84" t="s">
        <v>2113</v>
      </c>
      <c r="D15" s="97" t="s">
        <v>2111</v>
      </c>
      <c r="E15" s="84" t="s">
        <v>402</v>
      </c>
      <c r="F15" s="97" t="s">
        <v>164</v>
      </c>
      <c r="G15" s="84" t="s">
        <v>360</v>
      </c>
      <c r="H15" s="84" t="s">
        <v>361</v>
      </c>
      <c r="I15" s="107">
        <v>42639</v>
      </c>
      <c r="J15" s="96">
        <v>12.069999999999999</v>
      </c>
      <c r="K15" s="97" t="s">
        <v>170</v>
      </c>
      <c r="L15" s="98">
        <v>4.0999999999999995E-2</v>
      </c>
      <c r="M15" s="95">
        <v>1.0500000000000001E-2</v>
      </c>
      <c r="N15" s="94">
        <v>145647612.88</v>
      </c>
      <c r="O15" s="96">
        <v>147.94</v>
      </c>
      <c r="P15" s="94">
        <v>215471.07955000002</v>
      </c>
      <c r="Q15" s="95">
        <v>3.4576844925663409E-2</v>
      </c>
      <c r="R15" s="95">
        <f t="shared" si="0"/>
        <v>0.21478405670814996</v>
      </c>
      <c r="S15" s="95">
        <f>P15/'סכום נכסי הקרן'!$C$42</f>
        <v>3.7082373957613777E-3</v>
      </c>
    </row>
    <row r="16" spans="2:75" s="132" customFormat="1">
      <c r="B16" s="112" t="s">
        <v>2114</v>
      </c>
      <c r="C16" s="84" t="s">
        <v>2115</v>
      </c>
      <c r="D16" s="97" t="s">
        <v>2111</v>
      </c>
      <c r="E16" s="84" t="s">
        <v>2116</v>
      </c>
      <c r="F16" s="97" t="s">
        <v>1227</v>
      </c>
      <c r="G16" s="84" t="s">
        <v>373</v>
      </c>
      <c r="H16" s="84" t="s">
        <v>168</v>
      </c>
      <c r="I16" s="107">
        <v>42796</v>
      </c>
      <c r="J16" s="96">
        <v>7.3000000000000007</v>
      </c>
      <c r="K16" s="97" t="s">
        <v>170</v>
      </c>
      <c r="L16" s="98">
        <v>2.1400000000000002E-2</v>
      </c>
      <c r="M16" s="95">
        <v>2.5000000000000001E-3</v>
      </c>
      <c r="N16" s="94">
        <v>45400000</v>
      </c>
      <c r="O16" s="96">
        <v>117.33</v>
      </c>
      <c r="P16" s="94">
        <v>53267.819929999998</v>
      </c>
      <c r="Q16" s="95">
        <v>0.17485345431857222</v>
      </c>
      <c r="R16" s="95">
        <f t="shared" si="0"/>
        <v>5.309797714133483E-2</v>
      </c>
      <c r="S16" s="95">
        <f>P16/'סכום נכסי הקרן'!$C$42</f>
        <v>9.1673426553410143E-4</v>
      </c>
    </row>
    <row r="17" spans="2:19" s="132" customFormat="1">
      <c r="B17" s="112" t="s">
        <v>2117</v>
      </c>
      <c r="C17" s="84" t="s">
        <v>2118</v>
      </c>
      <c r="D17" s="97" t="s">
        <v>2111</v>
      </c>
      <c r="E17" s="84" t="s">
        <v>490</v>
      </c>
      <c r="F17" s="97" t="s">
        <v>491</v>
      </c>
      <c r="G17" s="84" t="s">
        <v>428</v>
      </c>
      <c r="H17" s="84" t="s">
        <v>361</v>
      </c>
      <c r="I17" s="107">
        <v>39856</v>
      </c>
      <c r="J17" s="96">
        <v>0.12</v>
      </c>
      <c r="K17" s="97" t="s">
        <v>170</v>
      </c>
      <c r="L17" s="98">
        <v>6.8499999999999991E-2</v>
      </c>
      <c r="M17" s="95">
        <v>5.8999999999999999E-3</v>
      </c>
      <c r="N17" s="94">
        <v>19463300</v>
      </c>
      <c r="O17" s="96">
        <v>117.03</v>
      </c>
      <c r="P17" s="94">
        <v>22777.900389999999</v>
      </c>
      <c r="Q17" s="95">
        <v>3.8537296233449689E-2</v>
      </c>
      <c r="R17" s="95">
        <f t="shared" si="0"/>
        <v>2.2705273762380195E-2</v>
      </c>
      <c r="S17" s="95">
        <f>P17/'סכום נכסי הקרן'!$C$42</f>
        <v>3.9200556380711586E-4</v>
      </c>
    </row>
    <row r="18" spans="2:19" s="132" customFormat="1">
      <c r="B18" s="112" t="s">
        <v>2119</v>
      </c>
      <c r="C18" s="84" t="s">
        <v>2120</v>
      </c>
      <c r="D18" s="97" t="s">
        <v>2111</v>
      </c>
      <c r="E18" s="84" t="s">
        <v>378</v>
      </c>
      <c r="F18" s="97" t="s">
        <v>365</v>
      </c>
      <c r="G18" s="84" t="s">
        <v>428</v>
      </c>
      <c r="H18" s="84" t="s">
        <v>361</v>
      </c>
      <c r="I18" s="107">
        <v>38519</v>
      </c>
      <c r="J18" s="96">
        <v>4.99</v>
      </c>
      <c r="K18" s="97" t="s">
        <v>170</v>
      </c>
      <c r="L18" s="98">
        <v>6.0499999999999998E-2</v>
      </c>
      <c r="M18" s="95">
        <v>-2.3E-3</v>
      </c>
      <c r="N18" s="94">
        <v>99000</v>
      </c>
      <c r="O18" s="96">
        <v>178.82</v>
      </c>
      <c r="P18" s="94">
        <v>177.03181000000001</v>
      </c>
      <c r="Q18" s="84"/>
      <c r="R18" s="95">
        <f t="shared" si="0"/>
        <v>1.7646734957469344E-4</v>
      </c>
      <c r="S18" s="95">
        <f>P18/'סכום נכסי הקרן'!$C$42</f>
        <v>3.0467011139143989E-6</v>
      </c>
    </row>
    <row r="19" spans="2:19" s="132" customFormat="1">
      <c r="B19" s="112" t="s">
        <v>2121</v>
      </c>
      <c r="C19" s="84" t="s">
        <v>2122</v>
      </c>
      <c r="D19" s="97" t="s">
        <v>2111</v>
      </c>
      <c r="E19" s="84" t="s">
        <v>438</v>
      </c>
      <c r="F19" s="97" t="s">
        <v>164</v>
      </c>
      <c r="G19" s="84" t="s">
        <v>416</v>
      </c>
      <c r="H19" s="84" t="s">
        <v>168</v>
      </c>
      <c r="I19" s="107">
        <v>39350</v>
      </c>
      <c r="J19" s="96">
        <v>3.82</v>
      </c>
      <c r="K19" s="97" t="s">
        <v>170</v>
      </c>
      <c r="L19" s="98">
        <v>5.5999999999999994E-2</v>
      </c>
      <c r="M19" s="95">
        <v>-3.5000000000000005E-3</v>
      </c>
      <c r="N19" s="94">
        <v>11327061.85</v>
      </c>
      <c r="O19" s="96">
        <v>151.13999999999999</v>
      </c>
      <c r="P19" s="94">
        <v>17119.72075</v>
      </c>
      <c r="Q19" s="95">
        <v>1.5164319505580819E-2</v>
      </c>
      <c r="R19" s="95">
        <f t="shared" si="0"/>
        <v>1.7065135052346709E-2</v>
      </c>
      <c r="S19" s="95">
        <f>P19/'סכום נכסי הקרן'!$C$42</f>
        <v>2.946288143296306E-4</v>
      </c>
    </row>
    <row r="20" spans="2:19" s="132" customFormat="1">
      <c r="B20" s="112" t="s">
        <v>2123</v>
      </c>
      <c r="C20" s="84" t="s">
        <v>2124</v>
      </c>
      <c r="D20" s="97" t="s">
        <v>2111</v>
      </c>
      <c r="E20" s="84" t="s">
        <v>490</v>
      </c>
      <c r="F20" s="97" t="s">
        <v>491</v>
      </c>
      <c r="G20" s="84" t="s">
        <v>465</v>
      </c>
      <c r="H20" s="84" t="s">
        <v>168</v>
      </c>
      <c r="I20" s="107">
        <v>42919</v>
      </c>
      <c r="J20" s="96">
        <v>1.7100000000000002</v>
      </c>
      <c r="K20" s="97" t="s">
        <v>170</v>
      </c>
      <c r="L20" s="98">
        <v>0.06</v>
      </c>
      <c r="M20" s="95">
        <v>-7.000000000000001E-4</v>
      </c>
      <c r="N20" s="94">
        <v>112491858</v>
      </c>
      <c r="O20" s="96">
        <v>120.61</v>
      </c>
      <c r="P20" s="94">
        <v>135676.42475999999</v>
      </c>
      <c r="Q20" s="95">
        <v>3.0397053257104248E-2</v>
      </c>
      <c r="R20" s="95">
        <f t="shared" si="0"/>
        <v>0.13524382469550253</v>
      </c>
      <c r="S20" s="95">
        <f>P20/'סכום נכסי הקרן'!$C$42</f>
        <v>2.3349787501365719E-3</v>
      </c>
    </row>
    <row r="21" spans="2:19" s="132" customFormat="1">
      <c r="B21" s="112" t="s">
        <v>2125</v>
      </c>
      <c r="C21" s="84" t="s">
        <v>2126</v>
      </c>
      <c r="D21" s="97" t="s">
        <v>2111</v>
      </c>
      <c r="E21" s="84" t="s">
        <v>2127</v>
      </c>
      <c r="F21" s="97" t="s">
        <v>164</v>
      </c>
      <c r="G21" s="84" t="s">
        <v>465</v>
      </c>
      <c r="H21" s="84" t="s">
        <v>168</v>
      </c>
      <c r="I21" s="107">
        <v>38495</v>
      </c>
      <c r="J21" s="96">
        <v>0.37</v>
      </c>
      <c r="K21" s="97" t="s">
        <v>170</v>
      </c>
      <c r="L21" s="98">
        <v>4.9500000000000002E-2</v>
      </c>
      <c r="M21" s="95">
        <v>-1.0999999999999998E-3</v>
      </c>
      <c r="N21" s="94">
        <v>212157.37</v>
      </c>
      <c r="O21" s="96">
        <v>126.55</v>
      </c>
      <c r="P21" s="94">
        <v>268.48515000000003</v>
      </c>
      <c r="Q21" s="95">
        <v>5.5987962544390988E-3</v>
      </c>
      <c r="R21" s="95">
        <f t="shared" si="0"/>
        <v>2.6762909344181708E-4</v>
      </c>
      <c r="S21" s="95">
        <f>P21/'סכום נכסי הקרן'!$C$42</f>
        <v>4.6206046561602377E-6</v>
      </c>
    </row>
    <row r="22" spans="2:19" s="132" customFormat="1">
      <c r="B22" s="112" t="s">
        <v>2128</v>
      </c>
      <c r="C22" s="84" t="s">
        <v>2129</v>
      </c>
      <c r="D22" s="97" t="s">
        <v>2111</v>
      </c>
      <c r="E22" s="84" t="s">
        <v>405</v>
      </c>
      <c r="F22" s="97" t="s">
        <v>365</v>
      </c>
      <c r="G22" s="84" t="s">
        <v>541</v>
      </c>
      <c r="H22" s="84" t="s">
        <v>361</v>
      </c>
      <c r="I22" s="107">
        <v>39656</v>
      </c>
      <c r="J22" s="96">
        <v>2.6399999999999997</v>
      </c>
      <c r="K22" s="97" t="s">
        <v>170</v>
      </c>
      <c r="L22" s="98">
        <v>5.7500000000000002E-2</v>
      </c>
      <c r="M22" s="95">
        <v>-5.0000000000000001E-3</v>
      </c>
      <c r="N22" s="94">
        <v>93899674</v>
      </c>
      <c r="O22" s="96">
        <v>141.16</v>
      </c>
      <c r="P22" s="94">
        <v>132548.78333000001</v>
      </c>
      <c r="Q22" s="95">
        <v>7.2119565284178191E-2</v>
      </c>
      <c r="R22" s="95">
        <f t="shared" si="0"/>
        <v>0.13212615565301744</v>
      </c>
      <c r="S22" s="95">
        <f>P22/'סכום נכסי הקרן'!$C$42</f>
        <v>2.2811523297395493E-3</v>
      </c>
    </row>
    <row r="23" spans="2:19" s="132" customFormat="1">
      <c r="B23" s="112" t="s">
        <v>2130</v>
      </c>
      <c r="C23" s="84" t="s">
        <v>2131</v>
      </c>
      <c r="D23" s="97" t="s">
        <v>2111</v>
      </c>
      <c r="E23" s="84"/>
      <c r="F23" s="97" t="s">
        <v>427</v>
      </c>
      <c r="G23" s="84" t="s">
        <v>709</v>
      </c>
      <c r="H23" s="84" t="s">
        <v>361</v>
      </c>
      <c r="I23" s="107">
        <v>38445</v>
      </c>
      <c r="J23" s="96">
        <v>0.62000000000000011</v>
      </c>
      <c r="K23" s="97" t="s">
        <v>170</v>
      </c>
      <c r="L23" s="98">
        <v>6.7000000000000004E-2</v>
      </c>
      <c r="M23" s="95">
        <v>2.12E-2</v>
      </c>
      <c r="N23" s="94">
        <v>1001651.54</v>
      </c>
      <c r="O23" s="96">
        <v>130.41999999999999</v>
      </c>
      <c r="P23" s="94">
        <v>1306.3538799999999</v>
      </c>
      <c r="Q23" s="95">
        <v>1.6744233871611468E-2</v>
      </c>
      <c r="R23" s="95">
        <f t="shared" si="0"/>
        <v>1.3021886112457252E-3</v>
      </c>
      <c r="S23" s="95">
        <f>P23/'סכום נכסי הקרן'!$C$42</f>
        <v>2.2482229726750216E-5</v>
      </c>
    </row>
    <row r="24" spans="2:19" s="132" customFormat="1">
      <c r="B24" s="112" t="s">
        <v>2132</v>
      </c>
      <c r="C24" s="84" t="s">
        <v>2133</v>
      </c>
      <c r="D24" s="97" t="s">
        <v>2111</v>
      </c>
      <c r="E24" s="84"/>
      <c r="F24" s="97" t="s">
        <v>427</v>
      </c>
      <c r="G24" s="84" t="s">
        <v>709</v>
      </c>
      <c r="H24" s="84" t="s">
        <v>361</v>
      </c>
      <c r="I24" s="107">
        <v>38890</v>
      </c>
      <c r="J24" s="96">
        <v>0.75</v>
      </c>
      <c r="K24" s="97" t="s">
        <v>170</v>
      </c>
      <c r="L24" s="98">
        <v>6.7000000000000004E-2</v>
      </c>
      <c r="M24" s="95">
        <v>1.9199999999999998E-2</v>
      </c>
      <c r="N24" s="94">
        <v>727029.99</v>
      </c>
      <c r="O24" s="96">
        <v>130.63</v>
      </c>
      <c r="P24" s="94">
        <v>949.71927000000005</v>
      </c>
      <c r="Q24" s="95">
        <v>2.5120251418812398E-2</v>
      </c>
      <c r="R24" s="95">
        <f t="shared" si="0"/>
        <v>9.4669111961806561E-4</v>
      </c>
      <c r="S24" s="95">
        <f>P24/'סכום נכסי הקרן'!$C$42</f>
        <v>1.6344580998267879E-5</v>
      </c>
    </row>
    <row r="25" spans="2:19" s="132" customFormat="1">
      <c r="B25" s="112" t="s">
        <v>2134</v>
      </c>
      <c r="C25" s="84" t="s">
        <v>2135</v>
      </c>
      <c r="D25" s="97" t="s">
        <v>2111</v>
      </c>
      <c r="E25" s="84"/>
      <c r="F25" s="97" t="s">
        <v>427</v>
      </c>
      <c r="G25" s="84" t="s">
        <v>709</v>
      </c>
      <c r="H25" s="84" t="s">
        <v>361</v>
      </c>
      <c r="I25" s="107">
        <v>38376</v>
      </c>
      <c r="J25" s="96">
        <v>0.56000000000000005</v>
      </c>
      <c r="K25" s="97" t="s">
        <v>170</v>
      </c>
      <c r="L25" s="98">
        <v>7.0000000000000007E-2</v>
      </c>
      <c r="M25" s="95">
        <v>1.78E-2</v>
      </c>
      <c r="N25" s="94">
        <v>521601.06</v>
      </c>
      <c r="O25" s="96">
        <v>129.56</v>
      </c>
      <c r="P25" s="94">
        <v>675.78634</v>
      </c>
      <c r="Q25" s="95">
        <v>1.8117769080540719E-2</v>
      </c>
      <c r="R25" s="95">
        <f t="shared" si="0"/>
        <v>6.7363161625350054E-4</v>
      </c>
      <c r="S25" s="95">
        <f>P25/'סכום נכסי הקרן'!$C$42</f>
        <v>1.1630220551019246E-5</v>
      </c>
    </row>
    <row r="26" spans="2:19" s="132" customFormat="1">
      <c r="B26" s="112" t="s">
        <v>2136</v>
      </c>
      <c r="C26" s="84" t="s">
        <v>2137</v>
      </c>
      <c r="D26" s="97" t="s">
        <v>2111</v>
      </c>
      <c r="E26" s="84" t="s">
        <v>2138</v>
      </c>
      <c r="F26" s="97" t="s">
        <v>715</v>
      </c>
      <c r="G26" s="84" t="s">
        <v>942</v>
      </c>
      <c r="H26" s="84"/>
      <c r="I26" s="107">
        <v>39104</v>
      </c>
      <c r="J26" s="96">
        <v>0.92999999999999994</v>
      </c>
      <c r="K26" s="97" t="s">
        <v>170</v>
      </c>
      <c r="L26" s="98">
        <v>5.5999999999999994E-2</v>
      </c>
      <c r="M26" s="95">
        <v>0.8649</v>
      </c>
      <c r="N26" s="94">
        <v>2928795.91</v>
      </c>
      <c r="O26" s="96">
        <v>62.26</v>
      </c>
      <c r="P26" s="94">
        <v>1823.4676999999999</v>
      </c>
      <c r="Q26" s="95">
        <v>4.6341703623783885E-3</v>
      </c>
      <c r="R26" s="95">
        <f t="shared" si="0"/>
        <v>1.8176536298988425E-3</v>
      </c>
      <c r="S26" s="95">
        <f>P26/'סכום נכסי הקרן'!$C$42</f>
        <v>3.1381710850591914E-5</v>
      </c>
    </row>
    <row r="27" spans="2:19" s="132" customFormat="1">
      <c r="B27" s="113"/>
      <c r="C27" s="84"/>
      <c r="D27" s="84"/>
      <c r="E27" s="84"/>
      <c r="F27" s="84"/>
      <c r="G27" s="84"/>
      <c r="H27" s="84"/>
      <c r="I27" s="84"/>
      <c r="J27" s="96"/>
      <c r="K27" s="84"/>
      <c r="L27" s="84"/>
      <c r="M27" s="95"/>
      <c r="N27" s="94"/>
      <c r="O27" s="96"/>
      <c r="P27" s="84"/>
      <c r="Q27" s="84"/>
      <c r="R27" s="95"/>
      <c r="S27" s="84"/>
    </row>
    <row r="28" spans="2:19" s="132" customFormat="1">
      <c r="B28" s="111" t="s">
        <v>66</v>
      </c>
      <c r="C28" s="82"/>
      <c r="D28" s="82"/>
      <c r="E28" s="82"/>
      <c r="F28" s="82"/>
      <c r="G28" s="82"/>
      <c r="H28" s="82"/>
      <c r="I28" s="82"/>
      <c r="J28" s="93">
        <v>4.2906940950558257</v>
      </c>
      <c r="K28" s="82"/>
      <c r="L28" s="82"/>
      <c r="M28" s="92">
        <v>1.4468284668479922E-2</v>
      </c>
      <c r="N28" s="91"/>
      <c r="O28" s="93"/>
      <c r="P28" s="91">
        <v>247199.10141999999</v>
      </c>
      <c r="Q28" s="82"/>
      <c r="R28" s="92">
        <f t="shared" ref="R28:R34" si="1">P28/$P$11</f>
        <v>0.2464109147662967</v>
      </c>
      <c r="S28" s="92">
        <f>P28/'סכום נכסי הקרן'!$C$42</f>
        <v>4.2542737243377472E-3</v>
      </c>
    </row>
    <row r="29" spans="2:19" s="132" customFormat="1">
      <c r="B29" s="112" t="s">
        <v>2139</v>
      </c>
      <c r="C29" s="84" t="s">
        <v>2140</v>
      </c>
      <c r="D29" s="97" t="s">
        <v>2111</v>
      </c>
      <c r="E29" s="84" t="s">
        <v>2116</v>
      </c>
      <c r="F29" s="97" t="s">
        <v>1227</v>
      </c>
      <c r="G29" s="84" t="s">
        <v>373</v>
      </c>
      <c r="H29" s="84" t="s">
        <v>168</v>
      </c>
      <c r="I29" s="107">
        <v>42796</v>
      </c>
      <c r="J29" s="96">
        <v>6.81</v>
      </c>
      <c r="K29" s="97" t="s">
        <v>170</v>
      </c>
      <c r="L29" s="98">
        <v>3.7400000000000003E-2</v>
      </c>
      <c r="M29" s="95">
        <v>1.7200000000000003E-2</v>
      </c>
      <c r="N29" s="94">
        <v>53916041</v>
      </c>
      <c r="O29" s="96">
        <v>115.39</v>
      </c>
      <c r="P29" s="94">
        <v>62213.720909999996</v>
      </c>
      <c r="Q29" s="95">
        <v>0.10467955259407678</v>
      </c>
      <c r="R29" s="95">
        <f t="shared" si="1"/>
        <v>6.2015354394034515E-2</v>
      </c>
      <c r="S29" s="95">
        <f>P29/'סכום נכסי הקרן'!$C$42</f>
        <v>1.0706923958878152E-3</v>
      </c>
    </row>
    <row r="30" spans="2:19" s="132" customFormat="1">
      <c r="B30" s="112" t="s">
        <v>2141</v>
      </c>
      <c r="C30" s="84" t="s">
        <v>2142</v>
      </c>
      <c r="D30" s="97" t="s">
        <v>2111</v>
      </c>
      <c r="E30" s="84" t="s">
        <v>2116</v>
      </c>
      <c r="F30" s="97" t="s">
        <v>1227</v>
      </c>
      <c r="G30" s="84" t="s">
        <v>373</v>
      </c>
      <c r="H30" s="84" t="s">
        <v>168</v>
      </c>
      <c r="I30" s="107">
        <v>42796</v>
      </c>
      <c r="J30" s="96">
        <v>3.0900000000000003</v>
      </c>
      <c r="K30" s="97" t="s">
        <v>170</v>
      </c>
      <c r="L30" s="98">
        <v>2.5000000000000001E-2</v>
      </c>
      <c r="M30" s="95">
        <v>1.0500000000000001E-2</v>
      </c>
      <c r="N30" s="94">
        <v>72448686</v>
      </c>
      <c r="O30" s="96">
        <v>105.26</v>
      </c>
      <c r="P30" s="94">
        <v>76259.487689999994</v>
      </c>
      <c r="Q30" s="95">
        <v>9.9888440030001538E-2</v>
      </c>
      <c r="R30" s="95">
        <f t="shared" si="1"/>
        <v>7.6016336683098137E-2</v>
      </c>
      <c r="S30" s="95">
        <f>P30/'סכום נכסי הקרן'!$C$42</f>
        <v>1.3124187460528385E-3</v>
      </c>
    </row>
    <row r="31" spans="2:19" s="132" customFormat="1">
      <c r="B31" s="112" t="s">
        <v>2143</v>
      </c>
      <c r="C31" s="84" t="s">
        <v>2144</v>
      </c>
      <c r="D31" s="97" t="s">
        <v>2111</v>
      </c>
      <c r="E31" s="84" t="s">
        <v>2145</v>
      </c>
      <c r="F31" s="97" t="s">
        <v>427</v>
      </c>
      <c r="G31" s="84" t="s">
        <v>465</v>
      </c>
      <c r="H31" s="84" t="s">
        <v>168</v>
      </c>
      <c r="I31" s="107">
        <v>42598</v>
      </c>
      <c r="J31" s="96">
        <v>4.9499999999999993</v>
      </c>
      <c r="K31" s="97" t="s">
        <v>170</v>
      </c>
      <c r="L31" s="98">
        <v>3.1E-2</v>
      </c>
      <c r="M31" s="95">
        <v>1.61E-2</v>
      </c>
      <c r="N31" s="94">
        <v>39651929.140000001</v>
      </c>
      <c r="O31" s="96">
        <v>107.58</v>
      </c>
      <c r="P31" s="94">
        <v>42657.54537</v>
      </c>
      <c r="Q31" s="95">
        <v>5.9132951541949419E-2</v>
      </c>
      <c r="R31" s="95">
        <f t="shared" si="1"/>
        <v>4.2521533112078194E-2</v>
      </c>
      <c r="S31" s="95">
        <f>P31/'סכום נכסי הקרן'!$C$42</f>
        <v>7.3413241945406867E-4</v>
      </c>
    </row>
    <row r="32" spans="2:19" s="132" customFormat="1">
      <c r="B32" s="112" t="s">
        <v>2146</v>
      </c>
      <c r="C32" s="84" t="s">
        <v>2147</v>
      </c>
      <c r="D32" s="97" t="s">
        <v>2111</v>
      </c>
      <c r="E32" s="84" t="s">
        <v>2148</v>
      </c>
      <c r="F32" s="97" t="s">
        <v>165</v>
      </c>
      <c r="G32" s="84" t="s">
        <v>549</v>
      </c>
      <c r="H32" s="84" t="s">
        <v>168</v>
      </c>
      <c r="I32" s="107">
        <v>43741</v>
      </c>
      <c r="J32" s="96">
        <v>1.73</v>
      </c>
      <c r="K32" s="97" t="s">
        <v>170</v>
      </c>
      <c r="L32" s="98">
        <v>1.34E-2</v>
      </c>
      <c r="M32" s="95">
        <v>1.23E-2</v>
      </c>
      <c r="N32" s="94">
        <v>34477000</v>
      </c>
      <c r="O32" s="96">
        <v>100.51</v>
      </c>
      <c r="P32" s="94">
        <v>34652.832600000002</v>
      </c>
      <c r="Q32" s="95">
        <v>6.8954000000000001E-2</v>
      </c>
      <c r="R32" s="95">
        <f t="shared" si="1"/>
        <v>3.4542343120016299E-2</v>
      </c>
      <c r="S32" s="95">
        <f>P32/'סכום נכסי הקרן'!$C$42</f>
        <v>5.9637205134325405E-4</v>
      </c>
    </row>
    <row r="33" spans="2:19" s="132" customFormat="1">
      <c r="B33" s="112" t="s">
        <v>2149</v>
      </c>
      <c r="C33" s="84" t="s">
        <v>2150</v>
      </c>
      <c r="D33" s="97" t="s">
        <v>2111</v>
      </c>
      <c r="E33" s="84" t="s">
        <v>2151</v>
      </c>
      <c r="F33" s="97" t="s">
        <v>427</v>
      </c>
      <c r="G33" s="84" t="s">
        <v>644</v>
      </c>
      <c r="H33" s="84" t="s">
        <v>361</v>
      </c>
      <c r="I33" s="107">
        <v>43312</v>
      </c>
      <c r="J33" s="96">
        <v>4.29</v>
      </c>
      <c r="K33" s="97" t="s">
        <v>170</v>
      </c>
      <c r="L33" s="98">
        <v>3.5499999999999997E-2</v>
      </c>
      <c r="M33" s="95">
        <v>1.9099999999999999E-2</v>
      </c>
      <c r="N33" s="94">
        <v>27997440</v>
      </c>
      <c r="O33" s="96">
        <v>107.19</v>
      </c>
      <c r="P33" s="94">
        <v>30010.45594</v>
      </c>
      <c r="Q33" s="95">
        <v>9.1137499999999996E-2</v>
      </c>
      <c r="R33" s="95">
        <f t="shared" si="1"/>
        <v>2.9914768533744952E-2</v>
      </c>
      <c r="S33" s="95">
        <f>P33/'סכום נכסי הקרן'!$C$42</f>
        <v>5.1647717741504749E-4</v>
      </c>
    </row>
    <row r="34" spans="2:19" s="132" customFormat="1">
      <c r="B34" s="112" t="s">
        <v>2152</v>
      </c>
      <c r="C34" s="84" t="s">
        <v>2153</v>
      </c>
      <c r="D34" s="97" t="s">
        <v>2111</v>
      </c>
      <c r="E34" s="84" t="s">
        <v>2154</v>
      </c>
      <c r="F34" s="97" t="s">
        <v>427</v>
      </c>
      <c r="G34" s="84" t="s">
        <v>700</v>
      </c>
      <c r="H34" s="84" t="s">
        <v>168</v>
      </c>
      <c r="I34" s="107">
        <v>41903</v>
      </c>
      <c r="J34" s="96">
        <v>1.06</v>
      </c>
      <c r="K34" s="97" t="s">
        <v>170</v>
      </c>
      <c r="L34" s="98">
        <v>5.1500000000000004E-2</v>
      </c>
      <c r="M34" s="95">
        <v>1.3900000000000001E-2</v>
      </c>
      <c r="N34" s="94">
        <v>1323529.46</v>
      </c>
      <c r="O34" s="96">
        <v>106.16</v>
      </c>
      <c r="P34" s="94">
        <v>1405.05891</v>
      </c>
      <c r="Q34" s="95">
        <v>5.2941114870662151E-2</v>
      </c>
      <c r="R34" s="95">
        <f t="shared" si="1"/>
        <v>1.4005789233246144E-3</v>
      </c>
      <c r="S34" s="95">
        <f>P34/'סכום נכסי הקרן'!$C$42</f>
        <v>2.4180934184722796E-5</v>
      </c>
    </row>
    <row r="35" spans="2:19" s="132" customFormat="1">
      <c r="B35" s="113"/>
      <c r="C35" s="84"/>
      <c r="D35" s="84"/>
      <c r="E35" s="84"/>
      <c r="F35" s="84"/>
      <c r="G35" s="84"/>
      <c r="H35" s="84"/>
      <c r="I35" s="84"/>
      <c r="J35" s="96"/>
      <c r="K35" s="84"/>
      <c r="L35" s="84"/>
      <c r="M35" s="95"/>
      <c r="N35" s="94"/>
      <c r="O35" s="96"/>
      <c r="P35" s="84"/>
      <c r="Q35" s="84"/>
      <c r="R35" s="95"/>
      <c r="S35" s="84"/>
    </row>
    <row r="36" spans="2:19" s="132" customFormat="1">
      <c r="B36" s="111" t="s">
        <v>51</v>
      </c>
      <c r="C36" s="82"/>
      <c r="D36" s="82"/>
      <c r="E36" s="82"/>
      <c r="F36" s="82"/>
      <c r="G36" s="82"/>
      <c r="H36" s="82"/>
      <c r="I36" s="82"/>
      <c r="J36" s="93">
        <v>2.3145783342801955</v>
      </c>
      <c r="K36" s="82"/>
      <c r="L36" s="82"/>
      <c r="M36" s="92">
        <v>3.7523249928119333E-2</v>
      </c>
      <c r="N36" s="91"/>
      <c r="O36" s="93"/>
      <c r="P36" s="91">
        <v>54049.484650000006</v>
      </c>
      <c r="Q36" s="82"/>
      <c r="R36" s="92">
        <f t="shared" ref="R36:R40" si="2">P36/$P$11</f>
        <v>5.387714954766365E-2</v>
      </c>
      <c r="S36" s="92">
        <f>P36/'סכום נכסי הקרן'!$C$42</f>
        <v>9.3018664323464919E-4</v>
      </c>
    </row>
    <row r="37" spans="2:19" s="132" customFormat="1">
      <c r="B37" s="112" t="s">
        <v>2155</v>
      </c>
      <c r="C37" s="84" t="s">
        <v>2156</v>
      </c>
      <c r="D37" s="97" t="s">
        <v>2111</v>
      </c>
      <c r="E37" s="84" t="s">
        <v>2157</v>
      </c>
      <c r="F37" s="97" t="s">
        <v>715</v>
      </c>
      <c r="G37" s="84" t="s">
        <v>465</v>
      </c>
      <c r="H37" s="84" t="s">
        <v>168</v>
      </c>
      <c r="I37" s="107">
        <v>38421</v>
      </c>
      <c r="J37" s="96">
        <v>3.91</v>
      </c>
      <c r="K37" s="97" t="s">
        <v>169</v>
      </c>
      <c r="L37" s="98">
        <v>7.9699999999999993E-2</v>
      </c>
      <c r="M37" s="95">
        <v>2.06E-2</v>
      </c>
      <c r="N37" s="94">
        <v>518442.31</v>
      </c>
      <c r="O37" s="96">
        <v>124.35</v>
      </c>
      <c r="P37" s="94">
        <v>2228.02448</v>
      </c>
      <c r="Q37" s="95">
        <v>6.9174539431766857E-3</v>
      </c>
      <c r="R37" s="95">
        <f t="shared" si="2"/>
        <v>2.2209204931765347E-3</v>
      </c>
      <c r="S37" s="95">
        <f>P37/'סכום נכסי הקרן'!$C$42</f>
        <v>3.8344095702600275E-5</v>
      </c>
    </row>
    <row r="38" spans="2:19" s="132" customFormat="1">
      <c r="B38" s="112" t="s">
        <v>2158</v>
      </c>
      <c r="C38" s="84" t="s">
        <v>2159</v>
      </c>
      <c r="D38" s="97" t="s">
        <v>2111</v>
      </c>
      <c r="E38" s="84" t="s">
        <v>1140</v>
      </c>
      <c r="F38" s="97" t="s">
        <v>196</v>
      </c>
      <c r="G38" s="84" t="s">
        <v>541</v>
      </c>
      <c r="H38" s="84" t="s">
        <v>361</v>
      </c>
      <c r="I38" s="107">
        <v>42954</v>
      </c>
      <c r="J38" s="96">
        <v>0.7</v>
      </c>
      <c r="K38" s="97" t="s">
        <v>169</v>
      </c>
      <c r="L38" s="98">
        <v>3.7000000000000005E-2</v>
      </c>
      <c r="M38" s="95">
        <v>2.86E-2</v>
      </c>
      <c r="N38" s="94">
        <v>2222278</v>
      </c>
      <c r="O38" s="96">
        <v>101.67</v>
      </c>
      <c r="P38" s="94">
        <v>7808.4523200000003</v>
      </c>
      <c r="Q38" s="95">
        <v>3.3067644783048626E-2</v>
      </c>
      <c r="R38" s="95">
        <f t="shared" si="2"/>
        <v>7.783555312408352E-3</v>
      </c>
      <c r="S38" s="95">
        <f>P38/'סכום נכסי הקרן'!$C$42</f>
        <v>1.3438274387688557E-4</v>
      </c>
    </row>
    <row r="39" spans="2:19" s="132" customFormat="1">
      <c r="B39" s="112" t="s">
        <v>2160</v>
      </c>
      <c r="C39" s="84" t="s">
        <v>2161</v>
      </c>
      <c r="D39" s="97" t="s">
        <v>2111</v>
      </c>
      <c r="E39" s="84" t="s">
        <v>1140</v>
      </c>
      <c r="F39" s="97" t="s">
        <v>196</v>
      </c>
      <c r="G39" s="84" t="s">
        <v>541</v>
      </c>
      <c r="H39" s="84" t="s">
        <v>361</v>
      </c>
      <c r="I39" s="107">
        <v>42625</v>
      </c>
      <c r="J39" s="96">
        <v>2.5500000000000003</v>
      </c>
      <c r="K39" s="97" t="s">
        <v>169</v>
      </c>
      <c r="L39" s="98">
        <v>4.4500000000000005E-2</v>
      </c>
      <c r="M39" s="95">
        <v>3.7599999999999995E-2</v>
      </c>
      <c r="N39" s="94">
        <v>12099424</v>
      </c>
      <c r="O39" s="96">
        <v>103.14</v>
      </c>
      <c r="P39" s="94">
        <v>43128.618520000004</v>
      </c>
      <c r="Q39" s="95">
        <v>8.8234402508817464E-2</v>
      </c>
      <c r="R39" s="95">
        <f t="shared" si="2"/>
        <v>4.2991104259976994E-2</v>
      </c>
      <c r="S39" s="95">
        <f>P39/'סכום נכסי הקרן'!$C$42</f>
        <v>7.4223954489576296E-4</v>
      </c>
    </row>
    <row r="40" spans="2:19" s="132" customFormat="1">
      <c r="B40" s="112" t="s">
        <v>2162</v>
      </c>
      <c r="C40" s="84" t="s">
        <v>2163</v>
      </c>
      <c r="D40" s="97" t="s">
        <v>2111</v>
      </c>
      <c r="E40" s="84" t="s">
        <v>2164</v>
      </c>
      <c r="F40" s="97" t="s">
        <v>164</v>
      </c>
      <c r="G40" s="84" t="s">
        <v>942</v>
      </c>
      <c r="H40" s="84"/>
      <c r="I40" s="107">
        <v>41840</v>
      </c>
      <c r="J40" s="96">
        <v>1.07</v>
      </c>
      <c r="K40" s="97" t="s">
        <v>169</v>
      </c>
      <c r="L40" s="98">
        <v>4.7100000000000003E-2</v>
      </c>
      <c r="M40" s="95">
        <v>0.15519999999999998</v>
      </c>
      <c r="N40" s="94">
        <v>283912.28999999998</v>
      </c>
      <c r="O40" s="96">
        <v>90.12</v>
      </c>
      <c r="P40" s="94">
        <v>884.38932999999997</v>
      </c>
      <c r="Q40" s="95">
        <v>1.8160392242374899E-2</v>
      </c>
      <c r="R40" s="95">
        <f t="shared" si="2"/>
        <v>8.8156948210176976E-4</v>
      </c>
      <c r="S40" s="95">
        <f>P40/'סכום נכסי הקרן'!$C$42</f>
        <v>1.5220258759400407E-5</v>
      </c>
    </row>
    <row r="41" spans="2:19" s="132" customFormat="1">
      <c r="B41" s="113"/>
      <c r="C41" s="84"/>
      <c r="D41" s="84"/>
      <c r="E41" s="84"/>
      <c r="F41" s="84"/>
      <c r="G41" s="84"/>
      <c r="H41" s="84"/>
      <c r="I41" s="84"/>
      <c r="J41" s="96"/>
      <c r="K41" s="84"/>
      <c r="L41" s="84"/>
      <c r="M41" s="95"/>
      <c r="N41" s="94"/>
      <c r="O41" s="96"/>
      <c r="P41" s="84"/>
      <c r="Q41" s="84"/>
      <c r="R41" s="95"/>
      <c r="S41" s="84"/>
    </row>
    <row r="42" spans="2:19" s="132" customFormat="1">
      <c r="B42" s="110" t="s">
        <v>242</v>
      </c>
      <c r="C42" s="82"/>
      <c r="D42" s="82"/>
      <c r="E42" s="82"/>
      <c r="F42" s="82"/>
      <c r="G42" s="82"/>
      <c r="H42" s="82"/>
      <c r="I42" s="82"/>
      <c r="J42" s="93">
        <v>10.632830207957095</v>
      </c>
      <c r="K42" s="82"/>
      <c r="L42" s="82"/>
      <c r="M42" s="92">
        <v>3.9678294350781941E-2</v>
      </c>
      <c r="N42" s="91"/>
      <c r="O42" s="93"/>
      <c r="P42" s="91">
        <v>62526.936529999999</v>
      </c>
      <c r="Q42" s="82"/>
      <c r="R42" s="92">
        <f t="shared" ref="R42:R46" si="3">P42/$P$11</f>
        <v>6.2327571335762645E-2</v>
      </c>
      <c r="S42" s="92">
        <f>P42/'סכום נכסי הקרן'!$C$42</f>
        <v>1.0760828078050261E-3</v>
      </c>
    </row>
    <row r="43" spans="2:19" s="132" customFormat="1">
      <c r="B43" s="111" t="s">
        <v>73</v>
      </c>
      <c r="C43" s="82"/>
      <c r="D43" s="82"/>
      <c r="E43" s="82"/>
      <c r="F43" s="82"/>
      <c r="G43" s="82"/>
      <c r="H43" s="82"/>
      <c r="I43" s="82"/>
      <c r="J43" s="93">
        <v>10.632830207957095</v>
      </c>
      <c r="K43" s="82"/>
      <c r="L43" s="82"/>
      <c r="M43" s="92">
        <v>3.9678294350781941E-2</v>
      </c>
      <c r="N43" s="91"/>
      <c r="O43" s="93"/>
      <c r="P43" s="91">
        <v>62526.936529999999</v>
      </c>
      <c r="Q43" s="82"/>
      <c r="R43" s="92">
        <f t="shared" si="3"/>
        <v>6.2327571335762645E-2</v>
      </c>
      <c r="S43" s="92">
        <f>P43/'סכום נכסי הקרן'!$C$42</f>
        <v>1.0760828078050261E-3</v>
      </c>
    </row>
    <row r="44" spans="2:19" s="132" customFormat="1">
      <c r="B44" s="112" t="s">
        <v>2165</v>
      </c>
      <c r="C44" s="84">
        <v>4824</v>
      </c>
      <c r="D44" s="97" t="s">
        <v>2111</v>
      </c>
      <c r="E44" s="84"/>
      <c r="F44" s="97" t="s">
        <v>983</v>
      </c>
      <c r="G44" s="84" t="s">
        <v>960</v>
      </c>
      <c r="H44" s="84" t="s">
        <v>961</v>
      </c>
      <c r="I44" s="107">
        <v>42825</v>
      </c>
      <c r="J44" s="96">
        <v>16.820000000000004</v>
      </c>
      <c r="K44" s="97" t="s">
        <v>178</v>
      </c>
      <c r="L44" s="98">
        <v>4.555E-2</v>
      </c>
      <c r="M44" s="95">
        <v>4.6199999999999998E-2</v>
      </c>
      <c r="N44" s="94">
        <v>8688000</v>
      </c>
      <c r="O44" s="96">
        <v>100.81</v>
      </c>
      <c r="P44" s="94">
        <v>23240.341629999999</v>
      </c>
      <c r="Q44" s="95">
        <v>5.2155433758156788E-2</v>
      </c>
      <c r="R44" s="95">
        <f t="shared" si="3"/>
        <v>2.3166240522855808E-2</v>
      </c>
      <c r="S44" s="95">
        <f>P44/'סכום נכסי הקרן'!$C$42</f>
        <v>3.9996413487424756E-4</v>
      </c>
    </row>
    <row r="45" spans="2:19" s="132" customFormat="1">
      <c r="B45" s="112" t="s">
        <v>2166</v>
      </c>
      <c r="C45" s="84">
        <v>4279</v>
      </c>
      <c r="D45" s="97" t="s">
        <v>2111</v>
      </c>
      <c r="E45" s="84"/>
      <c r="F45" s="97" t="s">
        <v>924</v>
      </c>
      <c r="G45" s="84" t="s">
        <v>925</v>
      </c>
      <c r="H45" s="84" t="s">
        <v>932</v>
      </c>
      <c r="I45" s="107">
        <v>43465</v>
      </c>
      <c r="J45" s="96">
        <v>1.8300000000000003</v>
      </c>
      <c r="K45" s="97" t="s">
        <v>169</v>
      </c>
      <c r="L45" s="98">
        <v>0.06</v>
      </c>
      <c r="M45" s="95">
        <v>3.2600000000000004E-2</v>
      </c>
      <c r="N45" s="94">
        <v>5460659.1600000001</v>
      </c>
      <c r="O45" s="96">
        <v>106.6</v>
      </c>
      <c r="P45" s="94">
        <v>20117.592559999997</v>
      </c>
      <c r="Q45" s="95">
        <v>6.6189808000000003E-3</v>
      </c>
      <c r="R45" s="95">
        <f t="shared" si="3"/>
        <v>2.0053448241232869E-2</v>
      </c>
      <c r="S45" s="95">
        <f>P45/'סכום נכסי הקרן'!$C$42</f>
        <v>3.4622191154136655E-4</v>
      </c>
    </row>
    <row r="46" spans="2:19" s="132" customFormat="1">
      <c r="B46" s="112" t="s">
        <v>2167</v>
      </c>
      <c r="C46" s="84">
        <v>5168</v>
      </c>
      <c r="D46" s="97" t="s">
        <v>2111</v>
      </c>
      <c r="E46" s="84"/>
      <c r="F46" s="97" t="s">
        <v>983</v>
      </c>
      <c r="G46" s="84" t="s">
        <v>942</v>
      </c>
      <c r="H46" s="84"/>
      <c r="I46" s="107">
        <v>43465</v>
      </c>
      <c r="J46" s="96">
        <v>12.370000000000001</v>
      </c>
      <c r="K46" s="97" t="s">
        <v>178</v>
      </c>
      <c r="L46" s="98">
        <v>3.9510000000000003E-2</v>
      </c>
      <c r="M46" s="95">
        <v>3.9200000000000006E-2</v>
      </c>
      <c r="N46" s="94">
        <v>7166000</v>
      </c>
      <c r="O46" s="96">
        <v>100.81</v>
      </c>
      <c r="P46" s="94">
        <v>19169.002339999999</v>
      </c>
      <c r="Q46" s="95">
        <v>1.8162601667228492E-2</v>
      </c>
      <c r="R46" s="95">
        <f t="shared" si="3"/>
        <v>1.9107882571673961E-2</v>
      </c>
      <c r="S46" s="95">
        <f>P46/'סכום נכסי הקרן'!$C$42</f>
        <v>3.2989676138941195E-4</v>
      </c>
    </row>
    <row r="47" spans="2:19" s="132" customFormat="1">
      <c r="B47" s="131"/>
    </row>
    <row r="48" spans="2:19" s="132" customFormat="1">
      <c r="B48" s="131"/>
    </row>
    <row r="49" spans="2:2" s="132" customFormat="1">
      <c r="B49" s="131"/>
    </row>
    <row r="50" spans="2:2" s="132" customFormat="1">
      <c r="B50" s="138" t="s">
        <v>265</v>
      </c>
    </row>
    <row r="51" spans="2:2" s="132" customFormat="1">
      <c r="B51" s="138" t="s">
        <v>120</v>
      </c>
    </row>
    <row r="52" spans="2:2" s="132" customFormat="1">
      <c r="B52" s="138" t="s">
        <v>247</v>
      </c>
    </row>
    <row r="53" spans="2:2" s="132" customFormat="1">
      <c r="B53" s="138" t="s">
        <v>255</v>
      </c>
    </row>
    <row r="54" spans="2:2" s="132" customFormat="1">
      <c r="B54" s="131"/>
    </row>
    <row r="55" spans="2:2" s="132" customFormat="1">
      <c r="B55" s="131"/>
    </row>
    <row r="56" spans="2:2" s="132" customFormat="1">
      <c r="B56" s="131"/>
    </row>
    <row r="57" spans="2:2" s="132" customFormat="1">
      <c r="B57" s="131"/>
    </row>
    <row r="58" spans="2:2" s="132" customFormat="1">
      <c r="B58" s="131"/>
    </row>
    <row r="59" spans="2:2" s="132" customFormat="1">
      <c r="B59" s="131"/>
    </row>
    <row r="60" spans="2:2" s="132" customFormat="1">
      <c r="B60" s="131"/>
    </row>
    <row r="61" spans="2:2" s="132" customFormat="1">
      <c r="B61" s="131"/>
    </row>
    <row r="62" spans="2:2" s="132" customFormat="1">
      <c r="B62" s="131"/>
    </row>
    <row r="63" spans="2:2" s="132" customFormat="1">
      <c r="B63" s="131"/>
    </row>
    <row r="64" spans="2:2" s="132" customFormat="1">
      <c r="B64" s="131"/>
    </row>
    <row r="65" spans="2:2" s="132" customFormat="1">
      <c r="B65" s="131"/>
    </row>
    <row r="66" spans="2:2" s="132" customFormat="1">
      <c r="B66" s="131"/>
    </row>
    <row r="67" spans="2:2" s="132" customFormat="1">
      <c r="B67" s="131"/>
    </row>
    <row r="68" spans="2:2" s="132" customFormat="1">
      <c r="B68" s="131"/>
    </row>
    <row r="69" spans="2:2" s="132" customFormat="1">
      <c r="B69" s="131"/>
    </row>
    <row r="70" spans="2:2" s="132" customFormat="1">
      <c r="B70" s="131"/>
    </row>
    <row r="71" spans="2:2" s="132" customFormat="1">
      <c r="B71" s="131"/>
    </row>
    <row r="72" spans="2:2" s="132" customFormat="1">
      <c r="B72" s="131"/>
    </row>
    <row r="73" spans="2:2" s="132" customFormat="1">
      <c r="B73" s="131"/>
    </row>
    <row r="74" spans="2:2" s="132" customFormat="1">
      <c r="B74" s="131"/>
    </row>
    <row r="75" spans="2:2" s="132" customFormat="1">
      <c r="B75" s="131"/>
    </row>
    <row r="76" spans="2:2" s="132" customFormat="1">
      <c r="B76" s="131"/>
    </row>
    <row r="77" spans="2:2" s="132" customFormat="1">
      <c r="B77" s="131"/>
    </row>
    <row r="78" spans="2:2" s="132" customFormat="1">
      <c r="B78" s="131"/>
    </row>
    <row r="79" spans="2:2" s="132" customFormat="1">
      <c r="B79" s="131"/>
    </row>
    <row r="80" spans="2:2" s="132" customFormat="1">
      <c r="B80" s="131"/>
    </row>
    <row r="81" spans="2:2" s="132" customFormat="1">
      <c r="B81" s="131"/>
    </row>
    <row r="82" spans="2:2" s="132" customFormat="1">
      <c r="B82" s="131"/>
    </row>
    <row r="83" spans="2:2" s="132" customFormat="1">
      <c r="B83" s="131"/>
    </row>
    <row r="84" spans="2:2" s="132" customFormat="1">
      <c r="B84" s="131"/>
    </row>
    <row r="85" spans="2:2" s="132" customFormat="1">
      <c r="B85" s="131"/>
    </row>
    <row r="86" spans="2:2" s="132" customFormat="1">
      <c r="B86" s="131"/>
    </row>
    <row r="87" spans="2:2" s="132" customFormat="1">
      <c r="B87" s="131"/>
    </row>
    <row r="88" spans="2:2" s="132" customFormat="1">
      <c r="B88" s="131"/>
    </row>
    <row r="89" spans="2:2" s="132" customFormat="1">
      <c r="B89" s="131"/>
    </row>
    <row r="90" spans="2:2" s="132" customFormat="1">
      <c r="B90" s="131"/>
    </row>
    <row r="91" spans="2:2" s="132" customFormat="1">
      <c r="B91" s="131"/>
    </row>
    <row r="92" spans="2:2" s="132" customFormat="1">
      <c r="B92" s="131"/>
    </row>
    <row r="93" spans="2:2" s="132" customFormat="1">
      <c r="B93" s="131"/>
    </row>
    <row r="94" spans="2:2" s="132" customFormat="1">
      <c r="B94" s="131"/>
    </row>
    <row r="95" spans="2:2" s="132" customFormat="1">
      <c r="B95" s="131"/>
    </row>
    <row r="96" spans="2:2" s="132" customFormat="1">
      <c r="B96" s="131"/>
    </row>
    <row r="97" spans="2:2" s="132" customFormat="1">
      <c r="B97" s="131"/>
    </row>
    <row r="98" spans="2:2" s="132" customFormat="1">
      <c r="B98" s="131"/>
    </row>
    <row r="99" spans="2:2" s="132" customFormat="1">
      <c r="B99" s="131"/>
    </row>
    <row r="100" spans="2:2" s="132" customFormat="1">
      <c r="B100" s="131"/>
    </row>
    <row r="101" spans="2:2" s="132" customFormat="1">
      <c r="B101" s="131"/>
    </row>
    <row r="102" spans="2:2" s="132" customFormat="1">
      <c r="B102" s="131"/>
    </row>
    <row r="103" spans="2:2" s="132" customFormat="1">
      <c r="B103" s="131"/>
    </row>
    <row r="104" spans="2:2" s="132" customFormat="1">
      <c r="B104" s="131"/>
    </row>
    <row r="105" spans="2:2" s="132" customFormat="1">
      <c r="B105" s="131"/>
    </row>
    <row r="106" spans="2:2" s="132" customFormat="1">
      <c r="B106" s="131"/>
    </row>
    <row r="107" spans="2:2" s="132" customFormat="1">
      <c r="B107" s="131"/>
    </row>
    <row r="108" spans="2:2" s="132" customFormat="1">
      <c r="B108" s="131"/>
    </row>
    <row r="109" spans="2:2" s="132" customFormat="1">
      <c r="B109" s="131"/>
    </row>
    <row r="110" spans="2:2" s="132" customFormat="1">
      <c r="B110" s="131"/>
    </row>
    <row r="111" spans="2:2" s="132" customFormat="1">
      <c r="B111" s="131"/>
    </row>
    <row r="112" spans="2:2" s="132" customFormat="1">
      <c r="B112" s="131"/>
    </row>
    <row r="113" spans="2:2" s="132" customFormat="1">
      <c r="B113" s="131"/>
    </row>
    <row r="114" spans="2:2" s="132" customFormat="1">
      <c r="B114" s="131"/>
    </row>
    <row r="115" spans="2:2" s="132" customFormat="1">
      <c r="B115" s="131"/>
    </row>
    <row r="116" spans="2:2" s="132" customFormat="1">
      <c r="B116" s="131"/>
    </row>
    <row r="117" spans="2:2" s="132" customFormat="1">
      <c r="B117" s="131"/>
    </row>
    <row r="118" spans="2:2" s="132" customFormat="1">
      <c r="B118" s="131"/>
    </row>
    <row r="119" spans="2:2" s="132" customFormat="1">
      <c r="B119" s="131"/>
    </row>
    <row r="120" spans="2:2" s="132" customFormat="1">
      <c r="B120" s="131"/>
    </row>
    <row r="121" spans="2:2" s="132" customFormat="1">
      <c r="B121" s="131"/>
    </row>
    <row r="122" spans="2:2" s="132" customFormat="1">
      <c r="B122" s="131"/>
    </row>
    <row r="123" spans="2:2" s="132" customFormat="1">
      <c r="B123" s="131"/>
    </row>
    <row r="124" spans="2:2" s="132" customFormat="1">
      <c r="B124" s="131"/>
    </row>
    <row r="125" spans="2:2" s="132" customFormat="1">
      <c r="B125" s="131"/>
    </row>
    <row r="126" spans="2:2" s="132" customFormat="1">
      <c r="B126" s="131"/>
    </row>
    <row r="127" spans="2:2" s="132" customFormat="1">
      <c r="B127" s="131"/>
    </row>
    <row r="128" spans="2:2" s="132" customFormat="1">
      <c r="B128" s="131"/>
    </row>
    <row r="129" spans="2:2" s="132" customFormat="1">
      <c r="B129" s="131"/>
    </row>
    <row r="130" spans="2:2" s="132" customFormat="1">
      <c r="B130" s="131"/>
    </row>
    <row r="131" spans="2:2" s="132" customFormat="1">
      <c r="B131" s="131"/>
    </row>
    <row r="132" spans="2:2" s="132" customFormat="1">
      <c r="B132" s="131"/>
    </row>
    <row r="133" spans="2:2" s="132" customFormat="1">
      <c r="B133" s="131"/>
    </row>
    <row r="134" spans="2:2" s="132" customFormat="1">
      <c r="B134" s="131"/>
    </row>
    <row r="135" spans="2:2" s="132" customFormat="1">
      <c r="B135" s="131"/>
    </row>
    <row r="136" spans="2:2" s="132" customFormat="1">
      <c r="B136" s="131"/>
    </row>
    <row r="137" spans="2:2" s="132" customFormat="1">
      <c r="B137" s="131"/>
    </row>
    <row r="138" spans="2:2" s="132" customFormat="1">
      <c r="B138" s="131"/>
    </row>
    <row r="139" spans="2:2" s="132" customFormat="1">
      <c r="B139" s="131"/>
    </row>
    <row r="140" spans="2:2" s="132" customFormat="1">
      <c r="B140" s="131"/>
    </row>
    <row r="141" spans="2:2" s="132" customFormat="1">
      <c r="B141" s="131"/>
    </row>
    <row r="142" spans="2:2" s="132" customFormat="1">
      <c r="B142" s="131"/>
    </row>
    <row r="143" spans="2:2" s="132" customFormat="1">
      <c r="B143" s="131"/>
    </row>
    <row r="144" spans="2:2" s="132" customFormat="1">
      <c r="B144" s="13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46">
    <cfRule type="cellIs" dxfId="92" priority="1" operator="equal">
      <formula>"NR3"</formula>
    </cfRule>
  </conditionalFormatting>
  <dataValidations count="1">
    <dataValidation allowBlank="1" showInputMessage="1" showErrorMessage="1" sqref="C5:C1048576 A1:B1048576 AB32:XFD35 D1:S1048576 T36:XFD1048576 T32:Z35 T1:XFD31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Z405"/>
  <sheetViews>
    <sheetView rightToLeft="1" topLeftCell="A6" workbookViewId="0">
      <selection activeCell="F21" sqref="F21:F38"/>
    </sheetView>
  </sheetViews>
  <sheetFormatPr defaultColWidth="9.140625" defaultRowHeight="18"/>
  <cols>
    <col min="1" max="1" width="6.28515625" style="1" customWidth="1"/>
    <col min="2" max="2" width="51.5703125" style="2" bestFit="1" customWidth="1"/>
    <col min="3" max="3" width="48.42578125" style="2" bestFit="1" customWidth="1"/>
    <col min="4" max="4" width="5.7109375" style="2" bestFit="1" customWidth="1"/>
    <col min="5" max="5" width="11.28515625" style="2" bestFit="1" customWidth="1"/>
    <col min="6" max="6" width="28.85546875" style="1" bestFit="1" customWidth="1"/>
    <col min="7" max="7" width="12.28515625" style="1" bestFit="1" customWidth="1"/>
    <col min="8" max="8" width="14.285156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23" width="5.7109375" style="1" customWidth="1"/>
    <col min="24" max="16384" width="9.140625" style="1"/>
  </cols>
  <sheetData>
    <row r="1" spans="2:78">
      <c r="B1" s="57" t="s">
        <v>185</v>
      </c>
      <c r="C1" s="78" t="s" vm="1">
        <v>273</v>
      </c>
    </row>
    <row r="2" spans="2:78">
      <c r="B2" s="57" t="s">
        <v>184</v>
      </c>
      <c r="C2" s="78" t="s">
        <v>274</v>
      </c>
    </row>
    <row r="3" spans="2:78">
      <c r="B3" s="57" t="s">
        <v>186</v>
      </c>
      <c r="C3" s="78" t="s">
        <v>275</v>
      </c>
    </row>
    <row r="4" spans="2:78">
      <c r="B4" s="57" t="s">
        <v>187</v>
      </c>
      <c r="C4" s="78">
        <v>2102</v>
      </c>
    </row>
    <row r="6" spans="2:78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3"/>
    </row>
    <row r="7" spans="2:78" ht="26.25" customHeight="1">
      <c r="B7" s="181" t="s">
        <v>98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</row>
    <row r="8" spans="2:78" s="3" customFormat="1" ht="63">
      <c r="B8" s="23" t="s">
        <v>124</v>
      </c>
      <c r="C8" s="31" t="s">
        <v>49</v>
      </c>
      <c r="D8" s="31" t="s">
        <v>126</v>
      </c>
      <c r="E8" s="31" t="s">
        <v>125</v>
      </c>
      <c r="F8" s="31" t="s">
        <v>70</v>
      </c>
      <c r="G8" s="31" t="s">
        <v>109</v>
      </c>
      <c r="H8" s="31" t="s">
        <v>249</v>
      </c>
      <c r="I8" s="31" t="s">
        <v>248</v>
      </c>
      <c r="J8" s="31" t="s">
        <v>118</v>
      </c>
      <c r="K8" s="31" t="s">
        <v>64</v>
      </c>
      <c r="L8" s="31" t="s">
        <v>188</v>
      </c>
      <c r="M8" s="32" t="s">
        <v>190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Z8" s="1"/>
    </row>
    <row r="9" spans="2:78" s="3" customFormat="1" ht="14.25" customHeight="1">
      <c r="B9" s="16"/>
      <c r="C9" s="33"/>
      <c r="D9" s="17"/>
      <c r="E9" s="17"/>
      <c r="F9" s="33"/>
      <c r="G9" s="33"/>
      <c r="H9" s="33" t="s">
        <v>256</v>
      </c>
      <c r="I9" s="33"/>
      <c r="J9" s="33" t="s">
        <v>252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Z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Z10" s="1"/>
    </row>
    <row r="11" spans="2:78" s="135" customFormat="1" ht="18" customHeight="1">
      <c r="B11" s="79" t="s">
        <v>32</v>
      </c>
      <c r="C11" s="80"/>
      <c r="D11" s="80"/>
      <c r="E11" s="80"/>
      <c r="F11" s="80"/>
      <c r="G11" s="80"/>
      <c r="H11" s="88"/>
      <c r="I11" s="88"/>
      <c r="J11" s="88">
        <v>1047487.3541300001</v>
      </c>
      <c r="K11" s="80"/>
      <c r="L11" s="89">
        <f>J11/$J$11</f>
        <v>1</v>
      </c>
      <c r="M11" s="89">
        <f>J11/'סכום נכסי הקרן'!$C$42</f>
        <v>1.802716070427748E-2</v>
      </c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Z11" s="132"/>
    </row>
    <row r="12" spans="2:78" s="132" customFormat="1" ht="17.25" customHeight="1">
      <c r="B12" s="81" t="s">
        <v>243</v>
      </c>
      <c r="C12" s="82"/>
      <c r="D12" s="82"/>
      <c r="E12" s="82"/>
      <c r="F12" s="82"/>
      <c r="G12" s="82"/>
      <c r="H12" s="91"/>
      <c r="I12" s="91"/>
      <c r="J12" s="91">
        <v>76111.579369999992</v>
      </c>
      <c r="K12" s="82"/>
      <c r="L12" s="92">
        <f t="shared" ref="L12:L17" si="0">J12/$J$11</f>
        <v>7.266109616494143E-2</v>
      </c>
      <c r="M12" s="92">
        <f>J12/'סכום נכסי הקרן'!$C$42</f>
        <v>1.3098732575143593E-3</v>
      </c>
    </row>
    <row r="13" spans="2:78" s="132" customFormat="1">
      <c r="B13" s="102" t="s">
        <v>243</v>
      </c>
      <c r="C13" s="82"/>
      <c r="D13" s="82"/>
      <c r="E13" s="82"/>
      <c r="F13" s="82"/>
      <c r="G13" s="82"/>
      <c r="H13" s="91"/>
      <c r="I13" s="91"/>
      <c r="J13" s="91">
        <v>76111.579369999992</v>
      </c>
      <c r="K13" s="82"/>
      <c r="L13" s="92">
        <f t="shared" si="0"/>
        <v>7.266109616494143E-2</v>
      </c>
      <c r="M13" s="92">
        <f>J13/'סכום נכסי הקרן'!$C$42</f>
        <v>1.3098732575143593E-3</v>
      </c>
    </row>
    <row r="14" spans="2:78" s="132" customFormat="1">
      <c r="B14" s="87" t="s">
        <v>2168</v>
      </c>
      <c r="C14" s="84">
        <v>5992</v>
      </c>
      <c r="D14" s="97" t="s">
        <v>30</v>
      </c>
      <c r="E14" s="84" t="s">
        <v>2138</v>
      </c>
      <c r="F14" s="97" t="s">
        <v>715</v>
      </c>
      <c r="G14" s="97" t="s">
        <v>170</v>
      </c>
      <c r="H14" s="94">
        <v>126513</v>
      </c>
      <c r="I14" s="94">
        <v>0</v>
      </c>
      <c r="J14" s="94">
        <v>1.3000000000000002E-4</v>
      </c>
      <c r="K14" s="95">
        <v>4.6341758241758239E-3</v>
      </c>
      <c r="L14" s="95">
        <f t="shared" si="0"/>
        <v>1.2410651020028081E-10</v>
      </c>
      <c r="M14" s="95">
        <f>J14/'סכום נכסי הקרן'!$C$42</f>
        <v>2.2372880038275146E-12</v>
      </c>
    </row>
    <row r="15" spans="2:78" s="132" customFormat="1">
      <c r="B15" s="87" t="s">
        <v>2169</v>
      </c>
      <c r="C15" s="84">
        <v>2007</v>
      </c>
      <c r="D15" s="97" t="s">
        <v>30</v>
      </c>
      <c r="E15" s="84" t="s">
        <v>2170</v>
      </c>
      <c r="F15" s="97" t="s">
        <v>427</v>
      </c>
      <c r="G15" s="97" t="s">
        <v>170</v>
      </c>
      <c r="H15" s="94">
        <v>546391.75</v>
      </c>
      <c r="I15" s="94">
        <v>565.67470000000003</v>
      </c>
      <c r="J15" s="94">
        <v>3090.7998900000002</v>
      </c>
      <c r="K15" s="95">
        <v>0.04</v>
      </c>
      <c r="L15" s="95">
        <f t="shared" si="0"/>
        <v>2.9506799082716292E-3</v>
      </c>
      <c r="M15" s="95">
        <f>J15/'סכום נכסי הקרן'!$C$42</f>
        <v>5.3192380893295401E-5</v>
      </c>
    </row>
    <row r="16" spans="2:78" s="132" customFormat="1">
      <c r="B16" s="87" t="s">
        <v>2171</v>
      </c>
      <c r="C16" s="84" t="s">
        <v>2172</v>
      </c>
      <c r="D16" s="97" t="s">
        <v>30</v>
      </c>
      <c r="E16" s="84" t="s">
        <v>2173</v>
      </c>
      <c r="F16" s="97" t="s">
        <v>427</v>
      </c>
      <c r="G16" s="97" t="s">
        <v>169</v>
      </c>
      <c r="H16" s="94">
        <v>2727145.12</v>
      </c>
      <c r="I16" s="94">
        <v>752.64729999999997</v>
      </c>
      <c r="J16" s="94">
        <v>70937.109879999989</v>
      </c>
      <c r="K16" s="95">
        <v>4.7048045224215684E-2</v>
      </c>
      <c r="L16" s="95">
        <f t="shared" si="0"/>
        <v>6.7721208853081985E-2</v>
      </c>
      <c r="M16" s="95">
        <f>J16/'סכום נכסי הקרן'!$C$42</f>
        <v>1.2208211150824479E-3</v>
      </c>
    </row>
    <row r="17" spans="2:13" s="132" customFormat="1">
      <c r="B17" s="87" t="s">
        <v>2174</v>
      </c>
      <c r="C17" s="84" t="s">
        <v>2175</v>
      </c>
      <c r="D17" s="97" t="s">
        <v>30</v>
      </c>
      <c r="E17" s="84" t="s">
        <v>2164</v>
      </c>
      <c r="F17" s="97" t="s">
        <v>164</v>
      </c>
      <c r="G17" s="97" t="s">
        <v>169</v>
      </c>
      <c r="H17" s="94">
        <v>37216.89</v>
      </c>
      <c r="I17" s="94">
        <v>1620</v>
      </c>
      <c r="J17" s="94">
        <v>2083.6694699999998</v>
      </c>
      <c r="K17" s="95">
        <v>3.7956570334482316E-3</v>
      </c>
      <c r="L17" s="95">
        <f t="shared" si="0"/>
        <v>1.9892072794812973E-3</v>
      </c>
      <c r="M17" s="95">
        <f>J17/'סכום נכסי הקרן'!$C$42</f>
        <v>3.5859759301327959E-5</v>
      </c>
    </row>
    <row r="18" spans="2:13" s="132" customFormat="1">
      <c r="B18" s="83"/>
      <c r="C18" s="84"/>
      <c r="D18" s="84"/>
      <c r="E18" s="84"/>
      <c r="F18" s="84"/>
      <c r="G18" s="84"/>
      <c r="H18" s="94"/>
      <c r="I18" s="94"/>
      <c r="J18" s="84"/>
      <c r="K18" s="84"/>
      <c r="L18" s="95"/>
      <c r="M18" s="84"/>
    </row>
    <row r="19" spans="2:13" s="132" customFormat="1">
      <c r="B19" s="81" t="s">
        <v>242</v>
      </c>
      <c r="C19" s="82"/>
      <c r="D19" s="82"/>
      <c r="E19" s="82"/>
      <c r="F19" s="82"/>
      <c r="G19" s="82"/>
      <c r="H19" s="91"/>
      <c r="I19" s="91"/>
      <c r="J19" s="91">
        <v>971375.77476000029</v>
      </c>
      <c r="K19" s="82"/>
      <c r="L19" s="92">
        <f t="shared" ref="L19:L50" si="1">J19/$J$11</f>
        <v>0.92733890383505879</v>
      </c>
      <c r="M19" s="92">
        <f>J19/'סכום נכסי הקרן'!$C$42</f>
        <v>1.6717287446763127E-2</v>
      </c>
    </row>
    <row r="20" spans="2:13" s="132" customFormat="1">
      <c r="B20" s="102" t="s">
        <v>68</v>
      </c>
      <c r="C20" s="82"/>
      <c r="D20" s="82"/>
      <c r="E20" s="82"/>
      <c r="F20" s="82"/>
      <c r="G20" s="82"/>
      <c r="H20" s="91"/>
      <c r="I20" s="91"/>
      <c r="J20" s="91">
        <v>971375.77476000029</v>
      </c>
      <c r="K20" s="82"/>
      <c r="L20" s="92">
        <f t="shared" si="1"/>
        <v>0.92733890383505879</v>
      </c>
      <c r="M20" s="92">
        <f>J20/'סכום נכסי הקרן'!$C$42</f>
        <v>1.6717287446763127E-2</v>
      </c>
    </row>
    <row r="21" spans="2:13" s="132" customFormat="1">
      <c r="B21" s="87" t="s">
        <v>2176</v>
      </c>
      <c r="C21" s="84">
        <v>3610</v>
      </c>
      <c r="D21" s="97" t="s">
        <v>30</v>
      </c>
      <c r="E21" s="84"/>
      <c r="F21" s="97" t="s">
        <v>1512</v>
      </c>
      <c r="G21" s="97" t="s">
        <v>169</v>
      </c>
      <c r="H21" s="94">
        <v>640731</v>
      </c>
      <c r="I21" s="94">
        <v>495.5949</v>
      </c>
      <c r="J21" s="94">
        <v>10974.28664</v>
      </c>
      <c r="K21" s="95">
        <v>9.3797475949917775E-2</v>
      </c>
      <c r="L21" s="95">
        <f t="shared" si="1"/>
        <v>1.0476772437138194E-2</v>
      </c>
      <c r="M21" s="95">
        <f>J21/'סכום נכסי הקרן'!$C$42</f>
        <v>1.8886646038643507E-4</v>
      </c>
    </row>
    <row r="22" spans="2:13" s="132" customFormat="1">
      <c r="B22" s="87" t="s">
        <v>2177</v>
      </c>
      <c r="C22" s="84" t="s">
        <v>2178</v>
      </c>
      <c r="D22" s="97" t="s">
        <v>30</v>
      </c>
      <c r="E22" s="84"/>
      <c r="F22" s="97" t="s">
        <v>1512</v>
      </c>
      <c r="G22" s="97" t="s">
        <v>169</v>
      </c>
      <c r="H22" s="94">
        <v>6782.73</v>
      </c>
      <c r="I22" s="94">
        <v>126304.54270000001</v>
      </c>
      <c r="J22" s="94">
        <v>29607.19773</v>
      </c>
      <c r="K22" s="95">
        <v>8.0024970011563556E-2</v>
      </c>
      <c r="L22" s="95">
        <f t="shared" si="1"/>
        <v>2.8264969131384425E-2</v>
      </c>
      <c r="M22" s="95">
        <f>J22/'סכום נכסי הקרן'!$C$42</f>
        <v>5.0953714083290936E-4</v>
      </c>
    </row>
    <row r="23" spans="2:13" s="132" customFormat="1">
      <c r="B23" s="87" t="s">
        <v>2179</v>
      </c>
      <c r="C23" s="84">
        <v>6824</v>
      </c>
      <c r="D23" s="97" t="s">
        <v>30</v>
      </c>
      <c r="E23" s="84"/>
      <c r="F23" s="97" t="s">
        <v>1512</v>
      </c>
      <c r="G23" s="97" t="s">
        <v>169</v>
      </c>
      <c r="H23" s="94">
        <v>218987.15</v>
      </c>
      <c r="I23" s="94">
        <v>9132.6959000000006</v>
      </c>
      <c r="J23" s="94">
        <v>69118.031700000007</v>
      </c>
      <c r="K23" s="95">
        <v>0.13302579488107966</v>
      </c>
      <c r="L23" s="95">
        <f t="shared" si="1"/>
        <v>6.5984597739995252E-2</v>
      </c>
      <c r="M23" s="95">
        <f>J23/'סכום נכסי הקרן'!$C$42</f>
        <v>1.1895149474659991E-3</v>
      </c>
    </row>
    <row r="24" spans="2:13" s="132" customFormat="1">
      <c r="B24" s="87" t="s">
        <v>2180</v>
      </c>
      <c r="C24" s="84" t="s">
        <v>2181</v>
      </c>
      <c r="D24" s="97" t="s">
        <v>30</v>
      </c>
      <c r="E24" s="84"/>
      <c r="F24" s="97" t="s">
        <v>1512</v>
      </c>
      <c r="G24" s="97" t="s">
        <v>169</v>
      </c>
      <c r="H24" s="94">
        <v>2647573.34</v>
      </c>
      <c r="I24" s="94">
        <v>301.95740000000001</v>
      </c>
      <c r="J24" s="94">
        <v>27629.142749999999</v>
      </c>
      <c r="K24" s="95">
        <v>0.10746636048842099</v>
      </c>
      <c r="L24" s="95">
        <f t="shared" si="1"/>
        <v>2.6376588357906839E-2</v>
      </c>
      <c r="M24" s="95">
        <f>J24/'סכום נכסי הקרן'!$C$42</f>
        <v>4.754949971585611E-4</v>
      </c>
    </row>
    <row r="25" spans="2:13" s="132" customFormat="1">
      <c r="B25" s="87" t="s">
        <v>2182</v>
      </c>
      <c r="C25" s="84" t="s">
        <v>2183</v>
      </c>
      <c r="D25" s="97" t="s">
        <v>30</v>
      </c>
      <c r="E25" s="84"/>
      <c r="F25" s="97" t="s">
        <v>1512</v>
      </c>
      <c r="G25" s="97" t="s">
        <v>169</v>
      </c>
      <c r="H25" s="94">
        <v>6776751.1799999997</v>
      </c>
      <c r="I25" s="94">
        <v>94.494</v>
      </c>
      <c r="J25" s="94">
        <v>22130.921989999999</v>
      </c>
      <c r="K25" s="95">
        <v>0.15691036445027692</v>
      </c>
      <c r="L25" s="95">
        <f t="shared" si="1"/>
        <v>2.1127626889950412E-2</v>
      </c>
      <c r="M25" s="95">
        <f>J25/'סכום נכסי הקרן'!$C$42</f>
        <v>3.8087112524515032E-4</v>
      </c>
    </row>
    <row r="26" spans="2:13" s="132" customFormat="1">
      <c r="B26" s="87" t="s">
        <v>2184</v>
      </c>
      <c r="C26" s="84">
        <v>6900</v>
      </c>
      <c r="D26" s="97" t="s">
        <v>30</v>
      </c>
      <c r="E26" s="84"/>
      <c r="F26" s="97" t="s">
        <v>1512</v>
      </c>
      <c r="G26" s="97" t="s">
        <v>169</v>
      </c>
      <c r="H26" s="94">
        <v>342710.83</v>
      </c>
      <c r="I26" s="94">
        <v>10070.1158</v>
      </c>
      <c r="J26" s="94">
        <v>119271.3187</v>
      </c>
      <c r="K26" s="95">
        <v>9.56029473677633E-2</v>
      </c>
      <c r="L26" s="95">
        <f t="shared" si="1"/>
        <v>0.1138642086987884</v>
      </c>
      <c r="M26" s="95">
        <f>J26/'סכום נכסי הקרן'!$C$42</f>
        <v>2.0526483886784486E-3</v>
      </c>
    </row>
    <row r="27" spans="2:13" s="132" customFormat="1">
      <c r="B27" s="87" t="s">
        <v>2185</v>
      </c>
      <c r="C27" s="84" t="s">
        <v>2186</v>
      </c>
      <c r="D27" s="97" t="s">
        <v>30</v>
      </c>
      <c r="E27" s="84"/>
      <c r="F27" s="97" t="s">
        <v>1512</v>
      </c>
      <c r="G27" s="97" t="s">
        <v>169</v>
      </c>
      <c r="H27" s="94">
        <v>4955.33</v>
      </c>
      <c r="I27" s="94">
        <v>0</v>
      </c>
      <c r="J27" s="94">
        <v>0</v>
      </c>
      <c r="K27" s="95">
        <v>9.5059991233194155E-2</v>
      </c>
      <c r="L27" s="95">
        <f t="shared" si="1"/>
        <v>0</v>
      </c>
      <c r="M27" s="95">
        <f>J27/'סכום נכסי הקרן'!$C$42</f>
        <v>0</v>
      </c>
    </row>
    <row r="28" spans="2:13" s="132" customFormat="1">
      <c r="B28" s="87" t="s">
        <v>2187</v>
      </c>
      <c r="C28" s="84">
        <v>7019</v>
      </c>
      <c r="D28" s="97" t="s">
        <v>30</v>
      </c>
      <c r="E28" s="84"/>
      <c r="F28" s="97" t="s">
        <v>1512</v>
      </c>
      <c r="G28" s="97" t="s">
        <v>169</v>
      </c>
      <c r="H28" s="94">
        <v>181568.1</v>
      </c>
      <c r="I28" s="94">
        <v>10283.0326</v>
      </c>
      <c r="J28" s="94">
        <v>64525.963080000001</v>
      </c>
      <c r="K28" s="95">
        <v>7.3215184877756426E-2</v>
      </c>
      <c r="L28" s="95">
        <f t="shared" si="1"/>
        <v>6.1600708424392019E-2</v>
      </c>
      <c r="M28" s="95">
        <f>J28/'סכום נכסי הקרן'!$C$42</f>
        <v>1.1104858702638545E-3</v>
      </c>
    </row>
    <row r="29" spans="2:13" s="132" customFormat="1">
      <c r="B29" s="87" t="s">
        <v>2188</v>
      </c>
      <c r="C29" s="84">
        <v>2994</v>
      </c>
      <c r="D29" s="97" t="s">
        <v>30</v>
      </c>
      <c r="E29" s="84"/>
      <c r="F29" s="97" t="s">
        <v>1512</v>
      </c>
      <c r="G29" s="97" t="s">
        <v>171</v>
      </c>
      <c r="H29" s="94">
        <v>25107.32</v>
      </c>
      <c r="I29" s="94">
        <v>21144.653300000002</v>
      </c>
      <c r="J29" s="94">
        <v>20588.80445</v>
      </c>
      <c r="K29" s="95">
        <v>4.6466498002356547E-2</v>
      </c>
      <c r="L29" s="95">
        <f t="shared" si="1"/>
        <v>1.9655420534503934E-2</v>
      </c>
      <c r="M29" s="95">
        <f>J29/'סכום נכסי הקרן'!$C$42</f>
        <v>3.5433142468565805E-4</v>
      </c>
    </row>
    <row r="30" spans="2:13" s="132" customFormat="1">
      <c r="B30" s="87" t="s">
        <v>2189</v>
      </c>
      <c r="C30" s="84" t="s">
        <v>2190</v>
      </c>
      <c r="D30" s="97" t="s">
        <v>30</v>
      </c>
      <c r="E30" s="84"/>
      <c r="F30" s="97" t="s">
        <v>1512</v>
      </c>
      <c r="G30" s="97" t="s">
        <v>171</v>
      </c>
      <c r="H30" s="94">
        <v>19.399999999999999</v>
      </c>
      <c r="I30" s="94">
        <v>0</v>
      </c>
      <c r="J30" s="94">
        <v>0</v>
      </c>
      <c r="K30" s="95">
        <v>6.5486182584253538E-4</v>
      </c>
      <c r="L30" s="95">
        <f t="shared" si="1"/>
        <v>0</v>
      </c>
      <c r="M30" s="95">
        <f>J30/'סכום נכסי הקרן'!$C$42</f>
        <v>0</v>
      </c>
    </row>
    <row r="31" spans="2:13" s="132" customFormat="1">
      <c r="B31" s="87" t="s">
        <v>2940</v>
      </c>
      <c r="C31" s="84">
        <v>4654</v>
      </c>
      <c r="D31" s="97" t="s">
        <v>30</v>
      </c>
      <c r="E31" s="84"/>
      <c r="F31" s="97" t="s">
        <v>1512</v>
      </c>
      <c r="G31" s="97" t="s">
        <v>172</v>
      </c>
      <c r="H31" s="94">
        <v>2768309.5</v>
      </c>
      <c r="I31" s="94">
        <v>448.69069999999999</v>
      </c>
      <c r="J31" s="94">
        <v>56636.70521</v>
      </c>
      <c r="K31" s="95">
        <v>0.28025</v>
      </c>
      <c r="L31" s="95">
        <f t="shared" si="1"/>
        <v>5.4069106406578166E-2</v>
      </c>
      <c r="M31" s="95">
        <f>J31/'סכום נכסי הקרן'!$C$42</f>
        <v>9.747124703280638E-4</v>
      </c>
    </row>
    <row r="32" spans="2:13" s="132" customFormat="1">
      <c r="B32" s="87" t="s">
        <v>2191</v>
      </c>
      <c r="C32" s="84" t="s">
        <v>2192</v>
      </c>
      <c r="D32" s="97" t="s">
        <v>30</v>
      </c>
      <c r="E32" s="84"/>
      <c r="F32" s="97" t="s">
        <v>1512</v>
      </c>
      <c r="G32" s="97" t="s">
        <v>169</v>
      </c>
      <c r="H32" s="94">
        <v>403.96</v>
      </c>
      <c r="I32" s="94">
        <v>0</v>
      </c>
      <c r="J32" s="94">
        <v>0</v>
      </c>
      <c r="K32" s="95">
        <v>7.6315673636577113E-3</v>
      </c>
      <c r="L32" s="95">
        <f t="shared" si="1"/>
        <v>0</v>
      </c>
      <c r="M32" s="95">
        <f>J32/'סכום נכסי הקרן'!$C$42</f>
        <v>0</v>
      </c>
    </row>
    <row r="33" spans="2:13" s="132" customFormat="1">
      <c r="B33" s="87" t="s">
        <v>2193</v>
      </c>
      <c r="C33" s="84" t="s">
        <v>2194</v>
      </c>
      <c r="D33" s="97" t="s">
        <v>30</v>
      </c>
      <c r="E33" s="84"/>
      <c r="F33" s="97" t="s">
        <v>1512</v>
      </c>
      <c r="G33" s="97" t="s">
        <v>171</v>
      </c>
      <c r="H33" s="94">
        <v>3355.13</v>
      </c>
      <c r="I33" s="94">
        <v>0</v>
      </c>
      <c r="J33" s="94">
        <v>0</v>
      </c>
      <c r="K33" s="95">
        <v>9.8000058418039493E-2</v>
      </c>
      <c r="L33" s="95">
        <f t="shared" si="1"/>
        <v>0</v>
      </c>
      <c r="M33" s="95">
        <f>J33/'סכום נכסי הקרן'!$C$42</f>
        <v>0</v>
      </c>
    </row>
    <row r="34" spans="2:13" s="132" customFormat="1">
      <c r="B34" s="87" t="s">
        <v>2195</v>
      </c>
      <c r="C34" s="84">
        <v>5771</v>
      </c>
      <c r="D34" s="97" t="s">
        <v>30</v>
      </c>
      <c r="E34" s="84"/>
      <c r="F34" s="97" t="s">
        <v>1512</v>
      </c>
      <c r="G34" s="97" t="s">
        <v>171</v>
      </c>
      <c r="H34" s="94">
        <v>16551350.43</v>
      </c>
      <c r="I34" s="94">
        <v>114.2589</v>
      </c>
      <c r="J34" s="94">
        <v>73342.156340000001</v>
      </c>
      <c r="K34" s="95">
        <v>0.15925535518749806</v>
      </c>
      <c r="L34" s="95">
        <f t="shared" si="1"/>
        <v>7.0017223645544607E-2</v>
      </c>
      <c r="M34" s="95">
        <f>J34/'סכום נכסי הקרן'!$C$42</f>
        <v>1.2622117427255699E-3</v>
      </c>
    </row>
    <row r="35" spans="2:13" s="132" customFormat="1">
      <c r="B35" s="87" t="s">
        <v>2196</v>
      </c>
      <c r="C35" s="84" t="s">
        <v>2197</v>
      </c>
      <c r="D35" s="97" t="s">
        <v>30</v>
      </c>
      <c r="E35" s="84"/>
      <c r="F35" s="97" t="s">
        <v>1512</v>
      </c>
      <c r="G35" s="97" t="s">
        <v>169</v>
      </c>
      <c r="H35" s="94">
        <v>358646</v>
      </c>
      <c r="I35" s="94">
        <v>432.72469999999998</v>
      </c>
      <c r="J35" s="94">
        <v>5363.5386100000005</v>
      </c>
      <c r="K35" s="95">
        <v>9.9795660506274309E-2</v>
      </c>
      <c r="L35" s="95">
        <f t="shared" si="1"/>
        <v>5.1203850708581916E-3</v>
      </c>
      <c r="M35" s="95">
        <f>J35/'סכום נכסי הקרן'!$C$42</f>
        <v>9.2306004540143862E-5</v>
      </c>
    </row>
    <row r="36" spans="2:13" s="132" customFormat="1">
      <c r="B36" s="87" t="s">
        <v>2198</v>
      </c>
      <c r="C36" s="84">
        <v>7021</v>
      </c>
      <c r="D36" s="97" t="s">
        <v>30</v>
      </c>
      <c r="E36" s="84"/>
      <c r="F36" s="97" t="s">
        <v>1512</v>
      </c>
      <c r="G36" s="97" t="s">
        <v>169</v>
      </c>
      <c r="H36" s="94">
        <v>390000</v>
      </c>
      <c r="I36" s="94">
        <v>47.636899999999997</v>
      </c>
      <c r="J36" s="94">
        <v>642.06918999999994</v>
      </c>
      <c r="K36" s="95">
        <v>1.9700000004697692E-2</v>
      </c>
      <c r="L36" s="95">
        <f t="shared" si="1"/>
        <v>6.1296128060016168E-4</v>
      </c>
      <c r="M36" s="95">
        <f>J36/'סכום נכסי הקרן'!$C$42</f>
        <v>1.1049951510878839E-5</v>
      </c>
    </row>
    <row r="37" spans="2:13" s="132" customFormat="1">
      <c r="B37" s="87" t="s">
        <v>2199</v>
      </c>
      <c r="C37" s="84" t="s">
        <v>2200</v>
      </c>
      <c r="D37" s="97" t="s">
        <v>30</v>
      </c>
      <c r="E37" s="84"/>
      <c r="F37" s="97" t="s">
        <v>1512</v>
      </c>
      <c r="G37" s="97" t="s">
        <v>169</v>
      </c>
      <c r="H37" s="94">
        <v>2096048</v>
      </c>
      <c r="I37" s="94">
        <v>350.5693</v>
      </c>
      <c r="J37" s="94">
        <v>25395.036359999998</v>
      </c>
      <c r="K37" s="95">
        <v>4.7661225375800892E-2</v>
      </c>
      <c r="L37" s="95">
        <f t="shared" si="1"/>
        <v>2.424376414652955E-2</v>
      </c>
      <c r="M37" s="95">
        <f>J37/'סכום נכסי הקרן'!$C$42</f>
        <v>4.3704623234608878E-4</v>
      </c>
    </row>
    <row r="38" spans="2:13" s="132" customFormat="1">
      <c r="B38" s="87" t="s">
        <v>2201</v>
      </c>
      <c r="C38" s="84">
        <v>7022</v>
      </c>
      <c r="D38" s="97" t="s">
        <v>30</v>
      </c>
      <c r="E38" s="84"/>
      <c r="F38" s="97" t="s">
        <v>1512</v>
      </c>
      <c r="G38" s="97" t="s">
        <v>169</v>
      </c>
      <c r="H38" s="94">
        <v>660000</v>
      </c>
      <c r="I38" s="94">
        <v>4.4448999999999996</v>
      </c>
      <c r="J38" s="94">
        <v>101.38639000000001</v>
      </c>
      <c r="K38" s="95">
        <v>0.02</v>
      </c>
      <c r="L38" s="95">
        <f t="shared" si="1"/>
        <v>9.6790084959266524E-5</v>
      </c>
      <c r="M38" s="95">
        <f>J38/'סכום נכסי הקרן'!$C$42</f>
        <v>1.7448504161413682E-6</v>
      </c>
    </row>
    <row r="39" spans="2:13" s="132" customFormat="1">
      <c r="B39" s="87" t="s">
        <v>2202</v>
      </c>
      <c r="C39" s="84">
        <v>4637</v>
      </c>
      <c r="D39" s="97" t="s">
        <v>30</v>
      </c>
      <c r="E39" s="84"/>
      <c r="F39" s="97" t="s">
        <v>1512</v>
      </c>
      <c r="G39" s="97" t="s">
        <v>172</v>
      </c>
      <c r="H39" s="94">
        <v>14265000.789999999</v>
      </c>
      <c r="I39" s="94">
        <v>31.996200000000002</v>
      </c>
      <c r="J39" s="94">
        <v>20811.648020000001</v>
      </c>
      <c r="K39" s="95">
        <v>0.1117144728750344</v>
      </c>
      <c r="L39" s="95">
        <f t="shared" si="1"/>
        <v>1.9868161594452181E-2</v>
      </c>
      <c r="M39" s="95">
        <f>J39/'סכום נכסי הקרן'!$C$42</f>
        <v>3.5816654196174343E-4</v>
      </c>
    </row>
    <row r="40" spans="2:13" s="132" customFormat="1">
      <c r="B40" s="87" t="s">
        <v>2203</v>
      </c>
      <c r="C40" s="84" t="s">
        <v>2204</v>
      </c>
      <c r="D40" s="97" t="s">
        <v>30</v>
      </c>
      <c r="E40" s="84"/>
      <c r="F40" s="97" t="s">
        <v>1512</v>
      </c>
      <c r="G40" s="97" t="s">
        <v>169</v>
      </c>
      <c r="H40" s="94">
        <v>111710.66</v>
      </c>
      <c r="I40" s="94">
        <v>11393.1955</v>
      </c>
      <c r="J40" s="94">
        <v>43985.943509999997</v>
      </c>
      <c r="K40" s="95">
        <v>0.13410644101351457</v>
      </c>
      <c r="L40" s="95">
        <f t="shared" si="1"/>
        <v>4.1991861129944533E-2</v>
      </c>
      <c r="M40" s="95">
        <f>J40/'סכום נכסי הקרן'!$C$42</f>
        <v>7.569940288612131E-4</v>
      </c>
    </row>
    <row r="41" spans="2:13" s="132" customFormat="1">
      <c r="B41" s="87" t="s">
        <v>2205</v>
      </c>
      <c r="C41" s="84" t="s">
        <v>2206</v>
      </c>
      <c r="D41" s="97" t="s">
        <v>30</v>
      </c>
      <c r="E41" s="84"/>
      <c r="F41" s="97" t="s">
        <v>1512</v>
      </c>
      <c r="G41" s="97" t="s">
        <v>171</v>
      </c>
      <c r="H41" s="94">
        <v>15832516.42</v>
      </c>
      <c r="I41" s="94">
        <v>110.1592</v>
      </c>
      <c r="J41" s="94">
        <v>67639.583150000006</v>
      </c>
      <c r="K41" s="95">
        <v>0.28381436422686968</v>
      </c>
      <c r="L41" s="95">
        <f t="shared" si="1"/>
        <v>6.4573173970370892E-2</v>
      </c>
      <c r="M41" s="95">
        <f>J41/'סכום נכסי הקרן'!$C$42</f>
        <v>1.1640709843491438E-3</v>
      </c>
    </row>
    <row r="42" spans="2:13" s="132" customFormat="1">
      <c r="B42" s="87" t="s">
        <v>2207</v>
      </c>
      <c r="C42" s="84">
        <v>5691</v>
      </c>
      <c r="D42" s="97" t="s">
        <v>30</v>
      </c>
      <c r="E42" s="84"/>
      <c r="F42" s="97" t="s">
        <v>1512</v>
      </c>
      <c r="G42" s="97" t="s">
        <v>169</v>
      </c>
      <c r="H42" s="94">
        <v>13783961.189999999</v>
      </c>
      <c r="I42" s="94">
        <v>155.98159999999999</v>
      </c>
      <c r="J42" s="94">
        <v>74305.531730000002</v>
      </c>
      <c r="K42" s="95">
        <v>0.15691071051621322</v>
      </c>
      <c r="L42" s="95">
        <f t="shared" si="1"/>
        <v>7.0936924858357953E-2</v>
      </c>
      <c r="M42" s="95">
        <f>J42/'סכום נכסי הקרן'!$C$42</f>
        <v>1.278791344288875E-3</v>
      </c>
    </row>
    <row r="43" spans="2:13" s="132" customFormat="1">
      <c r="B43" s="87" t="s">
        <v>2208</v>
      </c>
      <c r="C43" s="84">
        <v>6629</v>
      </c>
      <c r="D43" s="97" t="s">
        <v>30</v>
      </c>
      <c r="E43" s="84"/>
      <c r="F43" s="97" t="s">
        <v>1512</v>
      </c>
      <c r="G43" s="97" t="s">
        <v>172</v>
      </c>
      <c r="H43" s="94">
        <v>181848.31</v>
      </c>
      <c r="I43" s="94">
        <v>10249.0548</v>
      </c>
      <c r="J43" s="94">
        <v>84982.471430000005</v>
      </c>
      <c r="K43" s="95">
        <v>0.26821284660766959</v>
      </c>
      <c r="L43" s="95">
        <f t="shared" si="1"/>
        <v>8.1129830441325892E-2</v>
      </c>
      <c r="M43" s="95">
        <f>J43/'סכום נכסי הקרן'!$C$42</f>
        <v>1.4625404912765652E-3</v>
      </c>
    </row>
    <row r="44" spans="2:13" s="132" customFormat="1">
      <c r="B44" s="87" t="s">
        <v>2209</v>
      </c>
      <c r="C44" s="84">
        <v>3865</v>
      </c>
      <c r="D44" s="97" t="s">
        <v>30</v>
      </c>
      <c r="E44" s="84"/>
      <c r="F44" s="97" t="s">
        <v>1512</v>
      </c>
      <c r="G44" s="97" t="s">
        <v>169</v>
      </c>
      <c r="H44" s="94">
        <v>328799</v>
      </c>
      <c r="I44" s="94">
        <v>448.96559999999999</v>
      </c>
      <c r="J44" s="94">
        <v>5101.7278399999996</v>
      </c>
      <c r="K44" s="95">
        <v>7.6025559066042317E-2</v>
      </c>
      <c r="L44" s="95">
        <f t="shared" si="1"/>
        <v>4.8704433708770499E-3</v>
      </c>
      <c r="M44" s="95">
        <f>J44/'סכום נכסי הקרן'!$C$42</f>
        <v>8.780026534788351E-5</v>
      </c>
    </row>
    <row r="45" spans="2:13" s="132" customFormat="1">
      <c r="B45" s="87" t="s">
        <v>2210</v>
      </c>
      <c r="C45" s="84">
        <v>7024</v>
      </c>
      <c r="D45" s="97" t="s">
        <v>30</v>
      </c>
      <c r="E45" s="84"/>
      <c r="F45" s="97" t="s">
        <v>1512</v>
      </c>
      <c r="G45" s="97" t="s">
        <v>169</v>
      </c>
      <c r="H45" s="94">
        <v>170000</v>
      </c>
      <c r="I45" s="94">
        <v>142.51750000000001</v>
      </c>
      <c r="J45" s="94">
        <v>837.31881999999996</v>
      </c>
      <c r="K45" s="95">
        <v>0.02</v>
      </c>
      <c r="L45" s="95">
        <f t="shared" si="1"/>
        <v>7.9935935904013131E-4</v>
      </c>
      <c r="M45" s="95">
        <f>J45/'סכום נכסי הקרן'!$C$42</f>
        <v>1.441017962588469E-5</v>
      </c>
    </row>
    <row r="46" spans="2:13" s="132" customFormat="1">
      <c r="B46" s="87" t="s">
        <v>2211</v>
      </c>
      <c r="C46" s="84" t="s">
        <v>2212</v>
      </c>
      <c r="D46" s="97" t="s">
        <v>30</v>
      </c>
      <c r="E46" s="84"/>
      <c r="F46" s="97" t="s">
        <v>1512</v>
      </c>
      <c r="G46" s="97" t="s">
        <v>169</v>
      </c>
      <c r="H46" s="94">
        <v>1177.83</v>
      </c>
      <c r="I46" s="94">
        <v>132573.6067</v>
      </c>
      <c r="J46" s="94">
        <v>5396.5012800000004</v>
      </c>
      <c r="K46" s="95">
        <v>9.5060038513750181E-2</v>
      </c>
      <c r="L46" s="95">
        <f t="shared" si="1"/>
        <v>5.1518533934780649E-3</v>
      </c>
      <c r="M46" s="95">
        <f>J46/'סכום נכסי הקרן'!$C$42</f>
        <v>9.2873289049106363E-5</v>
      </c>
    </row>
    <row r="47" spans="2:13" s="132" customFormat="1">
      <c r="B47" s="87" t="s">
        <v>2213</v>
      </c>
      <c r="C47" s="84">
        <v>4811</v>
      </c>
      <c r="D47" s="97" t="s">
        <v>30</v>
      </c>
      <c r="E47" s="84"/>
      <c r="F47" s="97" t="s">
        <v>1512</v>
      </c>
      <c r="G47" s="97" t="s">
        <v>169</v>
      </c>
      <c r="H47" s="94">
        <v>2950923</v>
      </c>
      <c r="I47" s="94">
        <v>149.39179999999999</v>
      </c>
      <c r="J47" s="94">
        <v>15235.55824</v>
      </c>
      <c r="K47" s="95">
        <v>0.15234321606207205</v>
      </c>
      <c r="L47" s="95">
        <f t="shared" si="1"/>
        <v>1.454486126245794E-2</v>
      </c>
      <c r="M47" s="95">
        <f>J47/'סכום נכסי הקרן'!$C$42</f>
        <v>2.6220255139974954E-4</v>
      </c>
    </row>
    <row r="48" spans="2:13" s="132" customFormat="1">
      <c r="B48" s="87" t="s">
        <v>2214</v>
      </c>
      <c r="C48" s="84">
        <v>5356</v>
      </c>
      <c r="D48" s="97" t="s">
        <v>30</v>
      </c>
      <c r="E48" s="84"/>
      <c r="F48" s="97" t="s">
        <v>1512</v>
      </c>
      <c r="G48" s="97" t="s">
        <v>169</v>
      </c>
      <c r="H48" s="94">
        <v>3947742</v>
      </c>
      <c r="I48" s="94">
        <v>316.6542</v>
      </c>
      <c r="J48" s="94">
        <v>43202.387569999999</v>
      </c>
      <c r="K48" s="95">
        <v>0.16658578021506135</v>
      </c>
      <c r="L48" s="95">
        <f t="shared" si="1"/>
        <v>4.1243827335636071E-2</v>
      </c>
      <c r="M48" s="95">
        <f>J48/'סכום נכסי הקרן'!$C$42</f>
        <v>7.4350910343898399E-4</v>
      </c>
    </row>
    <row r="49" spans="2:13" s="132" customFormat="1">
      <c r="B49" s="87" t="s">
        <v>2215</v>
      </c>
      <c r="C49" s="84" t="s">
        <v>2216</v>
      </c>
      <c r="D49" s="97" t="s">
        <v>30</v>
      </c>
      <c r="E49" s="84"/>
      <c r="F49" s="97" t="s">
        <v>1512</v>
      </c>
      <c r="G49" s="97" t="s">
        <v>169</v>
      </c>
      <c r="H49" s="94">
        <v>24042596.370000001</v>
      </c>
      <c r="I49" s="94">
        <v>101.7563</v>
      </c>
      <c r="J49" s="94">
        <v>84550.544030000005</v>
      </c>
      <c r="K49" s="95">
        <v>0.13231835785261525</v>
      </c>
      <c r="L49" s="95">
        <f t="shared" si="1"/>
        <v>8.0717484269988357E-2</v>
      </c>
      <c r="M49" s="95">
        <f>J49/'סכום נכסי הקרן'!$C$42</f>
        <v>1.4551070605800698E-3</v>
      </c>
    </row>
    <row r="50" spans="2:13" s="132" customFormat="1">
      <c r="B50" s="87" t="s">
        <v>2217</v>
      </c>
      <c r="C50" s="84">
        <v>5511</v>
      </c>
      <c r="D50" s="97" t="s">
        <v>30</v>
      </c>
      <c r="E50" s="84"/>
      <c r="F50" s="97" t="s">
        <v>1095</v>
      </c>
      <c r="G50" s="97" t="s">
        <v>172</v>
      </c>
      <c r="H50" s="94">
        <v>4009.44</v>
      </c>
      <c r="I50" s="94">
        <v>0</v>
      </c>
      <c r="J50" s="94">
        <v>0</v>
      </c>
      <c r="K50" s="95">
        <v>4.1632660181448219E-2</v>
      </c>
      <c r="L50" s="95">
        <f t="shared" si="1"/>
        <v>0</v>
      </c>
      <c r="M50" s="95">
        <f>J50/'סכום נכסי הקרן'!$C$42</f>
        <v>0</v>
      </c>
    </row>
    <row r="51" spans="2:13" s="132" customFormat="1">
      <c r="B51" s="131"/>
    </row>
    <row r="52" spans="2:13" s="132" customFormat="1">
      <c r="B52" s="131"/>
    </row>
    <row r="53" spans="2:13" s="132" customFormat="1">
      <c r="B53" s="131"/>
    </row>
    <row r="54" spans="2:13" s="132" customFormat="1">
      <c r="B54" s="138" t="s">
        <v>265</v>
      </c>
    </row>
    <row r="55" spans="2:13" s="132" customFormat="1">
      <c r="B55" s="138" t="s">
        <v>120</v>
      </c>
    </row>
    <row r="56" spans="2:13" s="132" customFormat="1">
      <c r="B56" s="138" t="s">
        <v>247</v>
      </c>
    </row>
    <row r="57" spans="2:13" s="132" customFormat="1">
      <c r="B57" s="138" t="s">
        <v>255</v>
      </c>
    </row>
    <row r="58" spans="2:13" s="132" customFormat="1">
      <c r="B58" s="131"/>
    </row>
    <row r="59" spans="2:13" s="132" customFormat="1">
      <c r="B59" s="131"/>
    </row>
    <row r="60" spans="2:13" s="132" customFormat="1">
      <c r="B60" s="131"/>
    </row>
    <row r="61" spans="2:13" s="132" customFormat="1">
      <c r="B61" s="131"/>
    </row>
    <row r="62" spans="2:13" s="132" customFormat="1">
      <c r="B62" s="131"/>
    </row>
    <row r="63" spans="2:13" s="132" customFormat="1">
      <c r="B63" s="131"/>
    </row>
    <row r="64" spans="2:13" s="132" customFormat="1">
      <c r="B64" s="131"/>
    </row>
    <row r="65" spans="2:2" s="132" customFormat="1">
      <c r="B65" s="131"/>
    </row>
    <row r="66" spans="2:2" s="132" customFormat="1">
      <c r="B66" s="131"/>
    </row>
    <row r="67" spans="2:2" s="132" customFormat="1">
      <c r="B67" s="131"/>
    </row>
    <row r="68" spans="2:2" s="132" customFormat="1">
      <c r="B68" s="131"/>
    </row>
    <row r="69" spans="2:2" s="132" customFormat="1">
      <c r="B69" s="131"/>
    </row>
    <row r="70" spans="2:2" s="132" customFormat="1">
      <c r="B70" s="131"/>
    </row>
    <row r="71" spans="2:2" s="132" customFormat="1">
      <c r="B71" s="131"/>
    </row>
    <row r="72" spans="2:2" s="132" customFormat="1">
      <c r="B72" s="131"/>
    </row>
    <row r="73" spans="2:2" s="132" customFormat="1">
      <c r="B73" s="131"/>
    </row>
    <row r="74" spans="2:2" s="132" customFormat="1">
      <c r="B74" s="131"/>
    </row>
    <row r="75" spans="2:2" s="132" customFormat="1">
      <c r="B75" s="131"/>
    </row>
    <row r="76" spans="2:2" s="132" customFormat="1">
      <c r="B76" s="131"/>
    </row>
    <row r="77" spans="2:2" s="132" customFormat="1">
      <c r="B77" s="131"/>
    </row>
    <row r="78" spans="2:2" s="132" customFormat="1">
      <c r="B78" s="131"/>
    </row>
    <row r="79" spans="2:2" s="132" customFormat="1">
      <c r="B79" s="131"/>
    </row>
    <row r="80" spans="2:2" s="132" customFormat="1">
      <c r="B80" s="131"/>
    </row>
    <row r="81" spans="2:2" s="132" customFormat="1">
      <c r="B81" s="131"/>
    </row>
    <row r="82" spans="2:2" s="132" customFormat="1">
      <c r="B82" s="131"/>
    </row>
    <row r="83" spans="2:2" s="132" customFormat="1">
      <c r="B83" s="131"/>
    </row>
    <row r="84" spans="2:2" s="132" customFormat="1">
      <c r="B84" s="131"/>
    </row>
    <row r="85" spans="2:2" s="132" customFormat="1">
      <c r="B85" s="131"/>
    </row>
    <row r="86" spans="2:2" s="132" customFormat="1">
      <c r="B86" s="131"/>
    </row>
    <row r="87" spans="2:2" s="132" customFormat="1">
      <c r="B87" s="131"/>
    </row>
    <row r="88" spans="2:2" s="132" customFormat="1">
      <c r="B88" s="131"/>
    </row>
    <row r="89" spans="2:2" s="132" customFormat="1">
      <c r="B89" s="131"/>
    </row>
    <row r="90" spans="2:2" s="132" customFormat="1">
      <c r="B90" s="131"/>
    </row>
    <row r="91" spans="2:2" s="132" customFormat="1">
      <c r="B91" s="131"/>
    </row>
    <row r="92" spans="2:2" s="132" customFormat="1">
      <c r="B92" s="131"/>
    </row>
    <row r="93" spans="2:2" s="132" customFormat="1">
      <c r="B93" s="131"/>
    </row>
    <row r="94" spans="2:2" s="132" customFormat="1">
      <c r="B94" s="131"/>
    </row>
    <row r="95" spans="2:2" s="132" customFormat="1">
      <c r="B95" s="131"/>
    </row>
    <row r="96" spans="2:2" s="132" customFormat="1">
      <c r="B96" s="131"/>
    </row>
    <row r="97" spans="2:2" s="132" customFormat="1">
      <c r="B97" s="131"/>
    </row>
    <row r="98" spans="2:2" s="132" customFormat="1">
      <c r="B98" s="131"/>
    </row>
    <row r="99" spans="2:2" s="132" customFormat="1">
      <c r="B99" s="131"/>
    </row>
    <row r="100" spans="2:2" s="132" customFormat="1">
      <c r="B100" s="131"/>
    </row>
    <row r="101" spans="2:2" s="132" customFormat="1">
      <c r="B101" s="131"/>
    </row>
    <row r="102" spans="2:2" s="132" customFormat="1">
      <c r="B102" s="131"/>
    </row>
    <row r="103" spans="2:2" s="132" customFormat="1">
      <c r="B103" s="131"/>
    </row>
    <row r="104" spans="2:2" s="132" customFormat="1">
      <c r="B104" s="131"/>
    </row>
    <row r="105" spans="2:2" s="132" customFormat="1">
      <c r="B105" s="131"/>
    </row>
    <row r="106" spans="2:2" s="132" customFormat="1">
      <c r="B106" s="131"/>
    </row>
    <row r="107" spans="2:2" s="132" customFormat="1">
      <c r="B107" s="131"/>
    </row>
    <row r="108" spans="2:2" s="132" customFormat="1">
      <c r="B108" s="131"/>
    </row>
    <row r="109" spans="2:2" s="132" customFormat="1">
      <c r="B109" s="131"/>
    </row>
    <row r="110" spans="2:2" s="132" customFormat="1">
      <c r="B110" s="131"/>
    </row>
    <row r="111" spans="2:2" s="132" customFormat="1">
      <c r="B111" s="131"/>
    </row>
    <row r="112" spans="2:2" s="132" customFormat="1">
      <c r="B112" s="131"/>
    </row>
    <row r="113" spans="2:2" s="132" customFormat="1">
      <c r="B113" s="131"/>
    </row>
    <row r="114" spans="2:2" s="132" customFormat="1">
      <c r="B114" s="131"/>
    </row>
    <row r="115" spans="2:2" s="132" customFormat="1">
      <c r="B115" s="131"/>
    </row>
    <row r="116" spans="2:2" s="132" customFormat="1">
      <c r="B116" s="131"/>
    </row>
    <row r="117" spans="2:2" s="132" customFormat="1">
      <c r="B117" s="131"/>
    </row>
    <row r="118" spans="2:2" s="132" customFormat="1">
      <c r="B118" s="131"/>
    </row>
    <row r="119" spans="2:2" s="132" customFormat="1">
      <c r="B119" s="131"/>
    </row>
    <row r="120" spans="2:2" s="132" customFormat="1">
      <c r="B120" s="131"/>
    </row>
    <row r="121" spans="2:2" s="132" customFormat="1">
      <c r="B121" s="131"/>
    </row>
    <row r="122" spans="2:2" s="132" customFormat="1">
      <c r="B122" s="131"/>
    </row>
    <row r="123" spans="2:2" s="132" customFormat="1">
      <c r="B123" s="131"/>
    </row>
    <row r="124" spans="2:2" s="132" customFormat="1">
      <c r="B124" s="131"/>
    </row>
    <row r="125" spans="2:2" s="132" customFormat="1">
      <c r="B125" s="131"/>
    </row>
    <row r="126" spans="2:2" s="132" customFormat="1">
      <c r="B126" s="131"/>
    </row>
    <row r="127" spans="2:2" s="132" customFormat="1">
      <c r="B127" s="131"/>
    </row>
    <row r="128" spans="2:2" s="132" customFormat="1">
      <c r="B128" s="131"/>
    </row>
    <row r="129" spans="2:5" s="132" customFormat="1">
      <c r="B129" s="131"/>
    </row>
    <row r="130" spans="2:5" s="132" customFormat="1">
      <c r="B130" s="131"/>
    </row>
    <row r="131" spans="2:5" s="132" customFormat="1">
      <c r="B131" s="131"/>
    </row>
    <row r="132" spans="2:5" s="132" customFormat="1">
      <c r="B132" s="131"/>
    </row>
    <row r="133" spans="2:5" s="132" customFormat="1">
      <c r="B133" s="131"/>
    </row>
    <row r="134" spans="2:5" s="132" customFormat="1">
      <c r="B134" s="131"/>
    </row>
    <row r="135" spans="2:5" s="132" customFormat="1">
      <c r="B135" s="131"/>
    </row>
    <row r="136" spans="2:5" s="132" customFormat="1">
      <c r="B136" s="131"/>
    </row>
    <row r="137" spans="2:5" s="132" customFormat="1">
      <c r="B137" s="131"/>
    </row>
    <row r="138" spans="2:5" s="132" customFormat="1">
      <c r="B138" s="131"/>
    </row>
    <row r="139" spans="2:5" s="132" customFormat="1">
      <c r="B139" s="131"/>
    </row>
    <row r="140" spans="2:5">
      <c r="C140" s="1"/>
      <c r="D140" s="1"/>
      <c r="E140" s="1"/>
    </row>
    <row r="141" spans="2:5">
      <c r="C141" s="1"/>
      <c r="D141" s="1"/>
      <c r="E141" s="1"/>
    </row>
    <row r="142" spans="2:5">
      <c r="C142" s="1"/>
      <c r="D142" s="1"/>
      <c r="E142" s="1"/>
    </row>
    <row r="143" spans="2:5">
      <c r="C143" s="1"/>
      <c r="D143" s="1"/>
      <c r="E143" s="1"/>
    </row>
    <row r="144" spans="2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B403" s="44"/>
      <c r="C403" s="1"/>
      <c r="D403" s="1"/>
      <c r="E403" s="1"/>
    </row>
    <row r="404" spans="2:5">
      <c r="B404" s="44"/>
      <c r="C404" s="1"/>
      <c r="D404" s="1"/>
      <c r="E404" s="1"/>
    </row>
    <row r="405" spans="2:5">
      <c r="B405" s="3"/>
      <c r="C405" s="1"/>
      <c r="D405" s="1"/>
      <c r="E405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S637"/>
  <sheetViews>
    <sheetView rightToLeft="1" topLeftCell="B1" workbookViewId="0">
      <selection activeCell="B11" sqref="A11:XFD346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8.42578125" style="2" bestFit="1" customWidth="1"/>
    <col min="4" max="4" width="12.28515625" style="1" bestFit="1" customWidth="1"/>
    <col min="5" max="5" width="11.28515625" style="1" bestFit="1" customWidth="1"/>
    <col min="6" max="6" width="14.28515625" style="1" bestFit="1" customWidth="1"/>
    <col min="7" max="7" width="11.85546875" style="1" bestFit="1" customWidth="1"/>
    <col min="8" max="8" width="13.140625" style="1" bestFit="1" customWidth="1"/>
    <col min="9" max="9" width="16.140625" style="1" bestFit="1" customWidth="1"/>
    <col min="10" max="10" width="9.140625" style="1" bestFit="1" customWidth="1"/>
    <col min="11" max="11" width="9" style="1" bestFit="1" customWidth="1"/>
    <col min="12" max="12" width="10" style="3" customWidth="1"/>
    <col min="13" max="13" width="9.5703125" style="1" customWidth="1"/>
    <col min="14" max="14" width="6.140625" style="1" customWidth="1"/>
    <col min="15" max="16" width="5.710937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45">
      <c r="B1" s="57" t="s">
        <v>185</v>
      </c>
      <c r="C1" s="78" t="s" vm="1">
        <v>273</v>
      </c>
    </row>
    <row r="2" spans="2:45">
      <c r="B2" s="57" t="s">
        <v>184</v>
      </c>
      <c r="C2" s="78" t="s">
        <v>274</v>
      </c>
    </row>
    <row r="3" spans="2:45">
      <c r="B3" s="57" t="s">
        <v>186</v>
      </c>
      <c r="C3" s="78" t="s">
        <v>275</v>
      </c>
    </row>
    <row r="4" spans="2:45">
      <c r="B4" s="57" t="s">
        <v>187</v>
      </c>
      <c r="C4" s="78">
        <v>2102</v>
      </c>
    </row>
    <row r="6" spans="2:45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3"/>
    </row>
    <row r="7" spans="2:45" ht="26.25" customHeight="1">
      <c r="B7" s="181" t="s">
        <v>104</v>
      </c>
      <c r="C7" s="182"/>
      <c r="D7" s="182"/>
      <c r="E7" s="182"/>
      <c r="F7" s="182"/>
      <c r="G7" s="182"/>
      <c r="H7" s="182"/>
      <c r="I7" s="182"/>
      <c r="J7" s="182"/>
      <c r="K7" s="183"/>
    </row>
    <row r="8" spans="2:45" s="3" customFormat="1" ht="78.75">
      <c r="B8" s="23" t="s">
        <v>124</v>
      </c>
      <c r="C8" s="31" t="s">
        <v>49</v>
      </c>
      <c r="D8" s="31" t="s">
        <v>109</v>
      </c>
      <c r="E8" s="31" t="s">
        <v>110</v>
      </c>
      <c r="F8" s="31" t="s">
        <v>249</v>
      </c>
      <c r="G8" s="31" t="s">
        <v>248</v>
      </c>
      <c r="H8" s="31" t="s">
        <v>118</v>
      </c>
      <c r="I8" s="31" t="s">
        <v>64</v>
      </c>
      <c r="J8" s="31" t="s">
        <v>188</v>
      </c>
      <c r="K8" s="32" t="s">
        <v>190</v>
      </c>
      <c r="AS8" s="1"/>
    </row>
    <row r="9" spans="2:45" s="3" customFormat="1" ht="21" customHeight="1">
      <c r="B9" s="16"/>
      <c r="C9" s="17"/>
      <c r="D9" s="17"/>
      <c r="E9" s="33" t="s">
        <v>22</v>
      </c>
      <c r="F9" s="33" t="s">
        <v>256</v>
      </c>
      <c r="G9" s="33"/>
      <c r="H9" s="33" t="s">
        <v>252</v>
      </c>
      <c r="I9" s="33" t="s">
        <v>20</v>
      </c>
      <c r="J9" s="33" t="s">
        <v>20</v>
      </c>
      <c r="K9" s="34" t="s">
        <v>20</v>
      </c>
      <c r="AS9" s="1"/>
    </row>
    <row r="10" spans="2:45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AS10" s="1"/>
    </row>
    <row r="11" spans="2:45" s="135" customFormat="1" ht="18" customHeight="1">
      <c r="B11" s="79" t="s">
        <v>2218</v>
      </c>
      <c r="C11" s="80"/>
      <c r="D11" s="80"/>
      <c r="E11" s="80"/>
      <c r="F11" s="88"/>
      <c r="G11" s="90"/>
      <c r="H11" s="88">
        <v>3300128.8312199996</v>
      </c>
      <c r="I11" s="80"/>
      <c r="J11" s="89">
        <f>H11/$H$11</f>
        <v>1</v>
      </c>
      <c r="K11" s="89">
        <f>H11/'סכום נכסי הקרן'!$C$42</f>
        <v>5.6794912655183237E-2</v>
      </c>
      <c r="AS11" s="132"/>
    </row>
    <row r="12" spans="2:45" s="132" customFormat="1" ht="21" customHeight="1">
      <c r="B12" s="81" t="s">
        <v>2219</v>
      </c>
      <c r="C12" s="82"/>
      <c r="D12" s="82"/>
      <c r="E12" s="82"/>
      <c r="F12" s="91"/>
      <c r="G12" s="93"/>
      <c r="H12" s="91">
        <v>403722.22532999993</v>
      </c>
      <c r="I12" s="82"/>
      <c r="J12" s="92">
        <f t="shared" ref="J12:J22" si="0">H12/$H$11</f>
        <v>0.1223352923409208</v>
      </c>
      <c r="K12" s="92">
        <f>H12/'סכום נכסי הקרן'!$C$42</f>
        <v>6.9480222431489037E-3</v>
      </c>
    </row>
    <row r="13" spans="2:45" s="132" customFormat="1">
      <c r="B13" s="102" t="s">
        <v>237</v>
      </c>
      <c r="C13" s="82"/>
      <c r="D13" s="82"/>
      <c r="E13" s="82"/>
      <c r="F13" s="91"/>
      <c r="G13" s="93"/>
      <c r="H13" s="91">
        <v>86350.759489999997</v>
      </c>
      <c r="I13" s="82"/>
      <c r="J13" s="92">
        <f t="shared" si="0"/>
        <v>2.6165875305564249E-2</v>
      </c>
      <c r="K13" s="92">
        <f>H13/'סכום נכסי הקרן'!$C$42</f>
        <v>1.4860886025259376E-3</v>
      </c>
    </row>
    <row r="14" spans="2:45" s="132" customFormat="1">
      <c r="B14" s="87" t="s">
        <v>2220</v>
      </c>
      <c r="C14" s="84">
        <v>5224</v>
      </c>
      <c r="D14" s="97" t="s">
        <v>169</v>
      </c>
      <c r="E14" s="107">
        <v>40802</v>
      </c>
      <c r="F14" s="94">
        <v>6561947.2999999998</v>
      </c>
      <c r="G14" s="96">
        <v>160.82390000000001</v>
      </c>
      <c r="H14" s="94">
        <v>36471.788560000001</v>
      </c>
      <c r="I14" s="95">
        <v>0.10290296354158364</v>
      </c>
      <c r="J14" s="95">
        <f t="shared" si="0"/>
        <v>1.1051625686539342E-2</v>
      </c>
      <c r="K14" s="95">
        <f>H14/'סכום נכסי הקרן'!$C$42</f>
        <v>6.2767611556478135E-4</v>
      </c>
    </row>
    <row r="15" spans="2:45" s="132" customFormat="1">
      <c r="B15" s="87" t="s">
        <v>2221</v>
      </c>
      <c r="C15" s="84">
        <v>5039</v>
      </c>
      <c r="D15" s="97" t="s">
        <v>169</v>
      </c>
      <c r="E15" s="107">
        <v>39182</v>
      </c>
      <c r="F15" s="94">
        <v>3512431</v>
      </c>
      <c r="G15" s="96">
        <v>132.5147</v>
      </c>
      <c r="H15" s="94">
        <v>16085.908449999999</v>
      </c>
      <c r="I15" s="95">
        <v>2.0100502512562814E-2</v>
      </c>
      <c r="J15" s="95">
        <f t="shared" si="0"/>
        <v>4.8743274195308679E-3</v>
      </c>
      <c r="K15" s="95">
        <f>H15/'סכום נכסי הקרן'!$C$42</f>
        <v>2.7683700004502035E-4</v>
      </c>
    </row>
    <row r="16" spans="2:45" s="132" customFormat="1">
      <c r="B16" s="87" t="s">
        <v>2222</v>
      </c>
      <c r="C16" s="84">
        <v>5028</v>
      </c>
      <c r="D16" s="97" t="s">
        <v>169</v>
      </c>
      <c r="E16" s="107">
        <v>39349</v>
      </c>
      <c r="F16" s="94">
        <v>1669667.85</v>
      </c>
      <c r="G16" s="96">
        <v>147.44739999999999</v>
      </c>
      <c r="H16" s="94">
        <v>8508.2636000000002</v>
      </c>
      <c r="I16" s="95">
        <v>0.1</v>
      </c>
      <c r="J16" s="95">
        <f t="shared" si="0"/>
        <v>2.5781610461718383E-3</v>
      </c>
      <c r="K16" s="95">
        <f>H16/'סכום נכסי הקרן'!$C$42</f>
        <v>1.4642643142832539E-4</v>
      </c>
    </row>
    <row r="17" spans="2:11" s="132" customFormat="1">
      <c r="B17" s="87" t="s">
        <v>2223</v>
      </c>
      <c r="C17" s="84">
        <v>5074</v>
      </c>
      <c r="D17" s="97" t="s">
        <v>169</v>
      </c>
      <c r="E17" s="107">
        <v>38925</v>
      </c>
      <c r="F17" s="94">
        <v>1220443</v>
      </c>
      <c r="G17" s="96">
        <v>19.894400000000001</v>
      </c>
      <c r="H17" s="94">
        <v>839.11613999999997</v>
      </c>
      <c r="I17" s="95">
        <v>1.7623785060317403E-2</v>
      </c>
      <c r="J17" s="95">
        <f t="shared" si="0"/>
        <v>2.5426769163123657E-4</v>
      </c>
      <c r="K17" s="95">
        <f>H17/'סכום נכסי הקרן'!$C$42</f>
        <v>1.4441111337231146E-5</v>
      </c>
    </row>
    <row r="18" spans="2:11" s="132" customFormat="1">
      <c r="B18" s="87" t="s">
        <v>2224</v>
      </c>
      <c r="C18" s="84">
        <v>5277</v>
      </c>
      <c r="D18" s="97" t="s">
        <v>169</v>
      </c>
      <c r="E18" s="107">
        <v>42545</v>
      </c>
      <c r="F18" s="94">
        <v>3904997.05</v>
      </c>
      <c r="G18" s="96">
        <v>116.50660000000001</v>
      </c>
      <c r="H18" s="94">
        <v>15723.346019999999</v>
      </c>
      <c r="I18" s="95">
        <v>3.1649999999999998E-2</v>
      </c>
      <c r="J18" s="95">
        <f t="shared" si="0"/>
        <v>4.7644643055305674E-3</v>
      </c>
      <c r="K18" s="95">
        <f>H18/'סכום נכסי הקרן'!$C$42</f>
        <v>2.7059733408134687E-4</v>
      </c>
    </row>
    <row r="19" spans="2:11" s="132" customFormat="1">
      <c r="B19" s="87" t="s">
        <v>2225</v>
      </c>
      <c r="C19" s="84">
        <v>5123</v>
      </c>
      <c r="D19" s="97" t="s">
        <v>169</v>
      </c>
      <c r="E19" s="107">
        <v>40668</v>
      </c>
      <c r="F19" s="94">
        <v>2017858.48</v>
      </c>
      <c r="G19" s="96">
        <v>71.467799999999997</v>
      </c>
      <c r="H19" s="94">
        <v>4983.9634999999998</v>
      </c>
      <c r="I19" s="95">
        <v>9.45945945945946E-3</v>
      </c>
      <c r="J19" s="95">
        <f t="shared" si="0"/>
        <v>1.5102330105572017E-3</v>
      </c>
      <c r="K19" s="95">
        <f>H19/'סכום נכסי הקרן'!$C$42</f>
        <v>8.577355192357071E-5</v>
      </c>
    </row>
    <row r="20" spans="2:11" s="132" customFormat="1">
      <c r="B20" s="87" t="s">
        <v>2226</v>
      </c>
      <c r="C20" s="84">
        <v>2162</v>
      </c>
      <c r="D20" s="97" t="s">
        <v>169</v>
      </c>
      <c r="E20" s="107">
        <v>38495</v>
      </c>
      <c r="F20" s="94">
        <v>895491</v>
      </c>
      <c r="G20" s="96">
        <v>2.7936999999999999</v>
      </c>
      <c r="H20" s="94">
        <v>86.459890000000001</v>
      </c>
      <c r="I20" s="95">
        <v>5.7574501404817832E-3</v>
      </c>
      <c r="J20" s="95">
        <f t="shared" si="0"/>
        <v>2.6198943866090614E-5</v>
      </c>
      <c r="K20" s="95">
        <f>H20/'סכום נכסי הקרן'!$C$42</f>
        <v>1.4879667285326653E-6</v>
      </c>
    </row>
    <row r="21" spans="2:11" s="132" customFormat="1">
      <c r="B21" s="87" t="s">
        <v>2227</v>
      </c>
      <c r="C21" s="84">
        <v>5226</v>
      </c>
      <c r="D21" s="97" t="s">
        <v>170</v>
      </c>
      <c r="E21" s="107">
        <v>40941</v>
      </c>
      <c r="F21" s="94">
        <v>4121545.73</v>
      </c>
      <c r="G21" s="96">
        <v>76.867199999999997</v>
      </c>
      <c r="H21" s="94">
        <v>3168.1167999999998</v>
      </c>
      <c r="I21" s="95">
        <v>6.4444439999999992E-2</v>
      </c>
      <c r="J21" s="95">
        <f t="shared" si="0"/>
        <v>9.5999791584766786E-4</v>
      </c>
      <c r="K21" s="95">
        <f>H21/'סכום נכסי הקרן'!$C$42</f>
        <v>5.452299777972625E-5</v>
      </c>
    </row>
    <row r="22" spans="2:11" s="132" customFormat="1" ht="16.5" customHeight="1">
      <c r="B22" s="87" t="s">
        <v>2228</v>
      </c>
      <c r="C22" s="84">
        <v>5260</v>
      </c>
      <c r="D22" s="97" t="s">
        <v>170</v>
      </c>
      <c r="E22" s="107">
        <v>42295</v>
      </c>
      <c r="F22" s="94">
        <v>619837.93999999994</v>
      </c>
      <c r="G22" s="96">
        <v>78.052099999999996</v>
      </c>
      <c r="H22" s="94">
        <v>483.79653000000002</v>
      </c>
      <c r="I22" s="95">
        <v>6.4444439999999992E-2</v>
      </c>
      <c r="J22" s="95">
        <f t="shared" si="0"/>
        <v>1.4659928588943872E-4</v>
      </c>
      <c r="K22" s="95">
        <f>H22/'סכום נכסי הקרן'!$C$42</f>
        <v>8.3260936374029102E-6</v>
      </c>
    </row>
    <row r="23" spans="2:11" s="132" customFormat="1" ht="16.5" customHeight="1">
      <c r="B23" s="83"/>
      <c r="C23" s="84"/>
      <c r="D23" s="84"/>
      <c r="E23" s="84"/>
      <c r="F23" s="94"/>
      <c r="G23" s="96"/>
      <c r="H23" s="84"/>
      <c r="I23" s="84"/>
      <c r="J23" s="95"/>
      <c r="K23" s="84"/>
    </row>
    <row r="24" spans="2:11" s="137" customFormat="1" ht="16.5" customHeight="1">
      <c r="B24" s="123" t="s">
        <v>240</v>
      </c>
      <c r="C24" s="124"/>
      <c r="D24" s="124"/>
      <c r="E24" s="124"/>
      <c r="F24" s="125"/>
      <c r="G24" s="127"/>
      <c r="H24" s="125">
        <v>32032.947470000006</v>
      </c>
      <c r="I24" s="124"/>
      <c r="J24" s="126">
        <f t="shared" ref="J24:J26" si="1">H24/$H$11</f>
        <v>9.7065748364005503E-3</v>
      </c>
      <c r="K24" s="126">
        <f>H24/'סכום נכסי הקרן'!$C$42</f>
        <v>5.5128407001436884E-4</v>
      </c>
    </row>
    <row r="25" spans="2:11" s="132" customFormat="1">
      <c r="B25" s="87" t="s">
        <v>2229</v>
      </c>
      <c r="C25" s="84">
        <v>5265</v>
      </c>
      <c r="D25" s="97" t="s">
        <v>170</v>
      </c>
      <c r="E25" s="107">
        <v>42185</v>
      </c>
      <c r="F25" s="94">
        <v>31274844.620000001</v>
      </c>
      <c r="G25" s="96">
        <v>102.42400000000001</v>
      </c>
      <c r="H25" s="94">
        <v>32032.94685</v>
      </c>
      <c r="I25" s="95">
        <v>5.1162790697674418E-2</v>
      </c>
      <c r="J25" s="95">
        <f t="shared" si="1"/>
        <v>9.7065746485290941E-3</v>
      </c>
      <c r="K25" s="95">
        <f>H25/'סכום נכסי הקרן'!$C$42</f>
        <v>5.5128405934422591E-4</v>
      </c>
    </row>
    <row r="26" spans="2:11" s="132" customFormat="1">
      <c r="B26" s="87" t="s">
        <v>2230</v>
      </c>
      <c r="C26" s="84">
        <v>7004</v>
      </c>
      <c r="D26" s="97" t="s">
        <v>170</v>
      </c>
      <c r="E26" s="107">
        <v>43614</v>
      </c>
      <c r="F26" s="94">
        <v>620552.46</v>
      </c>
      <c r="G26" s="96">
        <v>0</v>
      </c>
      <c r="H26" s="94">
        <v>6.2E-4</v>
      </c>
      <c r="I26" s="95">
        <v>7.3064183033333341E-2</v>
      </c>
      <c r="J26" s="95">
        <f t="shared" si="1"/>
        <v>1.8787145342165229E-10</v>
      </c>
      <c r="K26" s="95">
        <f>H26/'סכום נכסי הקרן'!$C$42</f>
        <v>1.067014278748507E-11</v>
      </c>
    </row>
    <row r="27" spans="2:11" s="132" customFormat="1">
      <c r="B27" s="83"/>
      <c r="C27" s="84"/>
      <c r="D27" s="84"/>
      <c r="E27" s="84"/>
      <c r="F27" s="94"/>
      <c r="G27" s="96"/>
      <c r="H27" s="84"/>
      <c r="I27" s="84"/>
      <c r="J27" s="95"/>
      <c r="K27" s="84"/>
    </row>
    <row r="28" spans="2:11" s="132" customFormat="1">
      <c r="B28" s="102" t="s">
        <v>241</v>
      </c>
      <c r="C28" s="82"/>
      <c r="D28" s="82"/>
      <c r="E28" s="82"/>
      <c r="F28" s="91"/>
      <c r="G28" s="93"/>
      <c r="H28" s="91">
        <v>285338.51837000001</v>
      </c>
      <c r="I28" s="82"/>
      <c r="J28" s="92">
        <f t="shared" ref="J28:J55" si="2">H28/$H$11</f>
        <v>8.646284219895603E-2</v>
      </c>
      <c r="K28" s="92">
        <f>H28/'סכום נכסי הקרן'!$C$42</f>
        <v>4.910649570608599E-3</v>
      </c>
    </row>
    <row r="29" spans="2:11" s="132" customFormat="1">
      <c r="B29" s="87" t="s">
        <v>2231</v>
      </c>
      <c r="C29" s="84">
        <v>5271</v>
      </c>
      <c r="D29" s="97" t="s">
        <v>169</v>
      </c>
      <c r="E29" s="107">
        <v>42368</v>
      </c>
      <c r="F29" s="94">
        <v>7355259.7800000003</v>
      </c>
      <c r="G29" s="96">
        <v>86.613399999999999</v>
      </c>
      <c r="H29" s="94">
        <v>22016.933840000002</v>
      </c>
      <c r="I29" s="95">
        <v>9.7020626432391135E-2</v>
      </c>
      <c r="J29" s="95">
        <f t="shared" si="2"/>
        <v>6.6715376780792915E-3</v>
      </c>
      <c r="K29" s="95">
        <f>H29/'סכום נכסי הקרן'!$C$42</f>
        <v>3.7890939970227733E-4</v>
      </c>
    </row>
    <row r="30" spans="2:11" s="132" customFormat="1">
      <c r="B30" s="87" t="s">
        <v>2232</v>
      </c>
      <c r="C30" s="84">
        <v>5272</v>
      </c>
      <c r="D30" s="97" t="s">
        <v>169</v>
      </c>
      <c r="E30" s="107">
        <v>42572</v>
      </c>
      <c r="F30" s="94">
        <v>5724091.3799999999</v>
      </c>
      <c r="G30" s="96">
        <v>109.4956</v>
      </c>
      <c r="H30" s="94">
        <v>21660.923059999997</v>
      </c>
      <c r="I30" s="95">
        <v>1.1681818181818182E-2</v>
      </c>
      <c r="J30" s="95">
        <f t="shared" si="2"/>
        <v>6.5636598350593284E-3</v>
      </c>
      <c r="K30" s="95">
        <f>H30/'סכום נכסי הקרן'!$C$42</f>
        <v>3.7278248703052902E-4</v>
      </c>
    </row>
    <row r="31" spans="2:11" s="132" customFormat="1">
      <c r="B31" s="87" t="s">
        <v>2233</v>
      </c>
      <c r="C31" s="84">
        <v>5072</v>
      </c>
      <c r="D31" s="97" t="s">
        <v>169</v>
      </c>
      <c r="E31" s="107">
        <v>38644</v>
      </c>
      <c r="F31" s="94">
        <v>1938383</v>
      </c>
      <c r="G31" s="96">
        <v>22.3687</v>
      </c>
      <c r="H31" s="94">
        <v>1498.4907700000001</v>
      </c>
      <c r="I31" s="95">
        <v>1.3644705513143262E-2</v>
      </c>
      <c r="J31" s="95">
        <f t="shared" si="2"/>
        <v>4.54070385320695E-4</v>
      </c>
      <c r="K31" s="95">
        <f>H31/'סכום נכסי הקרן'!$C$42</f>
        <v>2.5788887873594272E-5</v>
      </c>
    </row>
    <row r="32" spans="2:11" s="132" customFormat="1">
      <c r="B32" s="87" t="s">
        <v>2234</v>
      </c>
      <c r="C32" s="84">
        <v>5084</v>
      </c>
      <c r="D32" s="97" t="s">
        <v>169</v>
      </c>
      <c r="E32" s="107">
        <v>39456</v>
      </c>
      <c r="F32" s="94">
        <v>2430946</v>
      </c>
      <c r="G32" s="96">
        <v>29.4819</v>
      </c>
      <c r="H32" s="94">
        <v>2476.87743</v>
      </c>
      <c r="I32" s="95">
        <v>5.8964002476488107E-3</v>
      </c>
      <c r="J32" s="95">
        <f t="shared" si="2"/>
        <v>7.5053961729255945E-4</v>
      </c>
      <c r="K32" s="95">
        <f>H32/'סכום נכסי הקרן'!$C$42</f>
        <v>4.2626832008385569E-5</v>
      </c>
    </row>
    <row r="33" spans="2:12" s="132" customFormat="1">
      <c r="B33" s="87" t="s">
        <v>2235</v>
      </c>
      <c r="C33" s="84">
        <v>5099</v>
      </c>
      <c r="D33" s="97" t="s">
        <v>169</v>
      </c>
      <c r="E33" s="107">
        <v>39762</v>
      </c>
      <c r="F33" s="94">
        <v>3720536.41</v>
      </c>
      <c r="G33" s="96">
        <v>73.180400000000006</v>
      </c>
      <c r="H33" s="94">
        <v>9409.6630600000008</v>
      </c>
      <c r="I33" s="95">
        <v>4.5509570662710365E-2</v>
      </c>
      <c r="J33" s="95">
        <f t="shared" si="2"/>
        <v>2.8513017343390844E-3</v>
      </c>
      <c r="K33" s="95">
        <f>H33/'סכום נכסי הקרן'!$C$42</f>
        <v>1.6193943295536079E-4</v>
      </c>
    </row>
    <row r="34" spans="2:12" s="132" customFormat="1">
      <c r="B34" s="87" t="s">
        <v>2236</v>
      </c>
      <c r="C34" s="84">
        <v>5228</v>
      </c>
      <c r="D34" s="97" t="s">
        <v>169</v>
      </c>
      <c r="E34" s="107">
        <v>41086</v>
      </c>
      <c r="F34" s="94">
        <v>3151575.98</v>
      </c>
      <c r="G34" s="96">
        <v>116.4765</v>
      </c>
      <c r="H34" s="94">
        <v>12686.44166</v>
      </c>
      <c r="I34" s="95">
        <v>1.1320754716981131E-2</v>
      </c>
      <c r="J34" s="95">
        <f t="shared" si="2"/>
        <v>3.844226182924515E-3</v>
      </c>
      <c r="K34" s="95">
        <f>H34/'סכום נכסי הקרן'!$C$42</f>
        <v>2.183324902859663E-4</v>
      </c>
    </row>
    <row r="35" spans="2:12" s="132" customFormat="1">
      <c r="B35" s="87" t="s">
        <v>2237</v>
      </c>
      <c r="C35" s="84" t="s">
        <v>2238</v>
      </c>
      <c r="D35" s="97" t="s">
        <v>169</v>
      </c>
      <c r="E35" s="107">
        <v>41508</v>
      </c>
      <c r="F35" s="94">
        <v>1925000</v>
      </c>
      <c r="G35" s="96">
        <v>20.033200000000001</v>
      </c>
      <c r="H35" s="94">
        <v>1332.76873</v>
      </c>
      <c r="I35" s="95">
        <v>6.3969703948210124E-2</v>
      </c>
      <c r="J35" s="95">
        <f t="shared" si="2"/>
        <v>4.0385354577424142E-4</v>
      </c>
      <c r="K35" s="95">
        <f>H35/'סכום נכסי הקרן'!$C$42</f>
        <v>2.2936826857734089E-5</v>
      </c>
    </row>
    <row r="36" spans="2:12" s="132" customFormat="1">
      <c r="B36" s="87" t="s">
        <v>2239</v>
      </c>
      <c r="C36" s="84">
        <v>5323</v>
      </c>
      <c r="D36" s="97" t="s">
        <v>170</v>
      </c>
      <c r="E36" s="107">
        <v>43191</v>
      </c>
      <c r="F36" s="94">
        <v>616.26</v>
      </c>
      <c r="G36" s="96">
        <v>1610194.0314</v>
      </c>
      <c r="H36" s="94">
        <v>9922.9753000000001</v>
      </c>
      <c r="I36" s="95">
        <v>7.7928790624999994E-2</v>
      </c>
      <c r="J36" s="95">
        <f t="shared" si="2"/>
        <v>3.0068448256099297E-3</v>
      </c>
      <c r="K36" s="95">
        <f>H36/'סכום נכסי הקרן'!$C$42</f>
        <v>1.7077348923820562E-4</v>
      </c>
    </row>
    <row r="37" spans="2:12" s="132" customFormat="1">
      <c r="B37" s="87" t="s">
        <v>2240</v>
      </c>
      <c r="C37" s="84">
        <v>6662</v>
      </c>
      <c r="D37" s="97" t="s">
        <v>169</v>
      </c>
      <c r="E37" s="107">
        <v>40583</v>
      </c>
      <c r="F37" s="94">
        <v>109596.3</v>
      </c>
      <c r="G37" s="96">
        <v>29.158799999999999</v>
      </c>
      <c r="H37" s="94">
        <v>110.44325000000001</v>
      </c>
      <c r="I37" s="95">
        <v>4.7650550347826087E-2</v>
      </c>
      <c r="J37" s="95">
        <f t="shared" si="2"/>
        <v>3.3466344996953065E-5</v>
      </c>
      <c r="K37" s="95">
        <f>H37/'סכום נכסי הקרן'!$C$42</f>
        <v>1.9007181409901781E-6</v>
      </c>
    </row>
    <row r="38" spans="2:12" s="132" customFormat="1">
      <c r="B38" s="87" t="s">
        <v>2241</v>
      </c>
      <c r="C38" s="84">
        <v>5322</v>
      </c>
      <c r="D38" s="97" t="s">
        <v>171</v>
      </c>
      <c r="E38" s="107">
        <v>43191</v>
      </c>
      <c r="F38" s="94">
        <v>6554610.3499999996</v>
      </c>
      <c r="G38" s="96">
        <v>192.70160000000001</v>
      </c>
      <c r="H38" s="94">
        <v>48984.919880000001</v>
      </c>
      <c r="I38" s="95">
        <v>7.2895585919999992E-2</v>
      </c>
      <c r="J38" s="95">
        <f t="shared" si="2"/>
        <v>1.4843335634836759E-2</v>
      </c>
      <c r="K38" s="95">
        <f>H38/'סכום נכסי הקרן'!$C$42</f>
        <v>8.430259508921226E-4</v>
      </c>
      <c r="L38" s="141"/>
    </row>
    <row r="39" spans="2:12" s="132" customFormat="1">
      <c r="B39" s="87" t="s">
        <v>2242</v>
      </c>
      <c r="C39" s="84">
        <v>5259</v>
      </c>
      <c r="D39" s="97" t="s">
        <v>170</v>
      </c>
      <c r="E39" s="107">
        <v>42094</v>
      </c>
      <c r="F39" s="94">
        <v>18171006.329999998</v>
      </c>
      <c r="G39" s="96">
        <v>101.2377</v>
      </c>
      <c r="H39" s="94">
        <v>18395.908869999999</v>
      </c>
      <c r="I39" s="95">
        <v>2.5336755999999998E-2</v>
      </c>
      <c r="J39" s="95">
        <f t="shared" si="2"/>
        <v>5.5743002200309118E-3</v>
      </c>
      <c r="K39" s="95">
        <f>H39/'סכום נכסי הקרן'!$C$42</f>
        <v>3.1659189411042434E-4</v>
      </c>
      <c r="L39" s="141"/>
    </row>
    <row r="40" spans="2:12" s="132" customFormat="1">
      <c r="B40" s="87" t="s">
        <v>2243</v>
      </c>
      <c r="C40" s="84">
        <v>5279</v>
      </c>
      <c r="D40" s="97" t="s">
        <v>170</v>
      </c>
      <c r="E40" s="107">
        <v>42589</v>
      </c>
      <c r="F40" s="94">
        <v>14464532.439999999</v>
      </c>
      <c r="G40" s="96">
        <v>104.98480000000001</v>
      </c>
      <c r="H40" s="94">
        <v>15185.560460000001</v>
      </c>
      <c r="I40" s="95">
        <v>3.2386492489951339E-2</v>
      </c>
      <c r="J40" s="95">
        <f t="shared" si="2"/>
        <v>4.6015053461977012E-3</v>
      </c>
      <c r="K40" s="95">
        <f>H40/'סכום נכסי הקרן'!$C$42</f>
        <v>2.6134209421965716E-4</v>
      </c>
      <c r="L40" s="141"/>
    </row>
    <row r="41" spans="2:12" s="132" customFormat="1">
      <c r="B41" s="87" t="s">
        <v>2244</v>
      </c>
      <c r="C41" s="84">
        <v>5067</v>
      </c>
      <c r="D41" s="97" t="s">
        <v>169</v>
      </c>
      <c r="E41" s="107">
        <v>38727</v>
      </c>
      <c r="F41" s="94">
        <v>2149426.58</v>
      </c>
      <c r="G41" s="96">
        <v>34.614899999999999</v>
      </c>
      <c r="H41" s="94">
        <v>2571.3395499999997</v>
      </c>
      <c r="I41" s="95">
        <v>5.4199562790193494E-2</v>
      </c>
      <c r="J41" s="95">
        <f t="shared" si="2"/>
        <v>7.7916338467593123E-4</v>
      </c>
      <c r="K41" s="95">
        <f>H41/'סכום נכסי הקרן'!$C$42</f>
        <v>4.4252516376786453E-5</v>
      </c>
      <c r="L41" s="141"/>
    </row>
    <row r="42" spans="2:12" s="132" customFormat="1">
      <c r="B42" s="87" t="s">
        <v>2245</v>
      </c>
      <c r="C42" s="84">
        <v>5081</v>
      </c>
      <c r="D42" s="97" t="s">
        <v>169</v>
      </c>
      <c r="E42" s="107">
        <v>39379</v>
      </c>
      <c r="F42" s="94">
        <v>3039184</v>
      </c>
      <c r="G42" s="96">
        <v>35.7759</v>
      </c>
      <c r="H42" s="94">
        <v>3757.69301</v>
      </c>
      <c r="I42" s="95">
        <v>2.5000000000000001E-2</v>
      </c>
      <c r="J42" s="95">
        <f t="shared" si="2"/>
        <v>1.1386503988727152E-3</v>
      </c>
      <c r="K42" s="95">
        <f>H42/'סכום נכסי הקרן'!$C$42</f>
        <v>6.4669549948765415E-5</v>
      </c>
      <c r="L42" s="141"/>
    </row>
    <row r="43" spans="2:12" s="132" customFormat="1">
      <c r="B43" s="87" t="s">
        <v>2246</v>
      </c>
      <c r="C43" s="84">
        <v>5078</v>
      </c>
      <c r="D43" s="97" t="s">
        <v>169</v>
      </c>
      <c r="E43" s="107">
        <v>39080</v>
      </c>
      <c r="F43" s="94">
        <v>7462294.5599999996</v>
      </c>
      <c r="G43" s="96">
        <v>46.586500000000001</v>
      </c>
      <c r="H43" s="94">
        <v>12014.513949999999</v>
      </c>
      <c r="I43" s="95">
        <v>8.5387029288702926E-2</v>
      </c>
      <c r="J43" s="95">
        <f t="shared" si="2"/>
        <v>3.6406196740987364E-3</v>
      </c>
      <c r="K43" s="95">
        <f>H43/'סכום נכסי הקרן'!$C$42</f>
        <v>2.0676867640117939E-4</v>
      </c>
      <c r="L43" s="141"/>
    </row>
    <row r="44" spans="2:12" s="132" customFormat="1">
      <c r="B44" s="87" t="s">
        <v>2247</v>
      </c>
      <c r="C44" s="84">
        <v>5289</v>
      </c>
      <c r="D44" s="97" t="s">
        <v>169</v>
      </c>
      <c r="E44" s="107">
        <v>42747</v>
      </c>
      <c r="F44" s="94">
        <v>3432928.29</v>
      </c>
      <c r="G44" s="96">
        <v>115.09050000000001</v>
      </c>
      <c r="H44" s="94">
        <v>13654.567279999999</v>
      </c>
      <c r="I44" s="95">
        <v>4.8904761904761902E-2</v>
      </c>
      <c r="J44" s="95">
        <f t="shared" si="2"/>
        <v>4.1375861302215119E-3</v>
      </c>
      <c r="K44" s="95">
        <f>H44/'סכום נכסי הקרן'!$C$42</f>
        <v>2.349938428692284E-4</v>
      </c>
      <c r="L44" s="141"/>
    </row>
    <row r="45" spans="2:12" s="132" customFormat="1">
      <c r="B45" s="87" t="s">
        <v>2248</v>
      </c>
      <c r="C45" s="84">
        <v>5230</v>
      </c>
      <c r="D45" s="97" t="s">
        <v>169</v>
      </c>
      <c r="E45" s="107">
        <v>40372</v>
      </c>
      <c r="F45" s="94">
        <v>4230763.08</v>
      </c>
      <c r="G45" s="96">
        <v>94.194299999999998</v>
      </c>
      <c r="H45" s="94">
        <v>13772.635789999998</v>
      </c>
      <c r="I45" s="95">
        <v>4.573170731707317E-2</v>
      </c>
      <c r="J45" s="95">
        <f t="shared" si="2"/>
        <v>4.1733630698618813E-3</v>
      </c>
      <c r="K45" s="95">
        <f>H45/'סכום נכסי הקרן'!$C$42</f>
        <v>2.3702579103117291E-4</v>
      </c>
      <c r="L45" s="141"/>
    </row>
    <row r="46" spans="2:12" s="132" customFormat="1">
      <c r="B46" s="87" t="s">
        <v>2249</v>
      </c>
      <c r="C46" s="84">
        <v>5049</v>
      </c>
      <c r="D46" s="97" t="s">
        <v>169</v>
      </c>
      <c r="E46" s="107">
        <v>38721</v>
      </c>
      <c r="F46" s="94">
        <v>1313941.82</v>
      </c>
      <c r="G46" s="96">
        <v>1E-4</v>
      </c>
      <c r="H46" s="94">
        <v>4.5300000000000002E-3</v>
      </c>
      <c r="I46" s="95">
        <v>2.2484587837064411E-2</v>
      </c>
      <c r="J46" s="95">
        <f t="shared" si="2"/>
        <v>1.3726736838711048E-9</v>
      </c>
      <c r="K46" s="95">
        <f>H46/'סכום נכסי הקרן'!$C$42</f>
        <v>7.7960881979528004E-11</v>
      </c>
      <c r="L46" s="141"/>
    </row>
    <row r="47" spans="2:12" s="132" customFormat="1">
      <c r="B47" s="87" t="s">
        <v>2250</v>
      </c>
      <c r="C47" s="84">
        <v>5047</v>
      </c>
      <c r="D47" s="97" t="s">
        <v>169</v>
      </c>
      <c r="E47" s="107">
        <v>38176</v>
      </c>
      <c r="F47" s="94">
        <v>6341868.7599999998</v>
      </c>
      <c r="G47" s="96">
        <v>12.8743</v>
      </c>
      <c r="H47" s="94">
        <v>2821.7244999999998</v>
      </c>
      <c r="I47" s="95">
        <v>4.8000000000000001E-2</v>
      </c>
      <c r="J47" s="95">
        <f t="shared" si="2"/>
        <v>8.5503464995239536E-4</v>
      </c>
      <c r="K47" s="95">
        <f>H47/'סכום נכסי הקרן'!$C$42</f>
        <v>4.856161826120147E-5</v>
      </c>
      <c r="L47" s="141"/>
    </row>
    <row r="48" spans="2:12" s="132" customFormat="1">
      <c r="B48" s="87" t="s">
        <v>2251</v>
      </c>
      <c r="C48" s="84">
        <v>5256</v>
      </c>
      <c r="D48" s="97" t="s">
        <v>169</v>
      </c>
      <c r="E48" s="107">
        <v>41638</v>
      </c>
      <c r="F48" s="94">
        <v>6445228</v>
      </c>
      <c r="G48" s="96">
        <v>117.5556</v>
      </c>
      <c r="H48" s="94">
        <v>26185.16661</v>
      </c>
      <c r="I48" s="95">
        <v>2.7615053517973717E-2</v>
      </c>
      <c r="J48" s="95">
        <f t="shared" si="2"/>
        <v>7.9345892082400317E-3</v>
      </c>
      <c r="K48" s="95">
        <f>H48/'סכום נכסי הקרן'!$C$42</f>
        <v>4.5064430103675221E-4</v>
      </c>
      <c r="L48" s="141"/>
    </row>
    <row r="49" spans="2:12" s="132" customFormat="1">
      <c r="B49" s="87" t="s">
        <v>2252</v>
      </c>
      <c r="C49" s="84">
        <v>5310</v>
      </c>
      <c r="D49" s="97" t="s">
        <v>169</v>
      </c>
      <c r="E49" s="107">
        <v>43116</v>
      </c>
      <c r="F49" s="94">
        <v>4956465.79</v>
      </c>
      <c r="G49" s="96">
        <v>97.221000000000004</v>
      </c>
      <c r="H49" s="94">
        <v>16653.515670000001</v>
      </c>
      <c r="I49" s="95">
        <v>3.3337430523159704E-2</v>
      </c>
      <c r="J49" s="95">
        <f t="shared" si="2"/>
        <v>5.0463228927470349E-3</v>
      </c>
      <c r="K49" s="95">
        <f>H49/'סכום נכסי הקרן'!$C$42</f>
        <v>2.8660546792341946E-4</v>
      </c>
      <c r="L49" s="141"/>
    </row>
    <row r="50" spans="2:12" s="132" customFormat="1">
      <c r="B50" s="87" t="s">
        <v>2253</v>
      </c>
      <c r="C50" s="84">
        <v>5300</v>
      </c>
      <c r="D50" s="97" t="s">
        <v>169</v>
      </c>
      <c r="E50" s="107">
        <v>42936</v>
      </c>
      <c r="F50" s="94">
        <v>1593174.17</v>
      </c>
      <c r="G50" s="96">
        <v>105.26139999999999</v>
      </c>
      <c r="H50" s="94">
        <v>5795.7031200000001</v>
      </c>
      <c r="I50" s="95">
        <v>1.1666666818181818E-3</v>
      </c>
      <c r="J50" s="95">
        <f t="shared" si="2"/>
        <v>1.7562051108948467E-3</v>
      </c>
      <c r="K50" s="95">
        <f>H50/'סכום נכסי הקרן'!$C$42</f>
        <v>9.9743515877859213E-5</v>
      </c>
      <c r="L50" s="141"/>
    </row>
    <row r="51" spans="2:12" s="132" customFormat="1">
      <c r="B51" s="87" t="s">
        <v>2254</v>
      </c>
      <c r="C51" s="84">
        <v>7026</v>
      </c>
      <c r="D51" s="97" t="s">
        <v>169</v>
      </c>
      <c r="E51" s="107">
        <v>43755</v>
      </c>
      <c r="F51" s="94">
        <v>137574.93</v>
      </c>
      <c r="G51" s="96">
        <v>100</v>
      </c>
      <c r="H51" s="94">
        <v>475.45896000000005</v>
      </c>
      <c r="I51" s="95">
        <v>0.26456667047619048</v>
      </c>
      <c r="J51" s="95">
        <f t="shared" si="2"/>
        <v>1.4407284815733427E-4</v>
      </c>
      <c r="K51" s="95">
        <f>H51/'סכום נכסי הקרן'!$C$42</f>
        <v>8.1826048270792781E-6</v>
      </c>
      <c r="L51" s="141"/>
    </row>
    <row r="52" spans="2:12" s="132" customFormat="1">
      <c r="B52" s="87" t="s">
        <v>2255</v>
      </c>
      <c r="C52" s="84">
        <v>5094</v>
      </c>
      <c r="D52" s="97" t="s">
        <v>169</v>
      </c>
      <c r="E52" s="107">
        <v>39717</v>
      </c>
      <c r="F52" s="94">
        <v>4491636</v>
      </c>
      <c r="G52" s="96">
        <v>11.460599999999999</v>
      </c>
      <c r="H52" s="94">
        <v>1779.03973</v>
      </c>
      <c r="I52" s="95">
        <v>3.0500079300206182E-2</v>
      </c>
      <c r="J52" s="95">
        <f t="shared" si="2"/>
        <v>5.3908190285478048E-4</v>
      </c>
      <c r="K52" s="95">
        <f>H52/'סכום נכסי הקרן'!$C$42</f>
        <v>3.061710958662723E-5</v>
      </c>
      <c r="L52" s="141"/>
    </row>
    <row r="53" spans="2:12" s="132" customFormat="1">
      <c r="B53" s="87" t="s">
        <v>2256</v>
      </c>
      <c r="C53" s="84">
        <v>7029</v>
      </c>
      <c r="D53" s="97" t="s">
        <v>170</v>
      </c>
      <c r="E53" s="107">
        <v>43803</v>
      </c>
      <c r="F53" s="94">
        <v>1944038.21</v>
      </c>
      <c r="G53" s="145">
        <v>100</v>
      </c>
      <c r="H53" s="94">
        <v>1944.0382099999999</v>
      </c>
      <c r="I53" s="95">
        <v>6.3987311627906981E-2</v>
      </c>
      <c r="J53" s="95">
        <f t="shared" si="2"/>
        <v>5.890794903547214E-4</v>
      </c>
      <c r="K53" s="95">
        <f>H53/'סכום נכסי הקרן'!$C$42</f>
        <v>3.3456718201656261E-5</v>
      </c>
      <c r="L53" s="141"/>
    </row>
    <row r="54" spans="2:12" s="132" customFormat="1">
      <c r="B54" s="87" t="s">
        <v>2257</v>
      </c>
      <c r="C54" s="84">
        <v>5221</v>
      </c>
      <c r="D54" s="97" t="s">
        <v>169</v>
      </c>
      <c r="E54" s="107">
        <v>41753</v>
      </c>
      <c r="F54" s="94">
        <v>1875000</v>
      </c>
      <c r="G54" s="96">
        <v>195.55930000000001</v>
      </c>
      <c r="H54" s="94">
        <v>12672.24266</v>
      </c>
      <c r="I54" s="95">
        <v>2.6417380522993687E-2</v>
      </c>
      <c r="J54" s="95">
        <f t="shared" si="2"/>
        <v>3.8399236236226859E-3</v>
      </c>
      <c r="K54" s="95">
        <f>H54/'סכום נכסי הקרן'!$C$42</f>
        <v>2.1808812680622518E-4</v>
      </c>
      <c r="L54" s="141"/>
    </row>
    <row r="55" spans="2:12" s="132" customFormat="1">
      <c r="B55" s="87" t="s">
        <v>2258</v>
      </c>
      <c r="C55" s="84">
        <v>5261</v>
      </c>
      <c r="D55" s="97" t="s">
        <v>169</v>
      </c>
      <c r="E55" s="107">
        <v>42037</v>
      </c>
      <c r="F55" s="94">
        <v>2786173</v>
      </c>
      <c r="G55" s="96">
        <v>78.501999999999995</v>
      </c>
      <c r="H55" s="94">
        <v>7558.9684900000002</v>
      </c>
      <c r="I55" s="95">
        <v>0.14000000000000001</v>
      </c>
      <c r="J55" s="95">
        <f t="shared" si="2"/>
        <v>2.2905070912657621E-3</v>
      </c>
      <c r="K55" s="95">
        <f>H55/'סכום נכסי הקרן'!$C$42</f>
        <v>1.3008915018451679E-4</v>
      </c>
      <c r="L55" s="141"/>
    </row>
    <row r="56" spans="2:12" s="132" customFormat="1">
      <c r="B56" s="83"/>
      <c r="C56" s="84"/>
      <c r="D56" s="84"/>
      <c r="E56" s="84"/>
      <c r="F56" s="94"/>
      <c r="G56" s="96"/>
      <c r="H56" s="84"/>
      <c r="I56" s="84"/>
      <c r="J56" s="95"/>
      <c r="K56" s="84"/>
      <c r="L56" s="141"/>
    </row>
    <row r="57" spans="2:12" s="132" customFormat="1">
      <c r="B57" s="81" t="s">
        <v>2259</v>
      </c>
      <c r="C57" s="82"/>
      <c r="D57" s="82"/>
      <c r="E57" s="82"/>
      <c r="F57" s="91"/>
      <c r="G57" s="93"/>
      <c r="H57" s="91">
        <v>2896406.6058899998</v>
      </c>
      <c r="I57" s="82"/>
      <c r="J57" s="92">
        <f t="shared" ref="J57:J68" si="3">H57/$H$11</f>
        <v>0.87766470765907922</v>
      </c>
      <c r="K57" s="92">
        <f>H57/'סכום נכסי הקרן'!$C$42</f>
        <v>4.9846890412034335E-2</v>
      </c>
      <c r="L57" s="141"/>
    </row>
    <row r="58" spans="2:12" s="132" customFormat="1">
      <c r="B58" s="102" t="s">
        <v>237</v>
      </c>
      <c r="C58" s="82"/>
      <c r="D58" s="82"/>
      <c r="E58" s="82"/>
      <c r="F58" s="91"/>
      <c r="G58" s="93"/>
      <c r="H58" s="91">
        <v>147248.02885</v>
      </c>
      <c r="I58" s="82"/>
      <c r="J58" s="92">
        <f t="shared" si="3"/>
        <v>4.4618872892778855E-2</v>
      </c>
      <c r="K58" s="92">
        <f>H58/'סכום נכסי הקרן'!$C$42</f>
        <v>2.5341249887180983E-3</v>
      </c>
      <c r="L58" s="141"/>
    </row>
    <row r="59" spans="2:12" s="132" customFormat="1">
      <c r="B59" s="87" t="s">
        <v>2260</v>
      </c>
      <c r="C59" s="84">
        <v>5295</v>
      </c>
      <c r="D59" s="97" t="s">
        <v>169</v>
      </c>
      <c r="E59" s="107">
        <v>43003</v>
      </c>
      <c r="F59" s="94">
        <v>6119541.8300000001</v>
      </c>
      <c r="G59" s="96">
        <v>104.95699999999999</v>
      </c>
      <c r="H59" s="94">
        <v>22197.499239999997</v>
      </c>
      <c r="I59" s="95">
        <v>9.4337795080519909E-3</v>
      </c>
      <c r="J59" s="95">
        <f t="shared" si="3"/>
        <v>6.7262523299110033E-3</v>
      </c>
      <c r="K59" s="95">
        <f>H59/'סכום נכסי הקרן'!$C$42</f>
        <v>3.8201691357401819E-4</v>
      </c>
      <c r="L59" s="141"/>
    </row>
    <row r="60" spans="2:12" s="132" customFormat="1">
      <c r="B60" s="87" t="s">
        <v>2261</v>
      </c>
      <c r="C60" s="84">
        <v>5086</v>
      </c>
      <c r="D60" s="97" t="s">
        <v>169</v>
      </c>
      <c r="E60" s="107">
        <v>39532</v>
      </c>
      <c r="F60" s="94">
        <v>979961</v>
      </c>
      <c r="G60" s="96">
        <v>19.752400000000002</v>
      </c>
      <c r="H60" s="94">
        <v>668.96346999999992</v>
      </c>
      <c r="I60" s="95">
        <v>1.3333333333333334E-2</v>
      </c>
      <c r="J60" s="95">
        <f t="shared" si="3"/>
        <v>2.0270828934659981E-4</v>
      </c>
      <c r="K60" s="95">
        <f>H60/'סכום נכסי הקרן'!$C$42</f>
        <v>1.1512799587921747E-5</v>
      </c>
      <c r="L60" s="141"/>
    </row>
    <row r="61" spans="2:12" s="132" customFormat="1">
      <c r="B61" s="87" t="s">
        <v>2262</v>
      </c>
      <c r="C61" s="84">
        <v>5122</v>
      </c>
      <c r="D61" s="97" t="s">
        <v>169</v>
      </c>
      <c r="E61" s="107">
        <v>40653</v>
      </c>
      <c r="F61" s="94">
        <v>1564000</v>
      </c>
      <c r="G61" s="96">
        <v>155.44569999999999</v>
      </c>
      <c r="H61" s="94">
        <v>8402.1261099999992</v>
      </c>
      <c r="I61" s="95">
        <v>2.2969868936630184E-2</v>
      </c>
      <c r="J61" s="95">
        <f t="shared" si="3"/>
        <v>2.5459994259963122E-3</v>
      </c>
      <c r="K61" s="95">
        <f>H61/'סכום נכסי הקרן'!$C$42</f>
        <v>1.445998150196072E-4</v>
      </c>
      <c r="L61" s="141"/>
    </row>
    <row r="62" spans="2:12" s="132" customFormat="1">
      <c r="B62" s="87" t="s">
        <v>2263</v>
      </c>
      <c r="C62" s="84">
        <v>5077</v>
      </c>
      <c r="D62" s="97" t="s">
        <v>169</v>
      </c>
      <c r="E62" s="107">
        <v>39041</v>
      </c>
      <c r="F62" s="94">
        <v>1938820</v>
      </c>
      <c r="G62" s="96">
        <v>103.20740000000001</v>
      </c>
      <c r="H62" s="94">
        <v>6915.4757399999999</v>
      </c>
      <c r="I62" s="95">
        <v>1.8097909691430641E-2</v>
      </c>
      <c r="J62" s="95">
        <f t="shared" si="3"/>
        <v>2.0955169006064136E-3</v>
      </c>
      <c r="K62" s="95">
        <f>H62/'סכום נכסי הקרן'!$C$42</f>
        <v>1.1901469933740156E-4</v>
      </c>
      <c r="L62" s="141"/>
    </row>
    <row r="63" spans="2:12" s="132" customFormat="1">
      <c r="B63" s="87" t="s">
        <v>2264</v>
      </c>
      <c r="C63" s="84">
        <v>4024</v>
      </c>
      <c r="D63" s="97" t="s">
        <v>171</v>
      </c>
      <c r="E63" s="107">
        <v>39223</v>
      </c>
      <c r="F63" s="94">
        <v>400683.15</v>
      </c>
      <c r="G63" s="96">
        <v>11.4208</v>
      </c>
      <c r="H63" s="94">
        <v>177.47117</v>
      </c>
      <c r="I63" s="95">
        <v>7.5668790088457951E-3</v>
      </c>
      <c r="J63" s="95">
        <f t="shared" si="3"/>
        <v>5.3777042981195382E-5</v>
      </c>
      <c r="K63" s="95">
        <f>H63/'סכום נכסי הקרן'!$C$42</f>
        <v>3.0542624589710268E-6</v>
      </c>
      <c r="L63" s="141"/>
    </row>
    <row r="64" spans="2:12" s="132" customFormat="1">
      <c r="B64" s="87" t="s">
        <v>2265</v>
      </c>
      <c r="C64" s="84">
        <v>5327</v>
      </c>
      <c r="D64" s="97" t="s">
        <v>169</v>
      </c>
      <c r="E64" s="107">
        <v>43348</v>
      </c>
      <c r="F64" s="94">
        <v>3316722.64</v>
      </c>
      <c r="G64" s="96">
        <v>96.680499999999995</v>
      </c>
      <c r="H64" s="94">
        <v>11082.092650000001</v>
      </c>
      <c r="I64" s="95">
        <v>1.8862157142857144E-2</v>
      </c>
      <c r="J64" s="95">
        <f t="shared" si="3"/>
        <v>3.3580787953369521E-3</v>
      </c>
      <c r="K64" s="95">
        <f>H64/'סכום נכסי הקרן'!$C$42</f>
        <v>1.9072179187038516E-4</v>
      </c>
      <c r="L64" s="141"/>
    </row>
    <row r="65" spans="2:12" s="132" customFormat="1">
      <c r="B65" s="87" t="s">
        <v>2266</v>
      </c>
      <c r="C65" s="84">
        <v>5288</v>
      </c>
      <c r="D65" s="97" t="s">
        <v>169</v>
      </c>
      <c r="E65" s="107">
        <v>42768</v>
      </c>
      <c r="F65" s="94">
        <v>8748295.4100000001</v>
      </c>
      <c r="G65" s="96">
        <v>139.40360000000001</v>
      </c>
      <c r="H65" s="94">
        <v>42147.436289999998</v>
      </c>
      <c r="I65" s="95">
        <v>2.5554605547066411E-2</v>
      </c>
      <c r="J65" s="95">
        <f t="shared" si="3"/>
        <v>1.2771451796449665E-2</v>
      </c>
      <c r="K65" s="95">
        <f>H65/'סכום נכסי הקרן'!$C$42</f>
        <v>7.2535348925924182E-4</v>
      </c>
      <c r="L65" s="141"/>
    </row>
    <row r="66" spans="2:12" s="132" customFormat="1">
      <c r="B66" s="87" t="s">
        <v>2267</v>
      </c>
      <c r="C66" s="84">
        <v>6645</v>
      </c>
      <c r="D66" s="97" t="s">
        <v>169</v>
      </c>
      <c r="E66" s="107">
        <v>43578</v>
      </c>
      <c r="F66" s="94">
        <v>449601.66</v>
      </c>
      <c r="G66" s="96">
        <v>93.334900000000005</v>
      </c>
      <c r="H66" s="94">
        <v>1450.25946</v>
      </c>
      <c r="I66" s="95">
        <v>9.0746362497815217E-2</v>
      </c>
      <c r="J66" s="95">
        <f t="shared" si="3"/>
        <v>4.3945540740113003E-4</v>
      </c>
      <c r="K66" s="95">
        <f>H66/'סכום נכסי הקרן'!$C$42</f>
        <v>2.4958831479195145E-5</v>
      </c>
      <c r="L66" s="141"/>
    </row>
    <row r="67" spans="2:12" s="132" customFormat="1">
      <c r="B67" s="87" t="s">
        <v>2268</v>
      </c>
      <c r="C67" s="84">
        <v>5275</v>
      </c>
      <c r="D67" s="97" t="s">
        <v>169</v>
      </c>
      <c r="E67" s="107">
        <v>42507</v>
      </c>
      <c r="F67" s="94">
        <v>10934270.91</v>
      </c>
      <c r="G67" s="96">
        <v>114.223</v>
      </c>
      <c r="H67" s="94">
        <v>43163.547020000005</v>
      </c>
      <c r="I67" s="95">
        <v>6.1600000000000002E-2</v>
      </c>
      <c r="J67" s="95">
        <f t="shared" si="3"/>
        <v>1.3079352118518113E-2</v>
      </c>
      <c r="K67" s="95">
        <f>H67/'סכום נכסי הקרן'!$C$42</f>
        <v>7.4284066115762207E-4</v>
      </c>
      <c r="L67" s="141"/>
    </row>
    <row r="68" spans="2:12" s="132" customFormat="1">
      <c r="B68" s="87" t="s">
        <v>2269</v>
      </c>
      <c r="C68" s="84">
        <v>5333</v>
      </c>
      <c r="D68" s="97" t="s">
        <v>169</v>
      </c>
      <c r="E68" s="107">
        <v>43340</v>
      </c>
      <c r="F68" s="94">
        <v>3156358.16</v>
      </c>
      <c r="G68" s="96">
        <v>101.23560000000001</v>
      </c>
      <c r="H68" s="94">
        <v>11043.1577</v>
      </c>
      <c r="I68" s="95">
        <v>7.9370001197733533E-2</v>
      </c>
      <c r="J68" s="95">
        <f t="shared" si="3"/>
        <v>3.3462807862314693E-3</v>
      </c>
      <c r="K68" s="95">
        <f>H68/'סכום נכסי הקרן'!$C$42</f>
        <v>1.900517249737342E-4</v>
      </c>
      <c r="L68" s="141"/>
    </row>
    <row r="69" spans="2:12" s="132" customFormat="1">
      <c r="B69" s="83"/>
      <c r="C69" s="84"/>
      <c r="D69" s="84"/>
      <c r="E69" s="84"/>
      <c r="F69" s="94"/>
      <c r="G69" s="96"/>
      <c r="H69" s="84"/>
      <c r="I69" s="84"/>
      <c r="J69" s="95"/>
      <c r="K69" s="84"/>
      <c r="L69" s="141"/>
    </row>
    <row r="70" spans="2:12" s="132" customFormat="1">
      <c r="B70" s="102" t="s">
        <v>2270</v>
      </c>
      <c r="C70" s="84"/>
      <c r="D70" s="84"/>
      <c r="E70" s="124"/>
      <c r="F70" s="125"/>
      <c r="G70" s="127"/>
      <c r="H70" s="125">
        <v>22643.148269999998</v>
      </c>
      <c r="I70" s="124"/>
      <c r="J70" s="126">
        <f t="shared" ref="J70:J72" si="4">H70/$H$11</f>
        <v>6.8612922185917278E-3</v>
      </c>
      <c r="K70" s="126">
        <f>H70/'סכום נכסי הקרן'!$C$42</f>
        <v>3.8968649225660563E-4</v>
      </c>
      <c r="L70" s="141"/>
    </row>
    <row r="71" spans="2:12" s="132" customFormat="1">
      <c r="B71" s="87" t="s">
        <v>2271</v>
      </c>
      <c r="C71" s="84" t="s">
        <v>2272</v>
      </c>
      <c r="D71" s="97" t="s">
        <v>172</v>
      </c>
      <c r="E71" s="107">
        <v>42268</v>
      </c>
      <c r="F71" s="94">
        <v>35239.32</v>
      </c>
      <c r="G71" s="96">
        <v>14017.63</v>
      </c>
      <c r="H71" s="94">
        <v>22523.628559999997</v>
      </c>
      <c r="I71" s="95">
        <v>1.7566561911328358E-2</v>
      </c>
      <c r="J71" s="95">
        <f t="shared" si="4"/>
        <v>6.8250755385429627E-3</v>
      </c>
      <c r="K71" s="95">
        <f>H71/'סכום נכסי הקרן'!$C$42</f>
        <v>3.8762956907657532E-4</v>
      </c>
      <c r="L71" s="141"/>
    </row>
    <row r="72" spans="2:12" s="132" customFormat="1">
      <c r="B72" s="87" t="s">
        <v>2273</v>
      </c>
      <c r="C72" s="84" t="s">
        <v>2274</v>
      </c>
      <c r="D72" s="97" t="s">
        <v>169</v>
      </c>
      <c r="E72" s="107">
        <v>39496</v>
      </c>
      <c r="F72" s="94">
        <v>14.98</v>
      </c>
      <c r="G72" s="96">
        <v>230924</v>
      </c>
      <c r="H72" s="94">
        <v>119.51971</v>
      </c>
      <c r="I72" s="95">
        <v>2.7845792367550441E-3</v>
      </c>
      <c r="J72" s="95">
        <f t="shared" si="4"/>
        <v>3.6216680048765151E-5</v>
      </c>
      <c r="K72" s="95">
        <f>H72/'סכום נכסי הקרן'!$C$42</f>
        <v>2.0569231800303339E-6</v>
      </c>
      <c r="L72" s="141"/>
    </row>
    <row r="73" spans="2:12" s="132" customFormat="1">
      <c r="B73" s="83"/>
      <c r="C73" s="84"/>
      <c r="D73" s="84"/>
      <c r="E73" s="84"/>
      <c r="F73" s="94"/>
      <c r="G73" s="96"/>
      <c r="H73" s="84"/>
      <c r="I73" s="84"/>
      <c r="J73" s="95"/>
      <c r="K73" s="84"/>
      <c r="L73" s="141"/>
    </row>
    <row r="74" spans="2:12" s="132" customFormat="1">
      <c r="B74" s="102" t="s">
        <v>240</v>
      </c>
      <c r="C74" s="82"/>
      <c r="D74" s="82"/>
      <c r="E74" s="82"/>
      <c r="F74" s="91"/>
      <c r="G74" s="93"/>
      <c r="H74" s="91">
        <v>281367.82568999997</v>
      </c>
      <c r="I74" s="82"/>
      <c r="J74" s="92">
        <f t="shared" ref="J74:J83" si="5">H74/$H$11</f>
        <v>8.5259648965274853E-2</v>
      </c>
      <c r="K74" s="92">
        <f>H74/'סכום נכסי הקרן'!$C$42</f>
        <v>4.8423143159943699E-3</v>
      </c>
      <c r="L74" s="141"/>
    </row>
    <row r="75" spans="2:12" s="132" customFormat="1">
      <c r="B75" s="87" t="s">
        <v>2275</v>
      </c>
      <c r="C75" s="84">
        <v>5264</v>
      </c>
      <c r="D75" s="97" t="s">
        <v>169</v>
      </c>
      <c r="E75" s="107">
        <v>42234</v>
      </c>
      <c r="F75" s="94">
        <v>17453340.949999999</v>
      </c>
      <c r="G75" s="96">
        <v>91.343699999999998</v>
      </c>
      <c r="H75" s="94">
        <v>55097.374659999994</v>
      </c>
      <c r="I75" s="95">
        <v>1.0462025316455696E-3</v>
      </c>
      <c r="J75" s="95">
        <f t="shared" si="5"/>
        <v>1.6695522350147603E-2</v>
      </c>
      <c r="K75" s="95">
        <f>H75/'סכום נכסי הקרן'!$C$42</f>
        <v>9.4822073360929283E-4</v>
      </c>
      <c r="L75" s="141"/>
    </row>
    <row r="76" spans="2:12" s="132" customFormat="1">
      <c r="B76" s="87" t="s">
        <v>2276</v>
      </c>
      <c r="C76" s="84">
        <v>6649</v>
      </c>
      <c r="D76" s="97" t="s">
        <v>169</v>
      </c>
      <c r="E76" s="107">
        <v>43633</v>
      </c>
      <c r="F76" s="94">
        <v>3317724.16</v>
      </c>
      <c r="G76" s="96">
        <v>97.704099999999997</v>
      </c>
      <c r="H76" s="94">
        <v>11202.805539999999</v>
      </c>
      <c r="I76" s="95">
        <v>1.2790932289366036E-3</v>
      </c>
      <c r="J76" s="95">
        <f t="shared" si="5"/>
        <v>3.3946570309676422E-3</v>
      </c>
      <c r="K76" s="95">
        <f>H76/'סכום נכסי הקרן'!$C$42</f>
        <v>1.9279924956811092E-4</v>
      </c>
      <c r="L76" s="141"/>
    </row>
    <row r="77" spans="2:12" s="132" customFormat="1">
      <c r="B77" s="87" t="s">
        <v>2277</v>
      </c>
      <c r="C77" s="84">
        <v>5328</v>
      </c>
      <c r="D77" s="97" t="s">
        <v>169</v>
      </c>
      <c r="E77" s="107">
        <v>43264</v>
      </c>
      <c r="F77" s="94">
        <v>6964874.75</v>
      </c>
      <c r="G77" s="96">
        <v>99.920900000000003</v>
      </c>
      <c r="H77" s="94">
        <v>24051.567309999999</v>
      </c>
      <c r="I77" s="95">
        <v>2.7078884110576119E-3</v>
      </c>
      <c r="J77" s="95">
        <f t="shared" si="5"/>
        <v>7.2880692058038708E-3</v>
      </c>
      <c r="K77" s="95">
        <f>H77/'סכום נכסי הקרן'!$C$42</f>
        <v>4.139252539685615E-4</v>
      </c>
      <c r="L77" s="141"/>
    </row>
    <row r="78" spans="2:12" s="132" customFormat="1">
      <c r="B78" s="87" t="s">
        <v>2278</v>
      </c>
      <c r="C78" s="84">
        <v>5274</v>
      </c>
      <c r="D78" s="97" t="s">
        <v>169</v>
      </c>
      <c r="E78" s="107">
        <v>42472</v>
      </c>
      <c r="F78" s="94">
        <v>15934788.93</v>
      </c>
      <c r="G78" s="96">
        <v>96.909000000000006</v>
      </c>
      <c r="H78" s="94">
        <v>53368.397369999999</v>
      </c>
      <c r="I78" s="95">
        <v>1.8934666666666666E-3</v>
      </c>
      <c r="J78" s="95">
        <f t="shared" si="5"/>
        <v>1.6171610291429332E-2</v>
      </c>
      <c r="K78" s="95">
        <f>H78/'סכום נכסי הקרן'!$C$42</f>
        <v>9.1846519399539129E-4</v>
      </c>
      <c r="L78" s="141"/>
    </row>
    <row r="79" spans="2:12" s="132" customFormat="1">
      <c r="B79" s="87" t="s">
        <v>2279</v>
      </c>
      <c r="C79" s="84">
        <v>7002</v>
      </c>
      <c r="D79" s="97" t="s">
        <v>169</v>
      </c>
      <c r="E79" s="107">
        <v>43616</v>
      </c>
      <c r="F79" s="94">
        <v>20423022.68</v>
      </c>
      <c r="G79" s="96">
        <v>101.6236</v>
      </c>
      <c r="H79" s="94">
        <v>71727.935200000007</v>
      </c>
      <c r="I79" s="95">
        <v>5.8044769971428564E-3</v>
      </c>
      <c r="J79" s="95">
        <f t="shared" si="5"/>
        <v>2.1734889414448542E-2</v>
      </c>
      <c r="K79" s="95">
        <f>H79/'סכום נכסי הקרן'!$C$42</f>
        <v>1.2344311458636716E-3</v>
      </c>
      <c r="L79" s="141"/>
    </row>
    <row r="80" spans="2:12" s="132" customFormat="1">
      <c r="B80" s="87" t="s">
        <v>2280</v>
      </c>
      <c r="C80" s="84">
        <v>5079</v>
      </c>
      <c r="D80" s="97" t="s">
        <v>171</v>
      </c>
      <c r="E80" s="107">
        <v>39065</v>
      </c>
      <c r="F80" s="94">
        <v>9100000</v>
      </c>
      <c r="G80" s="96">
        <v>25.074400000000001</v>
      </c>
      <c r="H80" s="94">
        <v>8849.1619600000013</v>
      </c>
      <c r="I80" s="95">
        <v>4.9968519832505519E-2</v>
      </c>
      <c r="J80" s="95">
        <f t="shared" si="5"/>
        <v>2.6814595467561254E-3</v>
      </c>
      <c r="K80" s="95">
        <f>H80/'סכום נכסי הקרן'!$C$42</f>
        <v>1.5229326074642138E-4</v>
      </c>
      <c r="L80" s="141"/>
    </row>
    <row r="81" spans="2:12" s="132" customFormat="1">
      <c r="B81" s="87" t="s">
        <v>2281</v>
      </c>
      <c r="C81" s="84">
        <v>5048</v>
      </c>
      <c r="D81" s="97" t="s">
        <v>171</v>
      </c>
      <c r="E81" s="107">
        <v>38200</v>
      </c>
      <c r="F81" s="94">
        <v>4692574</v>
      </c>
      <c r="G81" s="96">
        <v>7.4999999999999997E-3</v>
      </c>
      <c r="H81" s="94">
        <v>1.3648900000000002</v>
      </c>
      <c r="I81" s="95">
        <v>2.5773195876288658E-2</v>
      </c>
      <c r="J81" s="95">
        <f t="shared" si="5"/>
        <v>4.1358688396883714E-7</v>
      </c>
      <c r="K81" s="95">
        <f>H81/'סכום נכסי הקרן'!$C$42</f>
        <v>2.3489630950339513E-8</v>
      </c>
      <c r="L81" s="141"/>
    </row>
    <row r="82" spans="2:12" s="132" customFormat="1">
      <c r="B82" s="87" t="s">
        <v>2282</v>
      </c>
      <c r="C82" s="84">
        <v>53431</v>
      </c>
      <c r="D82" s="97" t="s">
        <v>169</v>
      </c>
      <c r="E82" s="107">
        <v>43830</v>
      </c>
      <c r="F82" s="94">
        <v>5894203.8499999996</v>
      </c>
      <c r="G82" s="96">
        <v>112.1799</v>
      </c>
      <c r="H82" s="94">
        <v>22851.459010000002</v>
      </c>
      <c r="I82" s="95">
        <v>5.2489840780796749E-5</v>
      </c>
      <c r="J82" s="95">
        <f t="shared" si="5"/>
        <v>6.9244142209903426E-3</v>
      </c>
      <c r="K82" s="95">
        <f>H82/'סכום נכסי הקרן'!$C$42</f>
        <v>3.9327150086945517E-4</v>
      </c>
      <c r="L82" s="141"/>
    </row>
    <row r="83" spans="2:12" s="132" customFormat="1">
      <c r="B83" s="87" t="s">
        <v>2283</v>
      </c>
      <c r="C83" s="84">
        <v>5299</v>
      </c>
      <c r="D83" s="97" t="s">
        <v>169</v>
      </c>
      <c r="E83" s="107">
        <v>43002</v>
      </c>
      <c r="F83" s="94">
        <v>9789992.7899999991</v>
      </c>
      <c r="G83" s="96">
        <v>101.1336</v>
      </c>
      <c r="H83" s="94">
        <v>34217.759749999997</v>
      </c>
      <c r="I83" s="95">
        <v>2.2723119999999999E-2</v>
      </c>
      <c r="J83" s="95">
        <f t="shared" si="5"/>
        <v>1.0368613317847442E-2</v>
      </c>
      <c r="K83" s="95">
        <f>H83/'סכום נכסי הקרן'!$C$42</f>
        <v>5.8888448774251513E-4</v>
      </c>
      <c r="L83" s="141"/>
    </row>
    <row r="84" spans="2:12" s="132" customFormat="1">
      <c r="B84" s="83"/>
      <c r="C84" s="84"/>
      <c r="D84" s="84"/>
      <c r="E84" s="84"/>
      <c r="F84" s="94"/>
      <c r="G84" s="96"/>
      <c r="H84" s="84"/>
      <c r="I84" s="84"/>
      <c r="J84" s="95"/>
      <c r="K84" s="84"/>
      <c r="L84" s="141"/>
    </row>
    <row r="85" spans="2:12" s="132" customFormat="1">
      <c r="B85" s="102" t="s">
        <v>241</v>
      </c>
      <c r="C85" s="82"/>
      <c r="D85" s="82"/>
      <c r="E85" s="82"/>
      <c r="F85" s="91"/>
      <c r="G85" s="93"/>
      <c r="H85" s="91">
        <v>2445147.6030799998</v>
      </c>
      <c r="I85" s="82"/>
      <c r="J85" s="92">
        <f t="shared" ref="J85:J148" si="6">H85/$H$11</f>
        <v>0.74092489358243374</v>
      </c>
      <c r="K85" s="92">
        <f>H85/'סכום נכסי הקרן'!$C$42</f>
        <v>4.2080764615065262E-2</v>
      </c>
      <c r="L85" s="141"/>
    </row>
    <row r="86" spans="2:12" s="132" customFormat="1">
      <c r="B86" s="87" t="s">
        <v>2284</v>
      </c>
      <c r="C86" s="84">
        <v>5238</v>
      </c>
      <c r="D86" s="97" t="s">
        <v>171</v>
      </c>
      <c r="E86" s="107">
        <v>43325</v>
      </c>
      <c r="F86" s="94">
        <v>14184225.32</v>
      </c>
      <c r="G86" s="96">
        <v>102.1759</v>
      </c>
      <c r="H86" s="94">
        <v>56206.209189999994</v>
      </c>
      <c r="I86" s="95">
        <v>4.8212622198511154E-3</v>
      </c>
      <c r="J86" s="95">
        <f t="shared" si="6"/>
        <v>1.7031519696526984E-2</v>
      </c>
      <c r="K86" s="95">
        <f>H86/'סכום נכסי הקרן'!$C$42</f>
        <v>9.6730367354928295E-4</v>
      </c>
      <c r="L86" s="141"/>
    </row>
    <row r="87" spans="2:12" s="132" customFormat="1">
      <c r="B87" s="87" t="s">
        <v>2285</v>
      </c>
      <c r="C87" s="84">
        <v>5339</v>
      </c>
      <c r="D87" s="97" t="s">
        <v>169</v>
      </c>
      <c r="E87" s="107">
        <v>43399</v>
      </c>
      <c r="F87" s="94">
        <v>7517468.1100000003</v>
      </c>
      <c r="G87" s="96">
        <v>100.6902</v>
      </c>
      <c r="H87" s="94">
        <v>26159.686289999998</v>
      </c>
      <c r="I87" s="95">
        <v>2.1327068458355296E-2</v>
      </c>
      <c r="J87" s="95">
        <f t="shared" si="6"/>
        <v>7.9268682005754366E-3</v>
      </c>
      <c r="K87" s="95">
        <f>H87/'סכום נכסי הקרן'!$C$42</f>
        <v>4.5020578708083146E-4</v>
      </c>
      <c r="L87" s="141"/>
    </row>
    <row r="88" spans="2:12" s="132" customFormat="1">
      <c r="B88" s="87" t="s">
        <v>2286</v>
      </c>
      <c r="C88" s="84">
        <v>7006</v>
      </c>
      <c r="D88" s="97" t="s">
        <v>171</v>
      </c>
      <c r="E88" s="107">
        <v>43698</v>
      </c>
      <c r="F88" s="94">
        <v>1223180.5900000001</v>
      </c>
      <c r="G88" s="96">
        <v>94.731700000000004</v>
      </c>
      <c r="H88" s="94">
        <v>4493.8245700000007</v>
      </c>
      <c r="I88" s="95">
        <v>6.0779117599999994E-4</v>
      </c>
      <c r="J88" s="95">
        <f t="shared" si="6"/>
        <v>1.3617118603029546E-3</v>
      </c>
      <c r="K88" s="95">
        <f>H88/'סכום נכסי הקרן'!$C$42</f>
        <v>7.733830616743339E-5</v>
      </c>
      <c r="L88" s="141"/>
    </row>
    <row r="89" spans="2:12" s="132" customFormat="1">
      <c r="B89" s="87" t="s">
        <v>2287</v>
      </c>
      <c r="C89" s="84">
        <v>5273</v>
      </c>
      <c r="D89" s="97" t="s">
        <v>171</v>
      </c>
      <c r="E89" s="107">
        <v>42639</v>
      </c>
      <c r="F89" s="94">
        <v>7965000.8399999999</v>
      </c>
      <c r="G89" s="96">
        <v>128.61240000000001</v>
      </c>
      <c r="H89" s="94">
        <v>39728.198349999999</v>
      </c>
      <c r="I89" s="95">
        <v>6.9230769230769226E-4</v>
      </c>
      <c r="J89" s="95">
        <f t="shared" si="6"/>
        <v>1.2038378009416434E-2</v>
      </c>
      <c r="K89" s="95">
        <f>H89/'סכום נכסי הקרן'!$C$42</f>
        <v>6.8371862755488505E-4</v>
      </c>
      <c r="L89" s="141"/>
    </row>
    <row r="90" spans="2:12" s="132" customFormat="1">
      <c r="B90" s="87" t="s">
        <v>2288</v>
      </c>
      <c r="C90" s="84">
        <v>4020</v>
      </c>
      <c r="D90" s="97" t="s">
        <v>171</v>
      </c>
      <c r="E90" s="107">
        <v>39105</v>
      </c>
      <c r="F90" s="94">
        <v>799098.32</v>
      </c>
      <c r="G90" s="96">
        <v>2.3525999999999998</v>
      </c>
      <c r="H90" s="94">
        <v>72.908570000000012</v>
      </c>
      <c r="I90" s="95">
        <v>5.4421768707482989E-3</v>
      </c>
      <c r="J90" s="95">
        <f t="shared" si="6"/>
        <v>2.2092643569023029E-5</v>
      </c>
      <c r="K90" s="95">
        <f>H90/'סכום נכסי הקרן'!$C$42</f>
        <v>1.2547497618247587E-6</v>
      </c>
      <c r="L90" s="141"/>
    </row>
    <row r="91" spans="2:12" s="132" customFormat="1">
      <c r="B91" s="87" t="s">
        <v>2289</v>
      </c>
      <c r="C91" s="84">
        <v>5291</v>
      </c>
      <c r="D91" s="97" t="s">
        <v>169</v>
      </c>
      <c r="E91" s="107">
        <v>42908</v>
      </c>
      <c r="F91" s="94">
        <v>14176354.15</v>
      </c>
      <c r="G91" s="96">
        <v>101.0107</v>
      </c>
      <c r="H91" s="94">
        <v>49488.657039999998</v>
      </c>
      <c r="I91" s="95">
        <v>1.2025129484341099E-2</v>
      </c>
      <c r="J91" s="95">
        <f t="shared" si="6"/>
        <v>1.4995977299984652E-2</v>
      </c>
      <c r="K91" s="95">
        <f>H91/'סכום נכסי הקרן'!$C$42</f>
        <v>8.5169522093173902E-4</v>
      </c>
      <c r="L91" s="141"/>
    </row>
    <row r="92" spans="2:12" s="132" customFormat="1">
      <c r="B92" s="87" t="s">
        <v>2290</v>
      </c>
      <c r="C92" s="84">
        <v>5302</v>
      </c>
      <c r="D92" s="97" t="s">
        <v>169</v>
      </c>
      <c r="E92" s="107">
        <v>43003</v>
      </c>
      <c r="F92" s="94">
        <v>4490496.08</v>
      </c>
      <c r="G92" s="96">
        <v>87.416700000000006</v>
      </c>
      <c r="H92" s="94">
        <v>13566.332699999999</v>
      </c>
      <c r="I92" s="95">
        <v>1.0195506181421413E-3</v>
      </c>
      <c r="J92" s="95">
        <f t="shared" si="6"/>
        <v>4.1108494225011102E-3</v>
      </c>
      <c r="K92" s="95">
        <f>H92/'סכום נכסי הקרן'!$C$42</f>
        <v>2.3347533388956102E-4</v>
      </c>
      <c r="L92" s="141"/>
    </row>
    <row r="93" spans="2:12" s="132" customFormat="1">
      <c r="B93" s="87" t="s">
        <v>2291</v>
      </c>
      <c r="C93" s="84">
        <v>5281</v>
      </c>
      <c r="D93" s="97" t="s">
        <v>169</v>
      </c>
      <c r="E93" s="107">
        <v>42642</v>
      </c>
      <c r="F93" s="94">
        <v>18503714.489999998</v>
      </c>
      <c r="G93" s="96">
        <v>63.940300000000001</v>
      </c>
      <c r="H93" s="94">
        <v>40889.078409999995</v>
      </c>
      <c r="I93" s="95">
        <v>7.0029210651410675E-3</v>
      </c>
      <c r="J93" s="95">
        <f t="shared" si="6"/>
        <v>1.2390146112836457E-2</v>
      </c>
      <c r="K93" s="95">
        <f>H93/'סכום נכסי הקרן'!$C$42</f>
        <v>7.0369726626350472E-4</v>
      </c>
      <c r="L93" s="141"/>
    </row>
    <row r="94" spans="2:12" s="132" customFormat="1">
      <c r="B94" s="87" t="s">
        <v>2292</v>
      </c>
      <c r="C94" s="84">
        <v>5044</v>
      </c>
      <c r="D94" s="97" t="s">
        <v>169</v>
      </c>
      <c r="E94" s="107">
        <v>38168</v>
      </c>
      <c r="F94" s="94">
        <v>2788169.39</v>
      </c>
      <c r="G94" s="96">
        <v>1E-4</v>
      </c>
      <c r="H94" s="94">
        <v>9.640000000000001E-3</v>
      </c>
      <c r="I94" s="95">
        <v>6.2500000000000003E-3</v>
      </c>
      <c r="J94" s="95">
        <f t="shared" si="6"/>
        <v>2.921098082233433E-9</v>
      </c>
      <c r="K94" s="95">
        <f>H94/'סכום נכסי הקרן'!$C$42</f>
        <v>1.659035104376711E-10</v>
      </c>
      <c r="L94" s="141"/>
    </row>
    <row r="95" spans="2:12" s="132" customFormat="1">
      <c r="B95" s="87" t="s">
        <v>2293</v>
      </c>
      <c r="C95" s="84">
        <v>5263</v>
      </c>
      <c r="D95" s="97" t="s">
        <v>169</v>
      </c>
      <c r="E95" s="107">
        <v>42082</v>
      </c>
      <c r="F95" s="94">
        <v>9296328.4499999993</v>
      </c>
      <c r="G95" s="96">
        <v>85.547300000000007</v>
      </c>
      <c r="H95" s="94">
        <v>27484.731609999999</v>
      </c>
      <c r="I95" s="95">
        <v>5.9405940594059407E-3</v>
      </c>
      <c r="J95" s="95">
        <f t="shared" si="6"/>
        <v>8.3283814104431128E-3</v>
      </c>
      <c r="K95" s="95">
        <f>H95/'סכום נכסי הקרן'!$C$42</f>
        <v>4.7300969476516834E-4</v>
      </c>
      <c r="L95" s="141"/>
    </row>
    <row r="96" spans="2:12" s="132" customFormat="1">
      <c r="B96" s="87" t="s">
        <v>2294</v>
      </c>
      <c r="C96" s="84">
        <v>4021</v>
      </c>
      <c r="D96" s="97" t="s">
        <v>171</v>
      </c>
      <c r="E96" s="107">
        <v>39126</v>
      </c>
      <c r="F96" s="94">
        <v>330048.71000000002</v>
      </c>
      <c r="G96" s="96">
        <v>16.844999999999999</v>
      </c>
      <c r="H96" s="94">
        <v>215.61516</v>
      </c>
      <c r="I96" s="95">
        <v>1E-3</v>
      </c>
      <c r="J96" s="95">
        <f t="shared" si="6"/>
        <v>6.5335376595067912E-5</v>
      </c>
      <c r="K96" s="95">
        <f>H96/'סכום נכסי הקרן'!$C$42</f>
        <v>3.7107170070103858E-6</v>
      </c>
      <c r="L96" s="141"/>
    </row>
    <row r="97" spans="2:12" s="132" customFormat="1">
      <c r="B97" s="87" t="s">
        <v>2295</v>
      </c>
      <c r="C97" s="84">
        <v>6650</v>
      </c>
      <c r="D97" s="97" t="s">
        <v>171</v>
      </c>
      <c r="E97" s="107">
        <v>43637</v>
      </c>
      <c r="F97" s="94">
        <v>2803178.15</v>
      </c>
      <c r="G97" s="96">
        <v>85.642300000000006</v>
      </c>
      <c r="H97" s="94">
        <v>9310.4189399999996</v>
      </c>
      <c r="I97" s="95">
        <v>6.6867412329158606E-3</v>
      </c>
      <c r="J97" s="95">
        <f t="shared" si="6"/>
        <v>2.8212289326165797E-3</v>
      </c>
      <c r="K97" s="95">
        <f>H97/'סכום נכסי הקרן'!$C$42</f>
        <v>1.6023145080823448E-4</v>
      </c>
      <c r="L97" s="141"/>
    </row>
    <row r="98" spans="2:12" s="132" customFormat="1">
      <c r="B98" s="87" t="s">
        <v>2296</v>
      </c>
      <c r="C98" s="84">
        <v>4025</v>
      </c>
      <c r="D98" s="97" t="s">
        <v>169</v>
      </c>
      <c r="E98" s="107">
        <v>39247</v>
      </c>
      <c r="F98" s="94">
        <v>703382.2</v>
      </c>
      <c r="G98" s="96">
        <v>2.4982000000000002</v>
      </c>
      <c r="H98" s="94">
        <v>60.728449999999995</v>
      </c>
      <c r="I98" s="95">
        <v>2.0127731060541891E-3</v>
      </c>
      <c r="J98" s="95">
        <f t="shared" si="6"/>
        <v>1.8401842202490547E-5</v>
      </c>
      <c r="K98" s="95">
        <f>H98/'סכום נכסי הקרן'!$C$42</f>
        <v>1.0451310205849155E-6</v>
      </c>
      <c r="L98" s="141"/>
    </row>
    <row r="99" spans="2:12" s="132" customFormat="1">
      <c r="B99" s="87" t="s">
        <v>2297</v>
      </c>
      <c r="C99" s="84">
        <v>5266</v>
      </c>
      <c r="D99" s="97" t="s">
        <v>169</v>
      </c>
      <c r="E99" s="107">
        <v>42228</v>
      </c>
      <c r="F99" s="94">
        <v>11558717.17</v>
      </c>
      <c r="G99" s="96">
        <v>114.8207</v>
      </c>
      <c r="H99" s="94">
        <v>45867.340700000001</v>
      </c>
      <c r="I99" s="95">
        <v>3.3999999999999998E-3</v>
      </c>
      <c r="J99" s="95">
        <f t="shared" si="6"/>
        <v>1.389865155144372E-2</v>
      </c>
      <c r="K99" s="95">
        <f>H99/'סכום נכסי הקרן'!$C$42</f>
        <v>7.8937270088907312E-4</v>
      </c>
      <c r="L99" s="141"/>
    </row>
    <row r="100" spans="2:12" s="132" customFormat="1">
      <c r="B100" s="87" t="s">
        <v>2298</v>
      </c>
      <c r="C100" s="84">
        <v>6648</v>
      </c>
      <c r="D100" s="97" t="s">
        <v>169</v>
      </c>
      <c r="E100" s="107">
        <v>43698</v>
      </c>
      <c r="F100" s="94">
        <v>8604259.0299999993</v>
      </c>
      <c r="G100" s="96">
        <v>90.244799999999998</v>
      </c>
      <c r="H100" s="94">
        <v>26835.481820000001</v>
      </c>
      <c r="I100" s="95">
        <v>5.6779050937748841E-3</v>
      </c>
      <c r="J100" s="95">
        <f t="shared" si="6"/>
        <v>8.1316467303124626E-3</v>
      </c>
      <c r="K100" s="95">
        <f>H100/'סכום נכסי הקרן'!$C$42</f>
        <v>4.6183616579090274E-4</v>
      </c>
      <c r="L100" s="141"/>
    </row>
    <row r="101" spans="2:12" s="132" customFormat="1">
      <c r="B101" s="87" t="s">
        <v>2299</v>
      </c>
      <c r="C101" s="84">
        <v>6665</v>
      </c>
      <c r="D101" s="97" t="s">
        <v>169</v>
      </c>
      <c r="E101" s="107">
        <v>40597</v>
      </c>
      <c r="F101" s="94">
        <v>4941143.72</v>
      </c>
      <c r="G101" s="96">
        <v>98.3155</v>
      </c>
      <c r="H101" s="94">
        <v>16788.937480000001</v>
      </c>
      <c r="I101" s="95">
        <v>1.2569681745730549E-2</v>
      </c>
      <c r="J101" s="95">
        <f t="shared" si="6"/>
        <v>5.0873582028594395E-3</v>
      </c>
      <c r="K101" s="95">
        <f>H101/'סכום נכסי הקרן'!$C$42</f>
        <v>2.8893606477703188E-4</v>
      </c>
      <c r="L101" s="141"/>
    </row>
    <row r="102" spans="2:12" s="132" customFormat="1">
      <c r="B102" s="87" t="s">
        <v>2300</v>
      </c>
      <c r="C102" s="84">
        <v>7016</v>
      </c>
      <c r="D102" s="97" t="s">
        <v>169</v>
      </c>
      <c r="E102" s="107">
        <v>43742</v>
      </c>
      <c r="F102" s="94">
        <v>4172972.76</v>
      </c>
      <c r="G102" s="96">
        <v>97.712500000000006</v>
      </c>
      <c r="H102" s="94">
        <v>14091.895329999999</v>
      </c>
      <c r="I102" s="95">
        <v>2.3979086380090497E-2</v>
      </c>
      <c r="J102" s="95">
        <f t="shared" si="6"/>
        <v>4.2701046082466044E-3</v>
      </c>
      <c r="K102" s="95">
        <f>H102/'סכום נכסי הקרן'!$C$42</f>
        <v>2.4252021825386133E-4</v>
      </c>
      <c r="L102" s="141"/>
    </row>
    <row r="103" spans="2:12" s="132" customFormat="1">
      <c r="B103" s="87" t="s">
        <v>2301</v>
      </c>
      <c r="C103" s="84">
        <v>5237</v>
      </c>
      <c r="D103" s="97" t="s">
        <v>169</v>
      </c>
      <c r="E103" s="107">
        <v>43273</v>
      </c>
      <c r="F103" s="94">
        <v>26876732.109999999</v>
      </c>
      <c r="G103" s="96">
        <v>94.671400000000006</v>
      </c>
      <c r="H103" s="94">
        <v>87936.463499999998</v>
      </c>
      <c r="I103" s="95">
        <v>2.4446214375000001E-2</v>
      </c>
      <c r="J103" s="95">
        <f t="shared" si="6"/>
        <v>2.6646372913717867E-2</v>
      </c>
      <c r="K103" s="95">
        <f>H103/'סכום נכסי הקרן'!$C$42</f>
        <v>1.5133784222120467E-3</v>
      </c>
      <c r="L103" s="141"/>
    </row>
    <row r="104" spans="2:12" s="132" customFormat="1">
      <c r="B104" s="87" t="s">
        <v>2302</v>
      </c>
      <c r="C104" s="84">
        <v>5222</v>
      </c>
      <c r="D104" s="97" t="s">
        <v>169</v>
      </c>
      <c r="E104" s="107">
        <v>40675</v>
      </c>
      <c r="F104" s="94">
        <v>3229065.08</v>
      </c>
      <c r="G104" s="96">
        <v>32.702599999999997</v>
      </c>
      <c r="H104" s="94">
        <v>3649.4953599999999</v>
      </c>
      <c r="I104" s="95">
        <v>6.147555971896956E-3</v>
      </c>
      <c r="J104" s="95">
        <f t="shared" si="6"/>
        <v>1.1058645121593165E-3</v>
      </c>
      <c r="K104" s="95">
        <f>H104/'סכום נכסי הקרן'!$C$42</f>
        <v>6.2807478376555203E-5</v>
      </c>
      <c r="L104" s="141"/>
    </row>
    <row r="105" spans="2:12" s="132" customFormat="1">
      <c r="B105" s="87" t="s">
        <v>2303</v>
      </c>
      <c r="C105" s="84">
        <v>4027</v>
      </c>
      <c r="D105" s="97" t="s">
        <v>169</v>
      </c>
      <c r="E105" s="107">
        <v>39294</v>
      </c>
      <c r="F105" s="94">
        <v>202346.58000019996</v>
      </c>
      <c r="G105" s="96">
        <v>5.1200000000000002E-2</v>
      </c>
      <c r="H105" s="94">
        <v>0.35804000009999998</v>
      </c>
      <c r="I105" s="95">
        <v>3.9904226666666667E-3</v>
      </c>
      <c r="J105" s="95">
        <f t="shared" si="6"/>
        <v>1.0849273419657344E-7</v>
      </c>
      <c r="K105" s="95">
        <f>H105/'סכום נכסי הקרן'!$C$42</f>
        <v>6.1618353624164E-9</v>
      </c>
      <c r="L105" s="141"/>
    </row>
    <row r="106" spans="2:12" s="132" customFormat="1">
      <c r="B106" s="87" t="s">
        <v>2304</v>
      </c>
      <c r="C106" s="84">
        <v>5290</v>
      </c>
      <c r="D106" s="97" t="s">
        <v>169</v>
      </c>
      <c r="E106" s="107">
        <v>42779</v>
      </c>
      <c r="F106" s="94">
        <v>14743272.039999999</v>
      </c>
      <c r="G106" s="96">
        <v>80.176500000000004</v>
      </c>
      <c r="H106" s="94">
        <v>40852.130149999997</v>
      </c>
      <c r="I106" s="95">
        <v>5.1480744931631803E-3</v>
      </c>
      <c r="J106" s="95">
        <f t="shared" si="6"/>
        <v>1.2378950107501617E-2</v>
      </c>
      <c r="K106" s="95">
        <f>H106/'סכום נכסי הקרן'!$C$42</f>
        <v>7.0306139011842546E-4</v>
      </c>
      <c r="L106" s="141"/>
    </row>
    <row r="107" spans="2:12" s="132" customFormat="1">
      <c r="B107" s="87" t="s">
        <v>2305</v>
      </c>
      <c r="C107" s="84">
        <v>5307</v>
      </c>
      <c r="D107" s="97" t="s">
        <v>169</v>
      </c>
      <c r="E107" s="107">
        <v>43068</v>
      </c>
      <c r="F107" s="94">
        <v>633002</v>
      </c>
      <c r="G107" s="96">
        <v>101.83410000000001</v>
      </c>
      <c r="H107" s="94">
        <v>2227.7786900000001</v>
      </c>
      <c r="I107" s="95">
        <v>4.3061329745705309E-3</v>
      </c>
      <c r="J107" s="95">
        <f t="shared" si="6"/>
        <v>6.7505809740658809E-4</v>
      </c>
      <c r="K107" s="95">
        <f>H107/'סכום נכסי הקרן'!$C$42</f>
        <v>3.8339865679381349E-5</v>
      </c>
      <c r="L107" s="141"/>
    </row>
    <row r="108" spans="2:12" s="132" customFormat="1">
      <c r="B108" s="87" t="s">
        <v>2306</v>
      </c>
      <c r="C108" s="84">
        <v>5315</v>
      </c>
      <c r="D108" s="97" t="s">
        <v>177</v>
      </c>
      <c r="E108" s="107">
        <v>43129</v>
      </c>
      <c r="F108" s="94">
        <v>80577733.959999993</v>
      </c>
      <c r="G108" s="96">
        <v>98.846400000000003</v>
      </c>
      <c r="H108" s="94">
        <v>41345.375030000003</v>
      </c>
      <c r="I108" s="95">
        <v>1.4718264278033398E-2</v>
      </c>
      <c r="J108" s="95">
        <f t="shared" si="6"/>
        <v>1.2528412417982891E-2</v>
      </c>
      <c r="K108" s="95">
        <f>H108/'סכום נכסי הקרן'!$C$42</f>
        <v>7.1155008898745133E-4</v>
      </c>
      <c r="L108" s="141"/>
    </row>
    <row r="109" spans="2:12" s="132" customFormat="1">
      <c r="B109" s="87" t="s">
        <v>2307</v>
      </c>
      <c r="C109" s="84">
        <v>5255</v>
      </c>
      <c r="D109" s="97" t="s">
        <v>169</v>
      </c>
      <c r="E109" s="107">
        <v>41407</v>
      </c>
      <c r="F109" s="94">
        <v>1785724.35</v>
      </c>
      <c r="G109" s="96">
        <v>101.8292</v>
      </c>
      <c r="H109" s="94">
        <v>6284.3517599999996</v>
      </c>
      <c r="I109" s="95">
        <v>2.8089887640449437E-2</v>
      </c>
      <c r="J109" s="95">
        <f t="shared" si="6"/>
        <v>1.9042746757485783E-3</v>
      </c>
      <c r="K109" s="95">
        <f>H109/'סכום נכסי הקרן'!$C$42</f>
        <v>1.081531138806179E-4</v>
      </c>
      <c r="L109" s="141"/>
    </row>
    <row r="110" spans="2:12" s="132" customFormat="1">
      <c r="B110" s="87" t="s">
        <v>2308</v>
      </c>
      <c r="C110" s="84">
        <v>5332</v>
      </c>
      <c r="D110" s="97" t="s">
        <v>169</v>
      </c>
      <c r="E110" s="107">
        <v>43457</v>
      </c>
      <c r="F110" s="94">
        <v>4259525.95</v>
      </c>
      <c r="G110" s="96">
        <v>106.5254</v>
      </c>
      <c r="H110" s="94">
        <v>15681.52072</v>
      </c>
      <c r="I110" s="95">
        <v>6.2524296202562044E-3</v>
      </c>
      <c r="J110" s="95">
        <f t="shared" si="6"/>
        <v>4.7517904669808963E-3</v>
      </c>
      <c r="K110" s="95">
        <f>H110/'סכום נכסי הקרן'!$C$42</f>
        <v>2.6987752452791239E-4</v>
      </c>
      <c r="L110" s="141"/>
    </row>
    <row r="111" spans="2:12" s="132" customFormat="1">
      <c r="B111" s="87" t="s">
        <v>2309</v>
      </c>
      <c r="C111" s="84">
        <v>5294</v>
      </c>
      <c r="D111" s="97" t="s">
        <v>172</v>
      </c>
      <c r="E111" s="107">
        <v>43002</v>
      </c>
      <c r="F111" s="94">
        <v>20425058.760000002</v>
      </c>
      <c r="G111" s="96">
        <v>106.7649</v>
      </c>
      <c r="H111" s="94">
        <v>99432.436600000001</v>
      </c>
      <c r="I111" s="95">
        <v>6.2846333627311138E-2</v>
      </c>
      <c r="J111" s="95">
        <f t="shared" si="6"/>
        <v>3.0129865131126282E-2</v>
      </c>
      <c r="K111" s="95">
        <f>H111/'סכום נכסי הקרן'!$C$42</f>
        <v>1.7112230584347683E-3</v>
      </c>
      <c r="L111" s="141"/>
    </row>
    <row r="112" spans="2:12" s="132" customFormat="1">
      <c r="B112" s="87" t="s">
        <v>2310</v>
      </c>
      <c r="C112" s="84">
        <v>5285</v>
      </c>
      <c r="D112" s="97" t="s">
        <v>169</v>
      </c>
      <c r="E112" s="107">
        <v>42718</v>
      </c>
      <c r="F112" s="94">
        <v>12738272.68</v>
      </c>
      <c r="G112" s="96">
        <v>94.244200000000006</v>
      </c>
      <c r="H112" s="94">
        <v>41489.567470000002</v>
      </c>
      <c r="I112" s="95">
        <v>3.7313775719298235E-3</v>
      </c>
      <c r="J112" s="95">
        <f t="shared" si="6"/>
        <v>1.2572105391007428E-2</v>
      </c>
      <c r="K112" s="95">
        <f>H112/'סכום נכסי הקרן'!$C$42</f>
        <v>7.1403162757402525E-4</v>
      </c>
      <c r="L112" s="141"/>
    </row>
    <row r="113" spans="2:12" s="132" customFormat="1">
      <c r="B113" s="87" t="s">
        <v>2311</v>
      </c>
      <c r="C113" s="84">
        <v>6657</v>
      </c>
      <c r="D113" s="97" t="s">
        <v>169</v>
      </c>
      <c r="E113" s="107">
        <v>43558</v>
      </c>
      <c r="F113" s="94">
        <v>1058709.51</v>
      </c>
      <c r="G113" s="96">
        <v>103.35769999999999</v>
      </c>
      <c r="H113" s="94">
        <v>3781.7549599999998</v>
      </c>
      <c r="I113" s="95">
        <v>0.12540416476522198</v>
      </c>
      <c r="J113" s="95">
        <f t="shared" si="6"/>
        <v>1.1459416142253912E-3</v>
      </c>
      <c r="K113" s="95">
        <f>H113/'סכום נכסי הקרן'!$C$42</f>
        <v>6.5083653887870784E-5</v>
      </c>
      <c r="L113" s="141"/>
    </row>
    <row r="114" spans="2:12" s="132" customFormat="1">
      <c r="B114" s="87" t="s">
        <v>2312</v>
      </c>
      <c r="C114" s="84">
        <v>7009</v>
      </c>
      <c r="D114" s="97" t="s">
        <v>169</v>
      </c>
      <c r="E114" s="107">
        <v>43686</v>
      </c>
      <c r="F114" s="94">
        <v>1140806.3899999999</v>
      </c>
      <c r="G114" s="96">
        <v>97.325000000000003</v>
      </c>
      <c r="H114" s="94">
        <v>3837.1616099999997</v>
      </c>
      <c r="I114" s="95">
        <v>0.12540416476522198</v>
      </c>
      <c r="J114" s="95">
        <f t="shared" si="6"/>
        <v>1.1627308527168826E-3</v>
      </c>
      <c r="K114" s="95">
        <f>H114/'סכום נכסי הקרן'!$C$42</f>
        <v>6.6037197221542081E-5</v>
      </c>
      <c r="L114" s="141"/>
    </row>
    <row r="115" spans="2:12" s="132" customFormat="1">
      <c r="B115" s="87" t="s">
        <v>2313</v>
      </c>
      <c r="C115" s="84">
        <v>4028</v>
      </c>
      <c r="D115" s="97" t="s">
        <v>169</v>
      </c>
      <c r="E115" s="107">
        <v>39321</v>
      </c>
      <c r="F115" s="94">
        <v>394776.73</v>
      </c>
      <c r="G115" s="96">
        <v>14.8118</v>
      </c>
      <c r="H115" s="94">
        <v>202.08456000000001</v>
      </c>
      <c r="I115" s="95">
        <v>1.8721967687484928E-3</v>
      </c>
      <c r="J115" s="95">
        <f t="shared" si="6"/>
        <v>6.1235354840766287E-5</v>
      </c>
      <c r="K115" s="95">
        <f>H115/'סכום נכסי הקרן'!$C$42</f>
        <v>3.4778566295904738E-6</v>
      </c>
      <c r="L115" s="141"/>
    </row>
    <row r="116" spans="2:12" s="132" customFormat="1">
      <c r="B116" s="87" t="s">
        <v>2314</v>
      </c>
      <c r="C116" s="84">
        <v>5087</v>
      </c>
      <c r="D116" s="97" t="s">
        <v>169</v>
      </c>
      <c r="E116" s="107">
        <v>39713</v>
      </c>
      <c r="F116" s="94">
        <v>4800000</v>
      </c>
      <c r="G116" s="96">
        <v>0.63449999999999995</v>
      </c>
      <c r="H116" s="94">
        <v>105.25594</v>
      </c>
      <c r="I116" s="95">
        <v>4.577497024626934E-3</v>
      </c>
      <c r="J116" s="95">
        <f t="shared" si="6"/>
        <v>3.1894494240422951E-5</v>
      </c>
      <c r="K116" s="95">
        <f>H116/'סכום נכסי הקרן'!$C$42</f>
        <v>1.8114450145660664E-6</v>
      </c>
      <c r="L116" s="141"/>
    </row>
    <row r="117" spans="2:12" s="132" customFormat="1">
      <c r="B117" s="87" t="s">
        <v>2315</v>
      </c>
      <c r="C117" s="84">
        <v>5223</v>
      </c>
      <c r="D117" s="97" t="s">
        <v>169</v>
      </c>
      <c r="E117" s="107">
        <v>40749</v>
      </c>
      <c r="F117" s="94">
        <v>5093397.0599999996</v>
      </c>
      <c r="G117" s="96">
        <v>6.5629999999999997</v>
      </c>
      <c r="H117" s="94">
        <v>1155.2704699999999</v>
      </c>
      <c r="I117" s="95">
        <v>1.1223917147084332E-2</v>
      </c>
      <c r="J117" s="95">
        <f t="shared" si="6"/>
        <v>3.500682940226054E-4</v>
      </c>
      <c r="K117" s="95">
        <f>H117/'סכום נכסי הקרן'!$C$42</f>
        <v>1.9882098182362878E-5</v>
      </c>
      <c r="L117" s="141"/>
    </row>
    <row r="118" spans="2:12" s="132" customFormat="1">
      <c r="B118" s="87" t="s">
        <v>2316</v>
      </c>
      <c r="C118" s="84">
        <v>7027</v>
      </c>
      <c r="D118" s="97" t="s">
        <v>172</v>
      </c>
      <c r="E118" s="107">
        <v>43762</v>
      </c>
      <c r="F118" s="94">
        <v>20635907.98</v>
      </c>
      <c r="G118" s="96">
        <v>99.156099999999995</v>
      </c>
      <c r="H118" s="94">
        <v>93299.494139999995</v>
      </c>
      <c r="I118" s="95">
        <v>8.5982949902849888E-3</v>
      </c>
      <c r="J118" s="95">
        <f t="shared" si="6"/>
        <v>2.8271470270301177E-2</v>
      </c>
      <c r="K118" s="95">
        <f>H118/'סכום נכסי הקרן'!$C$42</f>
        <v>1.6056756846353651E-3</v>
      </c>
      <c r="L118" s="141"/>
    </row>
    <row r="119" spans="2:12" s="132" customFormat="1">
      <c r="B119" s="87" t="s">
        <v>2317</v>
      </c>
      <c r="C119" s="84">
        <v>7018</v>
      </c>
      <c r="D119" s="97" t="s">
        <v>169</v>
      </c>
      <c r="E119" s="107">
        <v>43761</v>
      </c>
      <c r="F119" s="94">
        <v>730796.89</v>
      </c>
      <c r="G119" s="96">
        <v>23.4115</v>
      </c>
      <c r="H119" s="94">
        <v>591.28880000000004</v>
      </c>
      <c r="I119" s="95">
        <v>2.0421434118181822E-3</v>
      </c>
      <c r="J119" s="95">
        <f t="shared" si="6"/>
        <v>1.7917142943216886E-4</v>
      </c>
      <c r="K119" s="95">
        <f>H119/'סכום נכסי הקרן'!$C$42</f>
        <v>1.0176025684904359E-5</v>
      </c>
      <c r="L119" s="141"/>
    </row>
    <row r="120" spans="2:12" s="132" customFormat="1">
      <c r="B120" s="87" t="s">
        <v>2318</v>
      </c>
      <c r="C120" s="84">
        <v>5270</v>
      </c>
      <c r="D120" s="97" t="s">
        <v>169</v>
      </c>
      <c r="E120" s="107">
        <v>42338</v>
      </c>
      <c r="F120" s="94">
        <v>4553589.17</v>
      </c>
      <c r="G120" s="96">
        <v>269.69229999999999</v>
      </c>
      <c r="H120" s="94">
        <v>42442.027869999998</v>
      </c>
      <c r="I120" s="95">
        <v>3.404529021669217E-2</v>
      </c>
      <c r="J120" s="95">
        <f t="shared" si="6"/>
        <v>1.2860718487256732E-2</v>
      </c>
      <c r="K120" s="95">
        <f>H120/'סכום נכסי הקרן'!$C$42</f>
        <v>7.3042338316664642E-4</v>
      </c>
      <c r="L120" s="141"/>
    </row>
    <row r="121" spans="2:12" s="132" customFormat="1">
      <c r="B121" s="87" t="s">
        <v>2319</v>
      </c>
      <c r="C121" s="84">
        <v>5239</v>
      </c>
      <c r="D121" s="97" t="s">
        <v>169</v>
      </c>
      <c r="E121" s="107">
        <v>43223</v>
      </c>
      <c r="F121" s="94">
        <v>444224</v>
      </c>
      <c r="G121" s="96">
        <v>81.874399999999994</v>
      </c>
      <c r="H121" s="94">
        <v>1256.96704</v>
      </c>
      <c r="I121" s="95">
        <v>2.6528121296296299E-4</v>
      </c>
      <c r="J121" s="95">
        <f t="shared" si="6"/>
        <v>3.8088423339985831E-4</v>
      </c>
      <c r="K121" s="95">
        <f>H121/'סכום נכסי הקרן'!$C$42</f>
        <v>2.1632286767681381E-5</v>
      </c>
      <c r="L121" s="141"/>
    </row>
    <row r="122" spans="2:12" s="132" customFormat="1">
      <c r="B122" s="87" t="s">
        <v>2320</v>
      </c>
      <c r="C122" s="84">
        <v>7000</v>
      </c>
      <c r="D122" s="97" t="s">
        <v>169</v>
      </c>
      <c r="E122" s="107">
        <v>43137</v>
      </c>
      <c r="F122" s="94">
        <v>1972.22</v>
      </c>
      <c r="G122" s="96">
        <v>100</v>
      </c>
      <c r="H122" s="94">
        <v>6.8159900000000002</v>
      </c>
      <c r="I122" s="95">
        <v>6.3929806170601455E-3</v>
      </c>
      <c r="J122" s="95">
        <f t="shared" si="6"/>
        <v>2.0653708835603996E-6</v>
      </c>
      <c r="K122" s="95">
        <f>H122/'סכום נכסי הקרן'!$C$42</f>
        <v>1.1730255893237154E-7</v>
      </c>
      <c r="L122" s="141"/>
    </row>
    <row r="123" spans="2:12" s="132" customFormat="1">
      <c r="B123" s="87" t="s">
        <v>2321</v>
      </c>
      <c r="C123" s="84">
        <v>6640</v>
      </c>
      <c r="D123" s="97" t="s">
        <v>169</v>
      </c>
      <c r="E123" s="107">
        <v>43563</v>
      </c>
      <c r="F123" s="94">
        <v>228979.45</v>
      </c>
      <c r="G123" s="96">
        <v>92.390600000000006</v>
      </c>
      <c r="H123" s="94">
        <v>731.13572999999997</v>
      </c>
      <c r="I123" s="95">
        <v>1.1636057720588236E-3</v>
      </c>
      <c r="J123" s="95">
        <f t="shared" si="6"/>
        <v>2.2154763265096894E-4</v>
      </c>
      <c r="K123" s="95">
        <f>H123/'סכום נכסי הקרן'!$C$42</f>
        <v>1.2582778445374403E-5</v>
      </c>
      <c r="L123" s="141"/>
    </row>
    <row r="124" spans="2:12" s="132" customFormat="1">
      <c r="B124" s="87" t="s">
        <v>2322</v>
      </c>
      <c r="C124" s="84">
        <v>5292</v>
      </c>
      <c r="D124" s="97" t="s">
        <v>171</v>
      </c>
      <c r="E124" s="107">
        <v>42814</v>
      </c>
      <c r="F124" s="94">
        <v>504185.74</v>
      </c>
      <c r="G124" s="96">
        <v>1E-4</v>
      </c>
      <c r="H124" s="94">
        <v>1.9399999999999999E-3</v>
      </c>
      <c r="I124" s="95">
        <v>2.4884052260526349E-3</v>
      </c>
      <c r="J124" s="95">
        <f t="shared" si="6"/>
        <v>5.8785583812581527E-10</v>
      </c>
      <c r="K124" s="95">
        <f>H124/'סכום נכסי הקרן'!$C$42</f>
        <v>3.3387220980195214E-11</v>
      </c>
      <c r="L124" s="141"/>
    </row>
    <row r="125" spans="2:12" s="132" customFormat="1">
      <c r="B125" s="87" t="s">
        <v>2323</v>
      </c>
      <c r="C125" s="84">
        <v>5329</v>
      </c>
      <c r="D125" s="97" t="s">
        <v>169</v>
      </c>
      <c r="E125" s="107">
        <v>43261</v>
      </c>
      <c r="F125" s="94">
        <v>826067.01</v>
      </c>
      <c r="G125" s="96">
        <v>139.62049999999999</v>
      </c>
      <c r="H125" s="94">
        <v>3986.0083300000001</v>
      </c>
      <c r="I125" s="95">
        <v>9.0280547540983608E-4</v>
      </c>
      <c r="J125" s="95">
        <f t="shared" si="6"/>
        <v>1.2078341585611502E-3</v>
      </c>
      <c r="K125" s="95">
        <f>H125/'סכום נכסי הקרן'!$C$42</f>
        <v>6.8598835537427274E-5</v>
      </c>
      <c r="L125" s="141"/>
    </row>
    <row r="126" spans="2:12" s="132" customFormat="1">
      <c r="B126" s="87" t="s">
        <v>2324</v>
      </c>
      <c r="C126" s="84">
        <v>5296</v>
      </c>
      <c r="D126" s="97" t="s">
        <v>169</v>
      </c>
      <c r="E126" s="107">
        <v>42912</v>
      </c>
      <c r="F126" s="94">
        <v>1139402.8</v>
      </c>
      <c r="G126" s="96">
        <v>113.86499999999999</v>
      </c>
      <c r="H126" s="94">
        <v>4483.7487000000001</v>
      </c>
      <c r="I126" s="95">
        <v>9.2491501745271529E-2</v>
      </c>
      <c r="J126" s="95">
        <f t="shared" si="6"/>
        <v>1.3586586855587808E-3</v>
      </c>
      <c r="K126" s="95">
        <f>H126/'סכום נכסי הקרן'!$C$42</f>
        <v>7.7164901374517027E-5</v>
      </c>
      <c r="L126" s="141"/>
    </row>
    <row r="127" spans="2:12" s="132" customFormat="1">
      <c r="B127" s="87" t="s">
        <v>2325</v>
      </c>
      <c r="C127" s="84">
        <v>5059</v>
      </c>
      <c r="D127" s="97" t="s">
        <v>171</v>
      </c>
      <c r="E127" s="107">
        <v>39255</v>
      </c>
      <c r="F127" s="94">
        <v>2882100</v>
      </c>
      <c r="G127" s="96">
        <v>5.2739000000000003</v>
      </c>
      <c r="H127" s="94">
        <v>589.48279000000002</v>
      </c>
      <c r="I127" s="95">
        <v>6.2630480167014616E-3</v>
      </c>
      <c r="J127" s="95">
        <f t="shared" si="6"/>
        <v>1.7862417503927523E-4</v>
      </c>
      <c r="K127" s="95">
        <f>H127/'סכום נכסי הקרן'!$C$42</f>
        <v>1.0144944419459799E-5</v>
      </c>
      <c r="L127" s="141"/>
    </row>
    <row r="128" spans="2:12" s="132" customFormat="1">
      <c r="B128" s="87" t="s">
        <v>2326</v>
      </c>
      <c r="C128" s="84">
        <v>5297</v>
      </c>
      <c r="D128" s="97" t="s">
        <v>169</v>
      </c>
      <c r="E128" s="107">
        <v>42916</v>
      </c>
      <c r="F128" s="94">
        <v>10159782.300000001</v>
      </c>
      <c r="G128" s="96">
        <v>114.5985</v>
      </c>
      <c r="H128" s="94">
        <v>40238.06323</v>
      </c>
      <c r="I128" s="95">
        <v>7.3672381679708845E-3</v>
      </c>
      <c r="J128" s="95">
        <f t="shared" si="6"/>
        <v>1.2192876486923299E-2</v>
      </c>
      <c r="K128" s="95">
        <f>H128/'סכום נכסי הקרן'!$C$42</f>
        <v>6.9249335509024624E-4</v>
      </c>
      <c r="L128" s="141"/>
    </row>
    <row r="129" spans="2:12" s="132" customFormat="1">
      <c r="B129" s="87" t="s">
        <v>2327</v>
      </c>
      <c r="C129" s="84">
        <v>6659</v>
      </c>
      <c r="D129" s="97" t="s">
        <v>169</v>
      </c>
      <c r="E129" s="107">
        <v>43570</v>
      </c>
      <c r="F129" s="94">
        <v>1168007.2</v>
      </c>
      <c r="G129" s="96">
        <v>99.32</v>
      </c>
      <c r="H129" s="94">
        <v>4009.1837700000001</v>
      </c>
      <c r="I129" s="95">
        <v>8.2715463163906353E-3</v>
      </c>
      <c r="J129" s="95">
        <f t="shared" si="6"/>
        <v>1.2148567450070958E-3</v>
      </c>
      <c r="K129" s="95">
        <f>H129/'סכום נכסי הקרן'!$C$42</f>
        <v>6.8997682721238217E-5</v>
      </c>
      <c r="L129" s="141"/>
    </row>
    <row r="130" spans="2:12" s="132" customFormat="1">
      <c r="B130" s="87" t="s">
        <v>2328</v>
      </c>
      <c r="C130" s="84">
        <v>5293</v>
      </c>
      <c r="D130" s="97" t="s">
        <v>169</v>
      </c>
      <c r="E130" s="107">
        <v>42859</v>
      </c>
      <c r="F130" s="94">
        <v>477205</v>
      </c>
      <c r="G130" s="96">
        <v>110.04559999999999</v>
      </c>
      <c r="H130" s="94">
        <v>1814.8945900000001</v>
      </c>
      <c r="I130" s="95">
        <v>5.520515555248308E-4</v>
      </c>
      <c r="J130" s="95">
        <f t="shared" si="6"/>
        <v>5.4994658779095767E-4</v>
      </c>
      <c r="K130" s="95">
        <f>H130/'סכום נכסי הקרן'!$C$42</f>
        <v>3.1234168418603505E-5</v>
      </c>
      <c r="L130" s="141"/>
    </row>
    <row r="131" spans="2:12" s="132" customFormat="1">
      <c r="B131" s="87" t="s">
        <v>2329</v>
      </c>
      <c r="C131" s="84">
        <v>4023</v>
      </c>
      <c r="D131" s="97" t="s">
        <v>171</v>
      </c>
      <c r="E131" s="107">
        <v>39205</v>
      </c>
      <c r="F131" s="94">
        <v>2534941</v>
      </c>
      <c r="G131" s="96">
        <v>6.0086000000000004</v>
      </c>
      <c r="H131" s="94">
        <v>590.70594000000006</v>
      </c>
      <c r="I131" s="95">
        <v>3.9999999999999994E-2</v>
      </c>
      <c r="J131" s="95">
        <f t="shared" si="6"/>
        <v>1.7899481208484411E-4</v>
      </c>
      <c r="K131" s="95">
        <f>H131/'סכום נכסי הקרן'!$C$42</f>
        <v>1.016599471808966E-5</v>
      </c>
      <c r="L131" s="141"/>
    </row>
    <row r="132" spans="2:12" s="132" customFormat="1">
      <c r="B132" s="87" t="s">
        <v>2330</v>
      </c>
      <c r="C132" s="84">
        <v>5313</v>
      </c>
      <c r="D132" s="97" t="s">
        <v>169</v>
      </c>
      <c r="E132" s="107">
        <v>43098</v>
      </c>
      <c r="F132" s="94">
        <v>383489.11</v>
      </c>
      <c r="G132" s="96">
        <v>72.131299999999996</v>
      </c>
      <c r="H132" s="94">
        <v>955.98379</v>
      </c>
      <c r="I132" s="95">
        <v>1.9100247102146737E-3</v>
      </c>
      <c r="J132" s="95">
        <f t="shared" si="6"/>
        <v>2.8968074850780587E-4</v>
      </c>
      <c r="K132" s="95">
        <f>H132/'סכום נכסי הקרן'!$C$42</f>
        <v>1.6452392809388936E-5</v>
      </c>
      <c r="L132" s="141"/>
    </row>
    <row r="133" spans="2:12" s="132" customFormat="1">
      <c r="B133" s="87" t="s">
        <v>2331</v>
      </c>
      <c r="C133" s="84">
        <v>4030</v>
      </c>
      <c r="D133" s="97" t="s">
        <v>169</v>
      </c>
      <c r="E133" s="107">
        <v>39377</v>
      </c>
      <c r="F133" s="94">
        <v>600000</v>
      </c>
      <c r="G133" s="96">
        <v>1E-4</v>
      </c>
      <c r="H133" s="94">
        <v>2.0700001000000003E-3</v>
      </c>
      <c r="I133" s="95">
        <v>1.0499999999999999E-3</v>
      </c>
      <c r="J133" s="95">
        <f t="shared" si="6"/>
        <v>6.2724826995155754E-10</v>
      </c>
      <c r="K133" s="95">
        <f>H133/'סכום נכסי הקרן'!$C$42</f>
        <v>3.5624510705013508E-11</v>
      </c>
      <c r="L133" s="141"/>
    </row>
    <row r="134" spans="2:12" s="132" customFormat="1">
      <c r="B134" s="87" t="s">
        <v>2332</v>
      </c>
      <c r="C134" s="84">
        <v>5326</v>
      </c>
      <c r="D134" s="97" t="s">
        <v>172</v>
      </c>
      <c r="E134" s="107">
        <v>43234</v>
      </c>
      <c r="F134" s="94">
        <v>9479448.5800000001</v>
      </c>
      <c r="G134" s="96">
        <v>100.0171</v>
      </c>
      <c r="H134" s="94">
        <v>43230.832869999998</v>
      </c>
      <c r="I134" s="95">
        <v>2.0833941010312277E-2</v>
      </c>
      <c r="J134" s="95">
        <f t="shared" si="6"/>
        <v>1.3099740974057162E-2</v>
      </c>
      <c r="K134" s="95">
        <f>H134/'סכום נכסי הקרן'!$C$42</f>
        <v>7.4399864442710147E-4</v>
      </c>
      <c r="L134" s="141"/>
    </row>
    <row r="135" spans="2:12" s="132" customFormat="1">
      <c r="B135" s="87" t="s">
        <v>2333</v>
      </c>
      <c r="C135" s="84">
        <v>5341</v>
      </c>
      <c r="D135" s="97" t="s">
        <v>169</v>
      </c>
      <c r="E135" s="107">
        <v>43496</v>
      </c>
      <c r="F135" s="94">
        <v>79792177.50999999</v>
      </c>
      <c r="G135" s="96">
        <v>100</v>
      </c>
      <c r="H135" s="94">
        <v>275761.76547000004</v>
      </c>
      <c r="I135" s="95">
        <v>4.1995882899999995E-3</v>
      </c>
      <c r="J135" s="95">
        <f t="shared" si="6"/>
        <v>8.3560909156402768E-2</v>
      </c>
      <c r="K135" s="95">
        <f>H135/'סכום נכסי הקרן'!$C$42</f>
        <v>4.7458345369255969E-3</v>
      </c>
      <c r="L135" s="141"/>
    </row>
    <row r="136" spans="2:12" s="132" customFormat="1">
      <c r="B136" s="87" t="s">
        <v>2334</v>
      </c>
      <c r="C136" s="84">
        <v>5336</v>
      </c>
      <c r="D136" s="97" t="s">
        <v>171</v>
      </c>
      <c r="E136" s="107">
        <v>43363</v>
      </c>
      <c r="F136" s="94">
        <v>930844.61</v>
      </c>
      <c r="G136" s="96">
        <v>105.9532</v>
      </c>
      <c r="H136" s="94">
        <v>3824.9121700000001</v>
      </c>
      <c r="I136" s="95">
        <v>4.427784551669563E-3</v>
      </c>
      <c r="J136" s="95">
        <f t="shared" si="6"/>
        <v>1.159019046109784E-3</v>
      </c>
      <c r="K136" s="95">
        <f>H136/'סכום נכסי הקרן'!$C$42</f>
        <v>6.5826385489498981E-5</v>
      </c>
      <c r="L136" s="141"/>
    </row>
    <row r="137" spans="2:12" s="132" customFormat="1">
      <c r="B137" s="87" t="s">
        <v>2335</v>
      </c>
      <c r="C137" s="84">
        <v>5308</v>
      </c>
      <c r="D137" s="97" t="s">
        <v>169</v>
      </c>
      <c r="E137" s="107">
        <v>43072</v>
      </c>
      <c r="F137" s="94">
        <v>676679.09</v>
      </c>
      <c r="G137" s="96">
        <v>104.3107</v>
      </c>
      <c r="H137" s="94">
        <v>2439.41311</v>
      </c>
      <c r="I137" s="95">
        <v>2.1064943336501431E-3</v>
      </c>
      <c r="J137" s="95">
        <f t="shared" si="6"/>
        <v>7.3918723624440802E-4</v>
      </c>
      <c r="K137" s="95">
        <f>H137/'סכום נכסי הקרן'!$C$42</f>
        <v>4.1982074518327455E-5</v>
      </c>
      <c r="L137" s="141"/>
    </row>
    <row r="138" spans="2:12" s="132" customFormat="1">
      <c r="B138" s="87" t="s">
        <v>2336</v>
      </c>
      <c r="C138" s="84">
        <v>5309</v>
      </c>
      <c r="D138" s="97" t="s">
        <v>169</v>
      </c>
      <c r="E138" s="107">
        <v>43125</v>
      </c>
      <c r="F138" s="94">
        <v>10139765.01</v>
      </c>
      <c r="G138" s="96">
        <v>101.33280000000001</v>
      </c>
      <c r="H138" s="94">
        <v>35510.081359999996</v>
      </c>
      <c r="I138" s="95">
        <v>2.6982657864785254E-2</v>
      </c>
      <c r="J138" s="95">
        <f t="shared" si="6"/>
        <v>1.0760210639071489E-2</v>
      </c>
      <c r="K138" s="95">
        <f>H138/'סכום נכסי הקרן'!$C$42</f>
        <v>6.1112522339743858E-4</v>
      </c>
      <c r="L138" s="141"/>
    </row>
    <row r="139" spans="2:12" s="132" customFormat="1">
      <c r="B139" s="87" t="s">
        <v>2337</v>
      </c>
      <c r="C139" s="84">
        <v>5321</v>
      </c>
      <c r="D139" s="97" t="s">
        <v>169</v>
      </c>
      <c r="E139" s="107">
        <v>43201</v>
      </c>
      <c r="F139" s="94">
        <v>3545483.41</v>
      </c>
      <c r="G139" s="96">
        <v>108.1942</v>
      </c>
      <c r="H139" s="94">
        <v>13257.241609999999</v>
      </c>
      <c r="I139" s="95">
        <v>8.2645300961538466E-4</v>
      </c>
      <c r="J139" s="95">
        <f t="shared" si="6"/>
        <v>4.0171891123108152E-3</v>
      </c>
      <c r="K139" s="95">
        <f>H139/'סכום נכסי הקרן'!$C$42</f>
        <v>2.2815590475304585E-4</v>
      </c>
      <c r="L139" s="141"/>
    </row>
    <row r="140" spans="2:12" s="132" customFormat="1">
      <c r="B140" s="87" t="s">
        <v>2338</v>
      </c>
      <c r="C140" s="84">
        <v>7012</v>
      </c>
      <c r="D140" s="97" t="s">
        <v>171</v>
      </c>
      <c r="E140" s="107">
        <v>43721</v>
      </c>
      <c r="F140" s="94">
        <v>44507.42</v>
      </c>
      <c r="G140" s="96">
        <v>100</v>
      </c>
      <c r="H140" s="94">
        <v>172.60867999999999</v>
      </c>
      <c r="I140" s="95">
        <v>9.9674959469520379E-4</v>
      </c>
      <c r="J140" s="95">
        <f t="shared" si="6"/>
        <v>5.2303618685149814E-5</v>
      </c>
      <c r="K140" s="95">
        <f>H140/'סכום נכסי הקרן'!$C$42</f>
        <v>2.970579454773094E-6</v>
      </c>
      <c r="L140" s="141"/>
    </row>
    <row r="141" spans="2:12" s="132" customFormat="1">
      <c r="B141" s="87" t="s">
        <v>2339</v>
      </c>
      <c r="C141" s="84">
        <v>6653</v>
      </c>
      <c r="D141" s="97" t="s">
        <v>169</v>
      </c>
      <c r="E141" s="107">
        <v>43516</v>
      </c>
      <c r="F141" s="94">
        <v>63994176.270000003</v>
      </c>
      <c r="G141" s="96">
        <v>93.669499999999999</v>
      </c>
      <c r="H141" s="94">
        <v>207163.09419000003</v>
      </c>
      <c r="I141" s="95">
        <v>6.7056510385673021E-3</v>
      </c>
      <c r="J141" s="95">
        <f t="shared" si="6"/>
        <v>6.2774244517422514E-2</v>
      </c>
      <c r="K141" s="95">
        <f>H141/'סכום נכסי הקרן'!$C$42</f>
        <v>3.5652577343621272E-3</v>
      </c>
      <c r="L141" s="141"/>
    </row>
    <row r="142" spans="2:12" s="132" customFormat="1">
      <c r="B142" s="87" t="s">
        <v>2340</v>
      </c>
      <c r="C142" s="84">
        <v>7001</v>
      </c>
      <c r="D142" s="97" t="s">
        <v>171</v>
      </c>
      <c r="E142" s="107">
        <v>43612</v>
      </c>
      <c r="F142" s="94">
        <v>919937.56</v>
      </c>
      <c r="G142" s="96">
        <v>101.4636</v>
      </c>
      <c r="H142" s="94">
        <v>3619.9187499999998</v>
      </c>
      <c r="I142" s="95">
        <v>1.5180487783333335E-2</v>
      </c>
      <c r="J142" s="95">
        <f t="shared" si="6"/>
        <v>1.0969022529528883E-3</v>
      </c>
      <c r="K142" s="95">
        <f>H142/'סכום נכסי הקרן'!$C$42</f>
        <v>6.2298467647733003E-5</v>
      </c>
      <c r="L142" s="141"/>
    </row>
    <row r="143" spans="2:12" s="132" customFormat="1">
      <c r="B143" s="87" t="s">
        <v>2341</v>
      </c>
      <c r="C143" s="84">
        <v>5303</v>
      </c>
      <c r="D143" s="97" t="s">
        <v>171</v>
      </c>
      <c r="E143" s="107">
        <v>43034</v>
      </c>
      <c r="F143" s="94">
        <v>14811938.82</v>
      </c>
      <c r="G143" s="96">
        <v>102.212</v>
      </c>
      <c r="H143" s="94">
        <v>58714.314890000001</v>
      </c>
      <c r="I143" s="95">
        <v>2.6200695953757226E-2</v>
      </c>
      <c r="J143" s="95">
        <f t="shared" si="6"/>
        <v>1.7791522056517517E-2</v>
      </c>
      <c r="K143" s="95">
        <f>H143/'סכום נכסי הקרן'!$C$42</f>
        <v>1.0104679412026786E-3</v>
      </c>
      <c r="L143" s="141"/>
    </row>
    <row r="144" spans="2:12" s="132" customFormat="1">
      <c r="B144" s="87" t="s">
        <v>2342</v>
      </c>
      <c r="C144" s="84">
        <v>7011</v>
      </c>
      <c r="D144" s="97" t="s">
        <v>171</v>
      </c>
      <c r="E144" s="107">
        <v>43698</v>
      </c>
      <c r="F144" s="94">
        <v>2824501.69</v>
      </c>
      <c r="G144" s="96">
        <v>100</v>
      </c>
      <c r="H144" s="94">
        <v>10953.98245</v>
      </c>
      <c r="I144" s="95">
        <v>2.2964962891666663E-2</v>
      </c>
      <c r="J144" s="95">
        <f t="shared" si="6"/>
        <v>3.3192590381238255E-3</v>
      </c>
      <c r="K144" s="95">
        <f>H144/'סכום נכסי הקרן'!$C$42</f>
        <v>1.8851702715017018E-4</v>
      </c>
      <c r="L144" s="141"/>
    </row>
    <row r="145" spans="2:12" s="132" customFormat="1">
      <c r="B145" s="87" t="s">
        <v>2343</v>
      </c>
      <c r="C145" s="84">
        <v>6644</v>
      </c>
      <c r="D145" s="97" t="s">
        <v>169</v>
      </c>
      <c r="E145" s="107">
        <v>43444</v>
      </c>
      <c r="F145" s="94">
        <v>775354.68</v>
      </c>
      <c r="G145" s="96">
        <v>102.32899999999999</v>
      </c>
      <c r="H145" s="94">
        <v>2742.0342500000002</v>
      </c>
      <c r="I145" s="95">
        <v>2.527973911764706E-3</v>
      </c>
      <c r="J145" s="95">
        <f t="shared" si="6"/>
        <v>8.3088703206362952E-4</v>
      </c>
      <c r="K145" s="95">
        <f>H145/'סכום נכסי הקרן'!$C$42</f>
        <v>4.7190156412378276E-5</v>
      </c>
      <c r="L145" s="141"/>
    </row>
    <row r="146" spans="2:12" s="132" customFormat="1">
      <c r="B146" s="87" t="s">
        <v>2344</v>
      </c>
      <c r="C146" s="84">
        <v>7017</v>
      </c>
      <c r="D146" s="97" t="s">
        <v>170</v>
      </c>
      <c r="E146" s="107">
        <v>43782</v>
      </c>
      <c r="F146" s="94">
        <v>5502909.5499999998</v>
      </c>
      <c r="G146" s="145">
        <v>96.41</v>
      </c>
      <c r="H146" s="94">
        <v>5305.4871700000003</v>
      </c>
      <c r="I146" s="95">
        <v>2.94071404E-2</v>
      </c>
      <c r="J146" s="95">
        <f t="shared" si="6"/>
        <v>1.6076606221577885E-3</v>
      </c>
      <c r="K146" s="95">
        <f>H146/'סכום נכסי הקרן'!$C$42</f>
        <v>9.1306944614629148E-5</v>
      </c>
      <c r="L146" s="141"/>
    </row>
    <row r="147" spans="2:12" s="132" customFormat="1">
      <c r="B147" s="87" t="s">
        <v>2345</v>
      </c>
      <c r="C147" s="84">
        <v>5258</v>
      </c>
      <c r="D147" s="97" t="s">
        <v>170</v>
      </c>
      <c r="E147" s="107">
        <v>42036</v>
      </c>
      <c r="F147" s="94">
        <v>48818446.689999998</v>
      </c>
      <c r="G147" s="96">
        <v>42.650700000000001</v>
      </c>
      <c r="H147" s="94">
        <v>20821.409239999997</v>
      </c>
      <c r="I147" s="95">
        <v>5.6495050356632381E-2</v>
      </c>
      <c r="J147" s="95">
        <f t="shared" si="6"/>
        <v>6.309271639041646E-3</v>
      </c>
      <c r="K147" s="95">
        <f>H147/'סכום נכסי הקרן'!$C$42</f>
        <v>3.5833453165719508E-4</v>
      </c>
      <c r="L147" s="141"/>
    </row>
    <row r="148" spans="2:12" s="132" customFormat="1">
      <c r="B148" s="87" t="s">
        <v>2346</v>
      </c>
      <c r="C148" s="84">
        <v>5121</v>
      </c>
      <c r="D148" s="97" t="s">
        <v>170</v>
      </c>
      <c r="E148" s="107">
        <v>39988</v>
      </c>
      <c r="F148" s="94">
        <v>38610484.789999999</v>
      </c>
      <c r="G148" s="96">
        <v>3.1377000000000002</v>
      </c>
      <c r="H148" s="94">
        <v>1211.48118</v>
      </c>
      <c r="I148" s="95">
        <v>0.10322448979591836</v>
      </c>
      <c r="J148" s="95">
        <f t="shared" si="6"/>
        <v>3.6710117754770705E-4</v>
      </c>
      <c r="K148" s="95">
        <f>H148/'סכום נכסי הקרן'!$C$42</f>
        <v>2.0849479314436936E-5</v>
      </c>
      <c r="L148" s="141"/>
    </row>
    <row r="149" spans="2:12" s="132" customFormat="1">
      <c r="B149" s="87" t="s">
        <v>2347</v>
      </c>
      <c r="C149" s="84">
        <v>6885</v>
      </c>
      <c r="D149" s="97" t="s">
        <v>171</v>
      </c>
      <c r="E149" s="107">
        <v>43608</v>
      </c>
      <c r="F149" s="94">
        <v>683121.95</v>
      </c>
      <c r="G149" s="96">
        <v>128.83940000000001</v>
      </c>
      <c r="H149" s="94">
        <v>3413.3210199999999</v>
      </c>
      <c r="I149" s="95">
        <v>2.2770731666666669E-2</v>
      </c>
      <c r="J149" s="95">
        <f t="shared" ref="J149:J192" si="7">H149/$H$11</f>
        <v>1.0342993242291559E-3</v>
      </c>
      <c r="K149" s="95">
        <f>H149/'סכום נכסי הקרן'!$C$42</f>
        <v>5.8742939778909966E-5</v>
      </c>
      <c r="L149" s="141"/>
    </row>
    <row r="150" spans="2:12" s="132" customFormat="1">
      <c r="B150" s="87" t="s">
        <v>2348</v>
      </c>
      <c r="C150" s="84">
        <v>5317</v>
      </c>
      <c r="D150" s="97" t="s">
        <v>169</v>
      </c>
      <c r="E150" s="107">
        <v>43264</v>
      </c>
      <c r="F150" s="94">
        <v>2222247.48</v>
      </c>
      <c r="G150" s="96">
        <v>68.184799999999996</v>
      </c>
      <c r="H150" s="94">
        <v>5236.6521600000005</v>
      </c>
      <c r="I150" s="95">
        <v>1.3543779663100124E-2</v>
      </c>
      <c r="J150" s="95">
        <f t="shared" si="7"/>
        <v>1.5868023425207017E-3</v>
      </c>
      <c r="K150" s="95">
        <f>H150/'סכום נכסי הקרן'!$C$42</f>
        <v>9.0122300444503412E-5</v>
      </c>
      <c r="L150" s="141"/>
    </row>
    <row r="151" spans="2:12" s="132" customFormat="1">
      <c r="B151" s="87" t="s">
        <v>2349</v>
      </c>
      <c r="C151" s="84">
        <v>5340</v>
      </c>
      <c r="D151" s="97" t="s">
        <v>172</v>
      </c>
      <c r="E151" s="107">
        <v>43375</v>
      </c>
      <c r="F151" s="94">
        <v>695571.72</v>
      </c>
      <c r="G151" s="96">
        <v>116.0997</v>
      </c>
      <c r="H151" s="94">
        <v>3682.2161900000001</v>
      </c>
      <c r="I151" s="95">
        <v>3.1312976086956519E-3</v>
      </c>
      <c r="J151" s="95">
        <f t="shared" si="7"/>
        <v>1.1157795281097403E-3</v>
      </c>
      <c r="K151" s="95">
        <f>H151/'סכום נכסי הקרן'!$C$42</f>
        <v>6.3370600841434276E-5</v>
      </c>
      <c r="L151" s="141"/>
    </row>
    <row r="152" spans="2:12" s="132" customFormat="1">
      <c r="B152" s="87" t="s">
        <v>2350</v>
      </c>
      <c r="C152" s="84">
        <v>5278</v>
      </c>
      <c r="D152" s="97" t="s">
        <v>171</v>
      </c>
      <c r="E152" s="107">
        <v>42562</v>
      </c>
      <c r="F152" s="94">
        <v>5598240.8300000001</v>
      </c>
      <c r="G152" s="96">
        <v>80.777100000000004</v>
      </c>
      <c r="H152" s="94">
        <v>17537.59504</v>
      </c>
      <c r="I152" s="95">
        <v>1.8980667838312829E-2</v>
      </c>
      <c r="J152" s="95">
        <f t="shared" si="7"/>
        <v>5.3142152736857431E-3</v>
      </c>
      <c r="K152" s="95">
        <f>H152/'סכום נכסי הקרן'!$C$42</f>
        <v>3.0182039229982246E-4</v>
      </c>
      <c r="L152" s="141"/>
    </row>
    <row r="153" spans="2:12" s="132" customFormat="1">
      <c r="B153" s="87" t="s">
        <v>2351</v>
      </c>
      <c r="C153" s="84">
        <v>5280</v>
      </c>
      <c r="D153" s="97" t="s">
        <v>172</v>
      </c>
      <c r="E153" s="107">
        <v>42604</v>
      </c>
      <c r="F153" s="94">
        <v>415997.23</v>
      </c>
      <c r="G153" s="96">
        <v>45.9178</v>
      </c>
      <c r="H153" s="94">
        <v>870.97920999999997</v>
      </c>
      <c r="I153" s="95">
        <v>1.0976180211081795E-2</v>
      </c>
      <c r="J153" s="95">
        <f t="shared" si="7"/>
        <v>2.6392279045603633E-4</v>
      </c>
      <c r="K153" s="95">
        <f>H153/'סכום נכסי הקרן'!$C$42</f>
        <v>1.4989471831662811E-5</v>
      </c>
      <c r="L153" s="141"/>
    </row>
    <row r="154" spans="2:12" s="132" customFormat="1">
      <c r="B154" s="87" t="s">
        <v>2352</v>
      </c>
      <c r="C154" s="84">
        <v>5318</v>
      </c>
      <c r="D154" s="97" t="s">
        <v>171</v>
      </c>
      <c r="E154" s="107">
        <v>43165</v>
      </c>
      <c r="F154" s="94">
        <v>424542.75</v>
      </c>
      <c r="G154" s="96">
        <v>96.621799999999993</v>
      </c>
      <c r="H154" s="94">
        <v>1590.84094</v>
      </c>
      <c r="I154" s="95">
        <v>3.4515670731707316E-3</v>
      </c>
      <c r="J154" s="95">
        <f t="shared" si="7"/>
        <v>4.8205419283946384E-4</v>
      </c>
      <c r="K154" s="95">
        <f>H154/'סכום נכסי הקרן'!$C$42</f>
        <v>2.7378225777382207E-5</v>
      </c>
      <c r="L154" s="141"/>
    </row>
    <row r="155" spans="2:12" s="132" customFormat="1">
      <c r="B155" s="87" t="s">
        <v>2353</v>
      </c>
      <c r="C155" s="84">
        <v>5319</v>
      </c>
      <c r="D155" s="97" t="s">
        <v>169</v>
      </c>
      <c r="E155" s="107">
        <v>43165</v>
      </c>
      <c r="F155" s="94">
        <v>733718.44</v>
      </c>
      <c r="G155" s="96">
        <v>115.93219999999999</v>
      </c>
      <c r="H155" s="94">
        <v>2939.7286600000002</v>
      </c>
      <c r="I155" s="95">
        <v>1.447127478357408E-2</v>
      </c>
      <c r="J155" s="95">
        <f t="shared" si="7"/>
        <v>8.9079209035401025E-4</v>
      </c>
      <c r="K155" s="95">
        <f>H155/'סכום נכסי הקרן'!$C$42</f>
        <v>5.0592458965584111E-5</v>
      </c>
      <c r="L155" s="141"/>
    </row>
    <row r="156" spans="2:12" s="132" customFormat="1">
      <c r="B156" s="87" t="s">
        <v>2354</v>
      </c>
      <c r="C156" s="84">
        <v>5324</v>
      </c>
      <c r="D156" s="97" t="s">
        <v>171</v>
      </c>
      <c r="E156" s="107">
        <v>43192</v>
      </c>
      <c r="F156" s="94">
        <v>559756.52</v>
      </c>
      <c r="G156" s="96">
        <v>110.20529999999999</v>
      </c>
      <c r="H156" s="94">
        <v>2392.3892900000001</v>
      </c>
      <c r="I156" s="95">
        <v>6.2094436904761912E-3</v>
      </c>
      <c r="J156" s="95">
        <f t="shared" si="7"/>
        <v>7.2493815010112072E-4</v>
      </c>
      <c r="K156" s="95">
        <f>H156/'סכום נכסי הקרן'!$C$42</f>
        <v>4.1172798915403266E-5</v>
      </c>
      <c r="L156" s="141"/>
    </row>
    <row r="157" spans="2:12" s="132" customFormat="1">
      <c r="B157" s="87" t="s">
        <v>2355</v>
      </c>
      <c r="C157" s="84">
        <v>5325</v>
      </c>
      <c r="D157" s="97" t="s">
        <v>169</v>
      </c>
      <c r="E157" s="107">
        <v>43201</v>
      </c>
      <c r="F157" s="94">
        <v>1090570.5</v>
      </c>
      <c r="G157" s="96">
        <v>132.7621</v>
      </c>
      <c r="H157" s="94">
        <v>5003.8190300000006</v>
      </c>
      <c r="I157" s="95">
        <v>6.4184493942933503E-4</v>
      </c>
      <c r="J157" s="95">
        <f t="shared" si="7"/>
        <v>1.5162496029435847E-3</v>
      </c>
      <c r="K157" s="95">
        <f>H157/'סכום נכסי הקרן'!$C$42</f>
        <v>8.6115263762637164E-5</v>
      </c>
      <c r="L157" s="141"/>
    </row>
    <row r="158" spans="2:12" s="132" customFormat="1">
      <c r="B158" s="87" t="s">
        <v>2356</v>
      </c>
      <c r="C158" s="84">
        <v>5330</v>
      </c>
      <c r="D158" s="97" t="s">
        <v>169</v>
      </c>
      <c r="E158" s="107">
        <v>43272</v>
      </c>
      <c r="F158" s="94">
        <v>1100402.95</v>
      </c>
      <c r="G158" s="96">
        <v>95.841999999999999</v>
      </c>
      <c r="H158" s="94">
        <v>3644.8641499999999</v>
      </c>
      <c r="I158" s="95">
        <v>5.7906572399372708E-4</v>
      </c>
      <c r="J158" s="95">
        <f t="shared" si="7"/>
        <v>1.1044611699757667E-3</v>
      </c>
      <c r="K158" s="95">
        <f>H158/'סכום נכסי הקרן'!$C$42</f>
        <v>6.272777567981515E-5</v>
      </c>
      <c r="L158" s="141"/>
    </row>
    <row r="159" spans="2:12" s="132" customFormat="1">
      <c r="B159" s="87" t="s">
        <v>2357</v>
      </c>
      <c r="C159" s="84">
        <v>5298</v>
      </c>
      <c r="D159" s="97" t="s">
        <v>169</v>
      </c>
      <c r="E159" s="107">
        <v>43188</v>
      </c>
      <c r="F159" s="94">
        <v>1653.79</v>
      </c>
      <c r="G159" s="96">
        <v>100</v>
      </c>
      <c r="H159" s="94">
        <v>5.7154999999999996</v>
      </c>
      <c r="I159" s="95">
        <v>3.4962304263040291E-2</v>
      </c>
      <c r="J159" s="95">
        <f t="shared" si="7"/>
        <v>1.7319020839216995E-6</v>
      </c>
      <c r="K159" s="95">
        <f>H159/'סכום נכסי הקרן'!$C$42</f>
        <v>9.8363227583662751E-8</v>
      </c>
      <c r="L159" s="141"/>
    </row>
    <row r="160" spans="2:12" s="132" customFormat="1">
      <c r="B160" s="87" t="s">
        <v>2358</v>
      </c>
      <c r="C160" s="84">
        <v>6651</v>
      </c>
      <c r="D160" s="97" t="s">
        <v>171</v>
      </c>
      <c r="E160" s="107">
        <v>43503</v>
      </c>
      <c r="F160" s="94">
        <v>9725408.2899999991</v>
      </c>
      <c r="G160" s="96">
        <v>100.4141</v>
      </c>
      <c r="H160" s="94">
        <v>37873.26483</v>
      </c>
      <c r="I160" s="95">
        <v>0.12484477902078989</v>
      </c>
      <c r="J160" s="95">
        <f t="shared" si="7"/>
        <v>1.1476298886185883E-2</v>
      </c>
      <c r="K160" s="95">
        <f>H160/'סכום נכסי הקרן'!$C$42</f>
        <v>6.5179539284570393E-4</v>
      </c>
      <c r="L160" s="141"/>
    </row>
    <row r="161" spans="2:12" s="132" customFormat="1">
      <c r="B161" s="87" t="s">
        <v>2359</v>
      </c>
      <c r="C161" s="84">
        <v>4029</v>
      </c>
      <c r="D161" s="97" t="s">
        <v>169</v>
      </c>
      <c r="E161" s="107">
        <v>39321</v>
      </c>
      <c r="F161" s="94">
        <v>929488.22</v>
      </c>
      <c r="G161" s="96">
        <v>29.7837</v>
      </c>
      <c r="H161" s="94">
        <v>956.74514999999985</v>
      </c>
      <c r="I161" s="95">
        <v>4.9041518102948146E-3</v>
      </c>
      <c r="J161" s="95">
        <f t="shared" si="7"/>
        <v>2.8991145465260762E-4</v>
      </c>
      <c r="K161" s="95">
        <f>H161/'סכום נכסי הקרן'!$C$42</f>
        <v>1.6465495744731967E-5</v>
      </c>
      <c r="L161" s="141"/>
    </row>
    <row r="162" spans="2:12" s="132" customFormat="1">
      <c r="B162" s="87" t="s">
        <v>2360</v>
      </c>
      <c r="C162" s="84">
        <v>5316</v>
      </c>
      <c r="D162" s="97" t="s">
        <v>169</v>
      </c>
      <c r="E162" s="107">
        <v>43175</v>
      </c>
      <c r="F162" s="94">
        <v>29736445.550000001</v>
      </c>
      <c r="G162" s="96">
        <v>104.4016</v>
      </c>
      <c r="H162" s="94">
        <v>107292.64296</v>
      </c>
      <c r="I162" s="95">
        <v>5.0162146296296294E-3</v>
      </c>
      <c r="J162" s="95">
        <f t="shared" si="7"/>
        <v>3.2511652861847755E-2</v>
      </c>
      <c r="K162" s="95">
        <f>H162/'סכום נכסי הקרן'!$C$42</f>
        <v>1.8464964845642817E-3</v>
      </c>
      <c r="L162" s="141"/>
    </row>
    <row r="163" spans="2:12" s="132" customFormat="1">
      <c r="B163" s="87" t="s">
        <v>2361</v>
      </c>
      <c r="C163" s="84">
        <v>5311</v>
      </c>
      <c r="D163" s="97" t="s">
        <v>169</v>
      </c>
      <c r="E163" s="107">
        <v>43089</v>
      </c>
      <c r="F163" s="94">
        <v>1481231.46</v>
      </c>
      <c r="G163" s="96">
        <v>101.5639</v>
      </c>
      <c r="H163" s="94">
        <v>5199.1940999999997</v>
      </c>
      <c r="I163" s="95">
        <v>2.086818263736264E-3</v>
      </c>
      <c r="J163" s="95">
        <f t="shared" si="7"/>
        <v>1.5754518583681926E-3</v>
      </c>
      <c r="K163" s="95">
        <f>H163/'סכום נכסי הקרן'!$C$42</f>
        <v>8.9477650688467609E-5</v>
      </c>
      <c r="L163" s="141"/>
    </row>
    <row r="164" spans="2:12" s="132" customFormat="1">
      <c r="B164" s="87" t="s">
        <v>2362</v>
      </c>
      <c r="C164" s="84">
        <v>5331</v>
      </c>
      <c r="D164" s="97" t="s">
        <v>169</v>
      </c>
      <c r="E164" s="107">
        <v>43455</v>
      </c>
      <c r="F164" s="94">
        <v>8010183.6699999999</v>
      </c>
      <c r="G164" s="96">
        <v>113.60080000000001</v>
      </c>
      <c r="H164" s="94">
        <v>31448.330710000002</v>
      </c>
      <c r="I164" s="95">
        <v>3.7042286828571427E-2</v>
      </c>
      <c r="J164" s="95">
        <f t="shared" si="7"/>
        <v>9.529425158342715E-3</v>
      </c>
      <c r="K164" s="95">
        <f>H164/'סכום נכסי הקרן'!$C$42</f>
        <v>5.4122286952218023E-4</v>
      </c>
      <c r="L164" s="141"/>
    </row>
    <row r="165" spans="2:12" s="132" customFormat="1">
      <c r="B165" s="87" t="s">
        <v>2363</v>
      </c>
      <c r="C165" s="84">
        <v>7010</v>
      </c>
      <c r="D165" s="97" t="s">
        <v>171</v>
      </c>
      <c r="E165" s="107">
        <v>37833</v>
      </c>
      <c r="F165" s="94">
        <v>165813.88</v>
      </c>
      <c r="G165" s="96">
        <v>100</v>
      </c>
      <c r="H165" s="94">
        <v>643.05939000000001</v>
      </c>
      <c r="I165" s="95">
        <v>2.9032376000000006E-3</v>
      </c>
      <c r="J165" s="95">
        <f t="shared" si="7"/>
        <v>1.9485887457377604E-4</v>
      </c>
      <c r="K165" s="95">
        <f>H165/'סכום נכסי הקרן'!$C$42</f>
        <v>1.1066992761504916E-5</v>
      </c>
      <c r="L165" s="141"/>
    </row>
    <row r="166" spans="2:12" s="132" customFormat="1">
      <c r="B166" s="87" t="s">
        <v>2364</v>
      </c>
      <c r="C166" s="84">
        <v>5320</v>
      </c>
      <c r="D166" s="97" t="s">
        <v>169</v>
      </c>
      <c r="E166" s="107">
        <v>43448</v>
      </c>
      <c r="F166" s="94">
        <v>1164611.44</v>
      </c>
      <c r="G166" s="96">
        <v>96.074299999999994</v>
      </c>
      <c r="H166" s="94">
        <v>3866.8917499999998</v>
      </c>
      <c r="I166" s="95">
        <v>8.1262677978600744E-3</v>
      </c>
      <c r="J166" s="95">
        <f t="shared" si="7"/>
        <v>1.1717396343495104E-3</v>
      </c>
      <c r="K166" s="95">
        <f>H166/'סכום נכסי הקרן'!$C$42</f>
        <v>6.6548850187496793E-5</v>
      </c>
      <c r="L166" s="141"/>
    </row>
    <row r="167" spans="2:12" s="132" customFormat="1">
      <c r="B167" s="87" t="s">
        <v>2365</v>
      </c>
      <c r="C167" s="84">
        <v>5287</v>
      </c>
      <c r="D167" s="97" t="s">
        <v>171</v>
      </c>
      <c r="E167" s="107">
        <v>42809</v>
      </c>
      <c r="F167" s="94">
        <v>17119876.800000001</v>
      </c>
      <c r="G167" s="96">
        <v>97.767700000000005</v>
      </c>
      <c r="H167" s="94">
        <v>64912.186099999999</v>
      </c>
      <c r="I167" s="95">
        <v>1.117512997939092E-2</v>
      </c>
      <c r="J167" s="95">
        <f t="shared" si="7"/>
        <v>1.9669591528038349E-2</v>
      </c>
      <c r="K167" s="95">
        <f>H167/'סכום נכסי הקרן'!$C$42</f>
        <v>1.1171327327980701E-3</v>
      </c>
      <c r="L167" s="141"/>
    </row>
    <row r="168" spans="2:12" s="132" customFormat="1">
      <c r="B168" s="87" t="s">
        <v>2366</v>
      </c>
      <c r="C168" s="84">
        <v>5335</v>
      </c>
      <c r="D168" s="97" t="s">
        <v>169</v>
      </c>
      <c r="E168" s="107">
        <v>43355</v>
      </c>
      <c r="F168" s="94">
        <v>7109006.3499999996</v>
      </c>
      <c r="G168" s="96">
        <v>102.5352</v>
      </c>
      <c r="H168" s="94">
        <v>25191.592260000001</v>
      </c>
      <c r="I168" s="95">
        <v>1.920711146574923E-2</v>
      </c>
      <c r="J168" s="95">
        <f t="shared" si="7"/>
        <v>7.6335178256320109E-3</v>
      </c>
      <c r="K168" s="95">
        <f>H168/'סכום נכסי הקרן'!$C$42</f>
        <v>4.3354497815855438E-4</v>
      </c>
      <c r="L168" s="141"/>
    </row>
    <row r="169" spans="2:12" s="132" customFormat="1">
      <c r="B169" s="87" t="s">
        <v>2367</v>
      </c>
      <c r="C169" s="84">
        <v>7013</v>
      </c>
      <c r="D169" s="97" t="s">
        <v>171</v>
      </c>
      <c r="E169" s="107">
        <v>43733</v>
      </c>
      <c r="F169" s="94">
        <v>3301745.26</v>
      </c>
      <c r="G169" s="96">
        <v>101.4973</v>
      </c>
      <c r="H169" s="94">
        <v>12996.55516</v>
      </c>
      <c r="I169" s="95">
        <v>8.804654072E-3</v>
      </c>
      <c r="J169" s="95">
        <f t="shared" si="7"/>
        <v>3.9381963022320559E-3</v>
      </c>
      <c r="K169" s="95">
        <f>H169/'סכום נכסי הקרן'!$C$42</f>
        <v>2.2366951500423524E-4</v>
      </c>
      <c r="L169" s="141"/>
    </row>
    <row r="170" spans="2:12" s="132" customFormat="1">
      <c r="B170" s="87" t="s">
        <v>2368</v>
      </c>
      <c r="C170" s="84">
        <v>5306</v>
      </c>
      <c r="D170" s="97" t="s">
        <v>171</v>
      </c>
      <c r="E170" s="107">
        <v>43068</v>
      </c>
      <c r="F170" s="94">
        <v>321744.51</v>
      </c>
      <c r="G170" s="96">
        <v>70.074799999999996</v>
      </c>
      <c r="H170" s="94">
        <v>874.38603000000001</v>
      </c>
      <c r="I170" s="95">
        <v>1.3273712920298165E-3</v>
      </c>
      <c r="J170" s="95">
        <f t="shared" si="7"/>
        <v>2.6495511985111041E-4</v>
      </c>
      <c r="K170" s="95">
        <f>H170/'סכום נכסי הקרן'!$C$42</f>
        <v>1.5048102889487424E-5</v>
      </c>
      <c r="L170" s="141"/>
    </row>
    <row r="171" spans="2:12" s="132" customFormat="1">
      <c r="B171" s="87" t="s">
        <v>2369</v>
      </c>
      <c r="C171" s="84">
        <v>5268</v>
      </c>
      <c r="D171" s="97" t="s">
        <v>171</v>
      </c>
      <c r="E171" s="107">
        <v>42206</v>
      </c>
      <c r="F171" s="94">
        <v>7464207.5599999996</v>
      </c>
      <c r="G171" s="96">
        <v>93.441299999999998</v>
      </c>
      <c r="H171" s="94">
        <v>27049.097600000001</v>
      </c>
      <c r="I171" s="95">
        <v>3.9035591274397246E-3</v>
      </c>
      <c r="J171" s="95">
        <f t="shared" si="7"/>
        <v>8.1963762578324637E-3</v>
      </c>
      <c r="K171" s="95">
        <f>H171/'סכום נכסי הקרן'!$C$42</f>
        <v>4.6551247365261242E-4</v>
      </c>
      <c r="L171" s="141"/>
    </row>
    <row r="172" spans="2:12" s="132" customFormat="1">
      <c r="B172" s="87" t="s">
        <v>2370</v>
      </c>
      <c r="C172" s="84">
        <v>4022</v>
      </c>
      <c r="D172" s="97" t="s">
        <v>169</v>
      </c>
      <c r="E172" s="107">
        <v>39134</v>
      </c>
      <c r="F172" s="94">
        <v>338203.28</v>
      </c>
      <c r="G172" s="96">
        <v>1E-4</v>
      </c>
      <c r="H172" s="94">
        <v>1.1799999999999998E-3</v>
      </c>
      <c r="I172" s="95">
        <v>4.2000000000000006E-3</v>
      </c>
      <c r="J172" s="95">
        <f t="shared" si="7"/>
        <v>3.5756179844766076E-10</v>
      </c>
      <c r="K172" s="95">
        <f>H172/'סכום נכסי הקרן'!$C$42</f>
        <v>2.0307691111665128E-11</v>
      </c>
      <c r="L172" s="141"/>
    </row>
    <row r="173" spans="2:12" s="132" customFormat="1">
      <c r="B173" s="87" t="s">
        <v>2371</v>
      </c>
      <c r="C173" s="84">
        <v>5304</v>
      </c>
      <c r="D173" s="97" t="s">
        <v>171</v>
      </c>
      <c r="E173" s="107">
        <v>43080</v>
      </c>
      <c r="F173" s="94">
        <v>14015306.34</v>
      </c>
      <c r="G173" s="96">
        <v>94.398399999999995</v>
      </c>
      <c r="H173" s="94">
        <v>51309.458359999997</v>
      </c>
      <c r="I173" s="95">
        <v>4.5327203999999998E-3</v>
      </c>
      <c r="J173" s="95">
        <f t="shared" si="7"/>
        <v>1.5547713736082174E-2</v>
      </c>
      <c r="K173" s="95">
        <f>H173/'סכום נכסי הקרן'!$C$42</f>
        <v>8.8303104362857975E-4</v>
      </c>
      <c r="L173" s="141"/>
    </row>
    <row r="174" spans="2:12" s="132" customFormat="1">
      <c r="B174" s="87" t="s">
        <v>2372</v>
      </c>
      <c r="C174" s="84">
        <v>5233</v>
      </c>
      <c r="D174" s="97" t="s">
        <v>169</v>
      </c>
      <c r="E174" s="107">
        <v>41269</v>
      </c>
      <c r="F174" s="94">
        <v>7414011.75</v>
      </c>
      <c r="G174" s="96">
        <v>14.214499999999999</v>
      </c>
      <c r="H174" s="94">
        <v>3642.1563999999998</v>
      </c>
      <c r="I174" s="95">
        <v>8.5047385835919521E-3</v>
      </c>
      <c r="J174" s="95">
        <f t="shared" si="7"/>
        <v>1.1036406717047948E-3</v>
      </c>
      <c r="K174" s="95">
        <f>H174/'סכום נכסי הקרן'!$C$42</f>
        <v>6.2681175552181589E-5</v>
      </c>
      <c r="L174" s="141"/>
    </row>
    <row r="175" spans="2:12" s="132" customFormat="1">
      <c r="B175" s="87" t="s">
        <v>2373</v>
      </c>
      <c r="C175" s="84">
        <v>5284</v>
      </c>
      <c r="D175" s="97" t="s">
        <v>171</v>
      </c>
      <c r="E175" s="107">
        <v>42662</v>
      </c>
      <c r="F175" s="94">
        <v>15072725.619999999</v>
      </c>
      <c r="G175" s="96">
        <v>85.779799999999994</v>
      </c>
      <c r="H175" s="94">
        <v>50142.620259999996</v>
      </c>
      <c r="I175" s="95">
        <v>1.8516791349999999E-2</v>
      </c>
      <c r="J175" s="95">
        <f t="shared" si="7"/>
        <v>1.5194140236477723E-2</v>
      </c>
      <c r="K175" s="95">
        <f>H175/'סכום נכסי הקרן'!$C$42</f>
        <v>8.6294986760135752E-4</v>
      </c>
      <c r="L175" s="141"/>
    </row>
    <row r="176" spans="2:12" s="132" customFormat="1">
      <c r="B176" s="87" t="s">
        <v>2374</v>
      </c>
      <c r="C176" s="84">
        <v>5267</v>
      </c>
      <c r="D176" s="97" t="s">
        <v>171</v>
      </c>
      <c r="E176" s="107">
        <v>42446</v>
      </c>
      <c r="F176" s="94">
        <v>8009191.9199999999</v>
      </c>
      <c r="G176" s="96">
        <v>102.22920000000001</v>
      </c>
      <c r="H176" s="94">
        <v>31753.66546</v>
      </c>
      <c r="I176" s="95">
        <v>1.0688340629370871E-2</v>
      </c>
      <c r="J176" s="95">
        <f t="shared" si="7"/>
        <v>9.6219472281211613E-3</v>
      </c>
      <c r="K176" s="95">
        <f>H176/'סכום נכסי הקרן'!$C$42</f>
        <v>5.4647765239392379E-4</v>
      </c>
      <c r="L176" s="141"/>
    </row>
    <row r="177" spans="2:12" s="132" customFormat="1">
      <c r="B177" s="87" t="s">
        <v>2375</v>
      </c>
      <c r="C177" s="84">
        <v>6652</v>
      </c>
      <c r="D177" s="97" t="s">
        <v>169</v>
      </c>
      <c r="E177" s="107">
        <v>43816</v>
      </c>
      <c r="F177" s="94">
        <v>140115.79</v>
      </c>
      <c r="G177" s="96">
        <v>100</v>
      </c>
      <c r="H177" s="94">
        <v>484.24016999999998</v>
      </c>
      <c r="I177" s="95">
        <v>2.29202968E-3</v>
      </c>
      <c r="J177" s="95">
        <f t="shared" si="7"/>
        <v>1.467337170049161E-4</v>
      </c>
      <c r="K177" s="95">
        <f>H177/'סכום נכסי הקרן'!$C$42</f>
        <v>8.3337286408645869E-6</v>
      </c>
      <c r="L177" s="141"/>
    </row>
    <row r="178" spans="2:12" s="132" customFormat="1">
      <c r="B178" s="87" t="s">
        <v>2376</v>
      </c>
      <c r="C178" s="84">
        <v>6646</v>
      </c>
      <c r="D178" s="97" t="s">
        <v>171</v>
      </c>
      <c r="E178" s="107">
        <v>43460</v>
      </c>
      <c r="F178" s="94">
        <v>18669547.91</v>
      </c>
      <c r="G178" s="96">
        <v>99.634799999999998</v>
      </c>
      <c r="H178" s="94">
        <v>72139.820420000004</v>
      </c>
      <c r="I178" s="95">
        <v>1.706211979950795E-2</v>
      </c>
      <c r="J178" s="95">
        <f t="shared" si="7"/>
        <v>2.1859698244971599E-2</v>
      </c>
      <c r="K178" s="95">
        <f>H178/'סכום נכסי הקרן'!$C$42</f>
        <v>1.2415196524918244E-3</v>
      </c>
      <c r="L178" s="141"/>
    </row>
    <row r="179" spans="2:12" s="132" customFormat="1">
      <c r="B179" s="87" t="s">
        <v>2377</v>
      </c>
      <c r="C179" s="84">
        <v>5083</v>
      </c>
      <c r="D179" s="97" t="s">
        <v>169</v>
      </c>
      <c r="E179" s="107">
        <v>39415</v>
      </c>
      <c r="F179" s="94">
        <v>3693864</v>
      </c>
      <c r="G179" s="96">
        <v>71.932000000000002</v>
      </c>
      <c r="H179" s="94">
        <v>9182.834789999999</v>
      </c>
      <c r="I179" s="95">
        <v>2.9136892404740572E-2</v>
      </c>
      <c r="J179" s="95">
        <f t="shared" si="7"/>
        <v>2.7825685782713115E-3</v>
      </c>
      <c r="K179" s="95">
        <f>H179/'סכום נכסי הקרן'!$C$42</f>
        <v>1.5803573935997654E-4</v>
      </c>
      <c r="L179" s="141"/>
    </row>
    <row r="180" spans="2:12" s="132" customFormat="1">
      <c r="B180" s="87" t="s">
        <v>2378</v>
      </c>
      <c r="C180" s="84">
        <v>5276</v>
      </c>
      <c r="D180" s="97" t="s">
        <v>169</v>
      </c>
      <c r="E180" s="107">
        <v>42521</v>
      </c>
      <c r="F180" s="94">
        <v>15346523.689999999</v>
      </c>
      <c r="G180" s="96">
        <v>129.12989999999999</v>
      </c>
      <c r="H180" s="94">
        <v>68487.381580000001</v>
      </c>
      <c r="I180" s="95">
        <v>2.1066666666666668E-3</v>
      </c>
      <c r="J180" s="95">
        <f t="shared" si="7"/>
        <v>2.0752941803996609E-2</v>
      </c>
      <c r="K180" s="95">
        <f>H180/'סכום נכסי הקרן'!$C$42</f>
        <v>1.1786615170960883E-3</v>
      </c>
      <c r="L180" s="141"/>
    </row>
    <row r="181" spans="2:12" s="132" customFormat="1">
      <c r="B181" s="87" t="s">
        <v>2379</v>
      </c>
      <c r="C181" s="84">
        <v>6647</v>
      </c>
      <c r="D181" s="97" t="s">
        <v>169</v>
      </c>
      <c r="E181" s="107">
        <v>43510</v>
      </c>
      <c r="F181" s="94">
        <v>9975995.6899999995</v>
      </c>
      <c r="G181" s="96">
        <v>96.484899999999996</v>
      </c>
      <c r="H181" s="94">
        <v>33265.138639999997</v>
      </c>
      <c r="I181" s="95">
        <v>2.5233726033065378E-3</v>
      </c>
      <c r="J181" s="95">
        <f t="shared" si="7"/>
        <v>1.00799515234993E-2</v>
      </c>
      <c r="K181" s="95">
        <f>H181/'סכום נכסי הקרן'!$C$42</f>
        <v>5.7248996634562399E-4</v>
      </c>
      <c r="L181" s="141"/>
    </row>
    <row r="182" spans="2:12" s="132" customFormat="1">
      <c r="B182" s="87" t="s">
        <v>2380</v>
      </c>
      <c r="C182" s="84">
        <v>6642</v>
      </c>
      <c r="D182" s="97" t="s">
        <v>169</v>
      </c>
      <c r="E182" s="107">
        <v>43465</v>
      </c>
      <c r="F182" s="94">
        <v>1802520.9</v>
      </c>
      <c r="G182" s="96">
        <v>97.404399999999995</v>
      </c>
      <c r="H182" s="94">
        <v>6067.8190199999999</v>
      </c>
      <c r="I182" s="95">
        <v>1.4802691666666668E-3</v>
      </c>
      <c r="J182" s="95">
        <f t="shared" si="7"/>
        <v>1.8386612554628159E-3</v>
      </c>
      <c r="K182" s="95">
        <f>H182/'סכום נכסי הקרן'!$C$42</f>
        <v>1.0442660540648019E-4</v>
      </c>
      <c r="L182" s="141"/>
    </row>
    <row r="183" spans="2:12" s="132" customFormat="1">
      <c r="B183" s="87" t="s">
        <v>2381</v>
      </c>
      <c r="C183" s="84">
        <v>5337</v>
      </c>
      <c r="D183" s="97" t="s">
        <v>169</v>
      </c>
      <c r="E183" s="107">
        <v>43490</v>
      </c>
      <c r="F183" s="94">
        <v>6461524.2800000003</v>
      </c>
      <c r="G183" s="96">
        <v>96.449700000000007</v>
      </c>
      <c r="H183" s="94">
        <v>21538.209449999998</v>
      </c>
      <c r="I183" s="95">
        <v>4.1007092333333328E-3</v>
      </c>
      <c r="J183" s="95">
        <f t="shared" si="7"/>
        <v>6.5264753443088162E-3</v>
      </c>
      <c r="K183" s="95">
        <f>H183/'סכום נכסי הקרן'!$C$42</f>
        <v>3.706705971262262E-4</v>
      </c>
      <c r="L183" s="141"/>
    </row>
    <row r="184" spans="2:12" s="132" customFormat="1">
      <c r="B184" s="87" t="s">
        <v>2382</v>
      </c>
      <c r="C184" s="84">
        <v>5269</v>
      </c>
      <c r="D184" s="97" t="s">
        <v>171</v>
      </c>
      <c r="E184" s="107">
        <v>42271</v>
      </c>
      <c r="F184" s="94">
        <v>8857020.6199999992</v>
      </c>
      <c r="G184" s="96">
        <v>117.4843</v>
      </c>
      <c r="H184" s="94">
        <v>40355.031590000006</v>
      </c>
      <c r="I184" s="95">
        <v>2.2184807368525305E-2</v>
      </c>
      <c r="J184" s="95">
        <f t="shared" si="7"/>
        <v>1.2228320060790311E-2</v>
      </c>
      <c r="K184" s="95">
        <f>H184/'סכום נכסי הקרן'!$C$42</f>
        <v>6.945063697722108E-4</v>
      </c>
      <c r="L184" s="141"/>
    </row>
    <row r="185" spans="2:12" s="132" customFormat="1">
      <c r="B185" s="87" t="s">
        <v>2383</v>
      </c>
      <c r="C185" s="84">
        <v>5312</v>
      </c>
      <c r="D185" s="97" t="s">
        <v>169</v>
      </c>
      <c r="E185" s="107">
        <v>43095</v>
      </c>
      <c r="F185" s="94">
        <v>395625.96</v>
      </c>
      <c r="G185" s="96">
        <v>115.4687</v>
      </c>
      <c r="H185" s="94">
        <v>1578.7843</v>
      </c>
      <c r="I185" s="95">
        <v>1.509962234337937E-2</v>
      </c>
      <c r="J185" s="95">
        <f t="shared" si="7"/>
        <v>4.7840080819400957E-4</v>
      </c>
      <c r="K185" s="95">
        <f>H185/'סכום נכסי הקרן'!$C$42</f>
        <v>2.7170732115547845E-5</v>
      </c>
      <c r="L185" s="141"/>
    </row>
    <row r="186" spans="2:12" s="132" customFormat="1">
      <c r="B186" s="87" t="s">
        <v>2384</v>
      </c>
      <c r="C186" s="84">
        <v>5227</v>
      </c>
      <c r="D186" s="97" t="s">
        <v>169</v>
      </c>
      <c r="E186" s="107">
        <v>40997</v>
      </c>
      <c r="F186" s="94">
        <v>2261965.23</v>
      </c>
      <c r="G186" s="96">
        <v>82.376499999999993</v>
      </c>
      <c r="H186" s="94">
        <v>6439.6608099999994</v>
      </c>
      <c r="I186" s="95">
        <v>3.0303030303030303E-3</v>
      </c>
      <c r="J186" s="95">
        <f t="shared" si="7"/>
        <v>1.9513361869631526E-3</v>
      </c>
      <c r="K186" s="95">
        <f>H186/'סכום נכסי הקרן'!$C$42</f>
        <v>1.1082596829947056E-4</v>
      </c>
      <c r="L186" s="141"/>
    </row>
    <row r="187" spans="2:12" s="132" customFormat="1">
      <c r="B187" s="87" t="s">
        <v>2385</v>
      </c>
      <c r="C187" s="84">
        <v>5257</v>
      </c>
      <c r="D187" s="97" t="s">
        <v>169</v>
      </c>
      <c r="E187" s="107">
        <v>42033</v>
      </c>
      <c r="F187" s="94">
        <v>6514788.9100000001</v>
      </c>
      <c r="G187" s="96">
        <v>120.4442</v>
      </c>
      <c r="H187" s="94">
        <v>27118.14471</v>
      </c>
      <c r="I187" s="95">
        <v>2.4990949283073514E-2</v>
      </c>
      <c r="J187" s="95">
        <f t="shared" si="7"/>
        <v>8.2172988076877288E-3</v>
      </c>
      <c r="K187" s="95">
        <f>H187/'סכום נכסי הקרן'!$C$42</f>
        <v>4.6670076804416593E-4</v>
      </c>
      <c r="L187" s="141"/>
    </row>
    <row r="188" spans="2:12" s="132" customFormat="1">
      <c r="B188" s="87" t="s">
        <v>2386</v>
      </c>
      <c r="C188" s="84">
        <v>7005</v>
      </c>
      <c r="D188" s="97" t="s">
        <v>169</v>
      </c>
      <c r="E188" s="107">
        <v>43636</v>
      </c>
      <c r="F188" s="94">
        <v>586794.26</v>
      </c>
      <c r="G188" s="96">
        <v>95.831800000000001</v>
      </c>
      <c r="H188" s="94">
        <v>1943.4314899999999</v>
      </c>
      <c r="I188" s="95">
        <v>3.9448353505882354E-3</v>
      </c>
      <c r="J188" s="95">
        <f t="shared" si="7"/>
        <v>5.8889564298662475E-4</v>
      </c>
      <c r="K188" s="95">
        <f>H188/'סכום נכסי הקרן'!$C$42</f>
        <v>3.3446276606443321E-5</v>
      </c>
      <c r="L188" s="141"/>
    </row>
    <row r="189" spans="2:12" s="132" customFormat="1">
      <c r="B189" s="87" t="s">
        <v>2387</v>
      </c>
      <c r="C189" s="84">
        <v>5286</v>
      </c>
      <c r="D189" s="97" t="s">
        <v>169</v>
      </c>
      <c r="E189" s="107">
        <v>42727</v>
      </c>
      <c r="F189" s="94">
        <v>11995576.82</v>
      </c>
      <c r="G189" s="96">
        <v>115.1752</v>
      </c>
      <c r="H189" s="94">
        <v>47747.852659999997</v>
      </c>
      <c r="I189" s="95">
        <v>6.318782595639171E-3</v>
      </c>
      <c r="J189" s="95">
        <f t="shared" si="7"/>
        <v>1.4468481414511462E-2</v>
      </c>
      <c r="K189" s="95">
        <f>H189/'סכום נכסי הקרן'!$C$42</f>
        <v>8.2173613819032051E-4</v>
      </c>
      <c r="L189" s="141"/>
    </row>
    <row r="190" spans="2:12" s="132" customFormat="1">
      <c r="B190" s="87" t="s">
        <v>2388</v>
      </c>
      <c r="C190" s="84">
        <v>5338</v>
      </c>
      <c r="D190" s="97" t="s">
        <v>169</v>
      </c>
      <c r="E190" s="107">
        <v>43375</v>
      </c>
      <c r="F190" s="94">
        <v>401684.43</v>
      </c>
      <c r="G190" s="96">
        <v>97.326499999999996</v>
      </c>
      <c r="H190" s="94">
        <v>1351.1073000000001</v>
      </c>
      <c r="I190" s="95">
        <v>1.8085758857142858E-3</v>
      </c>
      <c r="J190" s="95">
        <f t="shared" si="7"/>
        <v>4.094104712574265E-4</v>
      </c>
      <c r="K190" s="95">
        <f>H190/'סכום נכסי הקרן'!$C$42</f>
        <v>2.3252431955182947E-5</v>
      </c>
      <c r="L190" s="141"/>
    </row>
    <row r="191" spans="2:12" s="132" customFormat="1">
      <c r="B191" s="87" t="s">
        <v>2389</v>
      </c>
      <c r="C191" s="84">
        <v>6641</v>
      </c>
      <c r="D191" s="97" t="s">
        <v>169</v>
      </c>
      <c r="E191" s="107">
        <v>43461</v>
      </c>
      <c r="F191" s="94">
        <v>262330.71000000002</v>
      </c>
      <c r="G191" s="96">
        <v>77.484999999999999</v>
      </c>
      <c r="H191" s="94">
        <v>702.49057999999991</v>
      </c>
      <c r="I191" s="95">
        <v>1.8189699425287358E-3</v>
      </c>
      <c r="J191" s="95">
        <f t="shared" si="7"/>
        <v>2.1286762303164434E-4</v>
      </c>
      <c r="K191" s="95">
        <f>H191/'סכום נכסי הקרן'!$C$42</f>
        <v>1.2089798057198712E-5</v>
      </c>
      <c r="L191" s="141"/>
    </row>
    <row r="192" spans="2:12" s="132" customFormat="1">
      <c r="B192" s="87" t="s">
        <v>2390</v>
      </c>
      <c r="C192" s="84">
        <v>6658</v>
      </c>
      <c r="D192" s="97" t="s">
        <v>169</v>
      </c>
      <c r="E192" s="107">
        <v>43633</v>
      </c>
      <c r="F192" s="94">
        <v>1850134.62</v>
      </c>
      <c r="G192" s="96">
        <v>98.689099999999996</v>
      </c>
      <c r="H192" s="94">
        <v>6310.2454600000001</v>
      </c>
      <c r="I192" s="95">
        <v>2.96021544E-2</v>
      </c>
      <c r="J192" s="95">
        <f t="shared" si="7"/>
        <v>1.9121209451896499E-3</v>
      </c>
      <c r="K192" s="95">
        <f>H192/'סכום נכסי הקרן'!$C$42</f>
        <v>1.0859874206819259E-4</v>
      </c>
      <c r="L192" s="141"/>
    </row>
    <row r="193" spans="2:12" s="132" customFormat="1">
      <c r="B193" s="131"/>
      <c r="L193" s="141"/>
    </row>
    <row r="194" spans="2:12" s="132" customFormat="1">
      <c r="B194" s="131"/>
      <c r="L194" s="141"/>
    </row>
    <row r="195" spans="2:12" s="132" customFormat="1">
      <c r="B195" s="131"/>
      <c r="L195" s="141"/>
    </row>
    <row r="196" spans="2:12" s="132" customFormat="1">
      <c r="B196" s="138" t="s">
        <v>120</v>
      </c>
      <c r="L196" s="141"/>
    </row>
    <row r="197" spans="2:12" s="132" customFormat="1">
      <c r="B197" s="138" t="s">
        <v>247</v>
      </c>
      <c r="L197" s="141"/>
    </row>
    <row r="198" spans="2:12" s="132" customFormat="1">
      <c r="B198" s="138" t="s">
        <v>255</v>
      </c>
      <c r="L198" s="141"/>
    </row>
    <row r="199" spans="2:12" s="132" customFormat="1">
      <c r="B199" s="131"/>
      <c r="L199" s="141"/>
    </row>
    <row r="200" spans="2:12" s="132" customFormat="1">
      <c r="B200" s="131"/>
      <c r="L200" s="141"/>
    </row>
    <row r="201" spans="2:12" s="132" customFormat="1">
      <c r="B201" s="131"/>
      <c r="L201" s="141"/>
    </row>
    <row r="202" spans="2:12" s="132" customFormat="1">
      <c r="B202" s="131"/>
      <c r="L202" s="141"/>
    </row>
    <row r="203" spans="2:12" s="132" customFormat="1">
      <c r="B203" s="131"/>
      <c r="L203" s="141"/>
    </row>
    <row r="204" spans="2:12" s="132" customFormat="1">
      <c r="B204" s="131"/>
      <c r="L204" s="141"/>
    </row>
    <row r="205" spans="2:12" s="132" customFormat="1">
      <c r="B205" s="131"/>
      <c r="L205" s="141"/>
    </row>
    <row r="206" spans="2:12" s="132" customFormat="1">
      <c r="B206" s="131"/>
      <c r="L206" s="141"/>
    </row>
    <row r="207" spans="2:12" s="132" customFormat="1">
      <c r="B207" s="131"/>
      <c r="L207" s="141"/>
    </row>
    <row r="208" spans="2:12" s="132" customFormat="1">
      <c r="B208" s="131"/>
      <c r="L208" s="141"/>
    </row>
    <row r="209" spans="2:12" s="132" customFormat="1">
      <c r="B209" s="131"/>
      <c r="L209" s="141"/>
    </row>
    <row r="210" spans="2:12" s="132" customFormat="1">
      <c r="B210" s="131"/>
      <c r="L210" s="141"/>
    </row>
    <row r="211" spans="2:12" s="132" customFormat="1">
      <c r="B211" s="131"/>
      <c r="L211" s="141"/>
    </row>
    <row r="212" spans="2:12" s="132" customFormat="1">
      <c r="B212" s="131"/>
      <c r="L212" s="141"/>
    </row>
    <row r="213" spans="2:12" s="132" customFormat="1">
      <c r="B213" s="131"/>
      <c r="L213" s="141"/>
    </row>
    <row r="214" spans="2:12" s="132" customFormat="1">
      <c r="B214" s="131"/>
      <c r="L214" s="141"/>
    </row>
    <row r="215" spans="2:12" s="132" customFormat="1">
      <c r="B215" s="131"/>
      <c r="L215" s="141"/>
    </row>
    <row r="216" spans="2:12" s="132" customFormat="1">
      <c r="B216" s="131"/>
      <c r="L216" s="141"/>
    </row>
    <row r="217" spans="2:12" s="132" customFormat="1">
      <c r="B217" s="131"/>
      <c r="L217" s="141"/>
    </row>
    <row r="218" spans="2:12" s="132" customFormat="1">
      <c r="B218" s="131"/>
      <c r="L218" s="141"/>
    </row>
    <row r="219" spans="2:12" s="132" customFormat="1">
      <c r="B219" s="131"/>
      <c r="L219" s="141"/>
    </row>
    <row r="220" spans="2:12" s="132" customFormat="1">
      <c r="B220" s="131"/>
      <c r="L220" s="141"/>
    </row>
    <row r="221" spans="2:12" s="132" customFormat="1">
      <c r="B221" s="131"/>
      <c r="L221" s="141"/>
    </row>
    <row r="222" spans="2:12" s="132" customFormat="1">
      <c r="B222" s="131"/>
      <c r="L222" s="141"/>
    </row>
    <row r="223" spans="2:12" s="132" customFormat="1">
      <c r="B223" s="131"/>
      <c r="L223" s="141"/>
    </row>
    <row r="224" spans="2:12" s="132" customFormat="1">
      <c r="B224" s="131"/>
      <c r="L224" s="141"/>
    </row>
    <row r="225" spans="2:12" s="132" customFormat="1">
      <c r="B225" s="131"/>
      <c r="L225" s="141"/>
    </row>
    <row r="226" spans="2:12" s="132" customFormat="1">
      <c r="B226" s="131"/>
      <c r="L226" s="141"/>
    </row>
    <row r="227" spans="2:12" s="132" customFormat="1">
      <c r="B227" s="131"/>
      <c r="L227" s="141"/>
    </row>
    <row r="228" spans="2:12" s="132" customFormat="1">
      <c r="B228" s="131"/>
      <c r="L228" s="141"/>
    </row>
    <row r="229" spans="2:12" s="132" customFormat="1">
      <c r="B229" s="131"/>
      <c r="L229" s="141"/>
    </row>
    <row r="230" spans="2:12" s="132" customFormat="1">
      <c r="B230" s="131"/>
      <c r="L230" s="141"/>
    </row>
    <row r="231" spans="2:12" s="132" customFormat="1">
      <c r="B231" s="131"/>
      <c r="L231" s="141"/>
    </row>
    <row r="232" spans="2:12" s="132" customFormat="1">
      <c r="B232" s="131"/>
      <c r="L232" s="141"/>
    </row>
    <row r="233" spans="2:12" s="132" customFormat="1">
      <c r="B233" s="131"/>
      <c r="L233" s="141"/>
    </row>
    <row r="234" spans="2:12" s="132" customFormat="1">
      <c r="B234" s="131"/>
      <c r="L234" s="141"/>
    </row>
    <row r="235" spans="2:12" s="132" customFormat="1">
      <c r="B235" s="131"/>
      <c r="L235" s="141"/>
    </row>
    <row r="236" spans="2:12" s="132" customFormat="1">
      <c r="B236" s="131"/>
      <c r="L236" s="141"/>
    </row>
    <row r="237" spans="2:12" s="132" customFormat="1">
      <c r="B237" s="131"/>
      <c r="L237" s="141"/>
    </row>
    <row r="238" spans="2:12" s="132" customFormat="1">
      <c r="B238" s="131"/>
      <c r="L238" s="141"/>
    </row>
    <row r="239" spans="2:12" s="132" customFormat="1">
      <c r="B239" s="131"/>
      <c r="L239" s="141"/>
    </row>
    <row r="240" spans="2:12" s="132" customFormat="1">
      <c r="B240" s="131"/>
      <c r="L240" s="141"/>
    </row>
    <row r="241" spans="2:12" s="132" customFormat="1">
      <c r="B241" s="131"/>
      <c r="L241" s="141"/>
    </row>
    <row r="242" spans="2:12" s="132" customFormat="1">
      <c r="B242" s="131"/>
      <c r="L242" s="141"/>
    </row>
    <row r="243" spans="2:12" s="132" customFormat="1">
      <c r="B243" s="131"/>
      <c r="L243" s="141"/>
    </row>
    <row r="244" spans="2:12" s="132" customFormat="1">
      <c r="B244" s="131"/>
      <c r="L244" s="141"/>
    </row>
    <row r="245" spans="2:12" s="132" customFormat="1">
      <c r="B245" s="131"/>
      <c r="L245" s="141"/>
    </row>
    <row r="246" spans="2:12" s="132" customFormat="1">
      <c r="B246" s="131"/>
      <c r="L246" s="141"/>
    </row>
    <row r="247" spans="2:12" s="132" customFormat="1">
      <c r="B247" s="131"/>
      <c r="L247" s="141"/>
    </row>
    <row r="248" spans="2:12" s="132" customFormat="1">
      <c r="B248" s="131"/>
      <c r="L248" s="141"/>
    </row>
    <row r="249" spans="2:12" s="132" customFormat="1">
      <c r="B249" s="131"/>
      <c r="L249" s="141"/>
    </row>
    <row r="250" spans="2:12" s="132" customFormat="1">
      <c r="B250" s="131"/>
      <c r="L250" s="141"/>
    </row>
    <row r="251" spans="2:12" s="132" customFormat="1">
      <c r="B251" s="131"/>
      <c r="L251" s="141"/>
    </row>
    <row r="252" spans="2:12" s="132" customFormat="1">
      <c r="B252" s="131"/>
      <c r="L252" s="141"/>
    </row>
    <row r="253" spans="2:12" s="132" customFormat="1">
      <c r="B253" s="131"/>
      <c r="L253" s="141"/>
    </row>
    <row r="254" spans="2:12" s="132" customFormat="1">
      <c r="B254" s="131"/>
      <c r="L254" s="141"/>
    </row>
    <row r="255" spans="2:12" s="132" customFormat="1">
      <c r="B255" s="131"/>
      <c r="L255" s="141"/>
    </row>
    <row r="256" spans="2:12" s="132" customFormat="1">
      <c r="B256" s="131"/>
      <c r="L256" s="141"/>
    </row>
    <row r="257" spans="2:12" s="132" customFormat="1">
      <c r="B257" s="131"/>
      <c r="L257" s="141"/>
    </row>
    <row r="258" spans="2:12" s="132" customFormat="1">
      <c r="B258" s="131"/>
      <c r="L258" s="141"/>
    </row>
    <row r="259" spans="2:12" s="132" customFormat="1">
      <c r="B259" s="131"/>
      <c r="L259" s="141"/>
    </row>
    <row r="260" spans="2:12" s="132" customFormat="1">
      <c r="B260" s="131"/>
      <c r="L260" s="141"/>
    </row>
    <row r="261" spans="2:12" s="132" customFormat="1">
      <c r="B261" s="131"/>
      <c r="L261" s="141"/>
    </row>
    <row r="262" spans="2:12" s="132" customFormat="1">
      <c r="B262" s="131"/>
      <c r="L262" s="141"/>
    </row>
    <row r="263" spans="2:12" s="132" customFormat="1">
      <c r="B263" s="131"/>
      <c r="L263" s="141"/>
    </row>
    <row r="264" spans="2:12" s="132" customFormat="1">
      <c r="B264" s="131"/>
      <c r="L264" s="141"/>
    </row>
    <row r="265" spans="2:12" s="132" customFormat="1">
      <c r="B265" s="131"/>
      <c r="L265" s="141"/>
    </row>
    <row r="266" spans="2:12" s="132" customFormat="1">
      <c r="B266" s="131"/>
      <c r="L266" s="141"/>
    </row>
    <row r="267" spans="2:12" s="132" customFormat="1">
      <c r="B267" s="131"/>
      <c r="L267" s="141"/>
    </row>
    <row r="268" spans="2:12" s="132" customFormat="1">
      <c r="B268" s="131"/>
      <c r="L268" s="141"/>
    </row>
    <row r="269" spans="2:12" s="132" customFormat="1">
      <c r="B269" s="131"/>
      <c r="L269" s="141"/>
    </row>
    <row r="270" spans="2:12" s="132" customFormat="1">
      <c r="B270" s="131"/>
      <c r="L270" s="141"/>
    </row>
    <row r="271" spans="2:12" s="132" customFormat="1">
      <c r="B271" s="131"/>
      <c r="L271" s="141"/>
    </row>
    <row r="272" spans="2:12" s="132" customFormat="1">
      <c r="B272" s="131"/>
      <c r="L272" s="141"/>
    </row>
    <row r="273" spans="2:12" s="132" customFormat="1">
      <c r="B273" s="131"/>
      <c r="L273" s="141"/>
    </row>
    <row r="274" spans="2:12" s="132" customFormat="1">
      <c r="B274" s="131"/>
      <c r="L274" s="141"/>
    </row>
    <row r="275" spans="2:12" s="132" customFormat="1">
      <c r="B275" s="131"/>
      <c r="L275" s="141"/>
    </row>
    <row r="276" spans="2:12" s="132" customFormat="1">
      <c r="B276" s="131"/>
      <c r="L276" s="141"/>
    </row>
    <row r="277" spans="2:12" s="132" customFormat="1">
      <c r="B277" s="131"/>
      <c r="L277" s="141"/>
    </row>
    <row r="278" spans="2:12" s="132" customFormat="1">
      <c r="B278" s="131"/>
      <c r="L278" s="141"/>
    </row>
    <row r="279" spans="2:12" s="132" customFormat="1">
      <c r="B279" s="131"/>
      <c r="L279" s="141"/>
    </row>
    <row r="280" spans="2:12" s="132" customFormat="1">
      <c r="B280" s="131"/>
      <c r="L280" s="141"/>
    </row>
    <row r="281" spans="2:12" s="132" customFormat="1">
      <c r="B281" s="131"/>
      <c r="L281" s="141"/>
    </row>
    <row r="282" spans="2:12" s="132" customFormat="1">
      <c r="B282" s="131"/>
      <c r="L282" s="141"/>
    </row>
    <row r="283" spans="2:12" s="132" customFormat="1">
      <c r="B283" s="131"/>
      <c r="L283" s="141"/>
    </row>
    <row r="284" spans="2:12" s="132" customFormat="1">
      <c r="B284" s="131"/>
      <c r="L284" s="141"/>
    </row>
    <row r="285" spans="2:12" s="132" customFormat="1">
      <c r="B285" s="131"/>
      <c r="L285" s="141"/>
    </row>
    <row r="286" spans="2:12" s="132" customFormat="1">
      <c r="B286" s="131"/>
      <c r="L286" s="141"/>
    </row>
    <row r="287" spans="2:12" s="132" customFormat="1">
      <c r="B287" s="131"/>
      <c r="L287" s="141"/>
    </row>
    <row r="288" spans="2:12" s="132" customFormat="1">
      <c r="B288" s="131"/>
      <c r="L288" s="141"/>
    </row>
    <row r="289" spans="2:12" s="132" customFormat="1">
      <c r="B289" s="131"/>
      <c r="L289" s="141"/>
    </row>
    <row r="290" spans="2:12" s="132" customFormat="1">
      <c r="B290" s="131"/>
      <c r="L290" s="141"/>
    </row>
    <row r="291" spans="2:12" s="132" customFormat="1">
      <c r="B291" s="131"/>
      <c r="L291" s="141"/>
    </row>
    <row r="292" spans="2:12" s="132" customFormat="1">
      <c r="B292" s="131"/>
      <c r="L292" s="141"/>
    </row>
    <row r="293" spans="2:12" s="132" customFormat="1">
      <c r="B293" s="131"/>
      <c r="L293" s="141"/>
    </row>
    <row r="294" spans="2:12" s="132" customFormat="1">
      <c r="B294" s="131"/>
      <c r="L294" s="141"/>
    </row>
    <row r="295" spans="2:12" s="132" customFormat="1">
      <c r="B295" s="131"/>
      <c r="L295" s="141"/>
    </row>
    <row r="296" spans="2:12" s="132" customFormat="1">
      <c r="B296" s="131"/>
      <c r="L296" s="141"/>
    </row>
    <row r="297" spans="2:12" s="132" customFormat="1">
      <c r="B297" s="131"/>
      <c r="L297" s="141"/>
    </row>
    <row r="298" spans="2:12" s="132" customFormat="1">
      <c r="B298" s="131"/>
      <c r="L298" s="141"/>
    </row>
    <row r="299" spans="2:12" s="132" customFormat="1">
      <c r="B299" s="131"/>
      <c r="L299" s="141"/>
    </row>
    <row r="300" spans="2:12" s="132" customFormat="1">
      <c r="B300" s="131"/>
      <c r="L300" s="141"/>
    </row>
    <row r="301" spans="2:12" s="132" customFormat="1">
      <c r="B301" s="131"/>
      <c r="L301" s="141"/>
    </row>
    <row r="302" spans="2:12" s="132" customFormat="1">
      <c r="B302" s="131"/>
      <c r="L302" s="141"/>
    </row>
    <row r="303" spans="2:12" s="132" customFormat="1">
      <c r="B303" s="131"/>
      <c r="L303" s="141"/>
    </row>
    <row r="304" spans="2:12" s="132" customFormat="1">
      <c r="B304" s="131"/>
      <c r="L304" s="141"/>
    </row>
    <row r="305" spans="2:12" s="132" customFormat="1">
      <c r="B305" s="131"/>
      <c r="L305" s="141"/>
    </row>
    <row r="306" spans="2:12" s="132" customFormat="1">
      <c r="B306" s="131"/>
      <c r="L306" s="141"/>
    </row>
    <row r="307" spans="2:12" s="132" customFormat="1">
      <c r="B307" s="131"/>
      <c r="L307" s="141"/>
    </row>
    <row r="308" spans="2:12" s="132" customFormat="1">
      <c r="B308" s="131"/>
      <c r="L308" s="141"/>
    </row>
    <row r="309" spans="2:12" s="132" customFormat="1">
      <c r="B309" s="131"/>
      <c r="L309" s="141"/>
    </row>
    <row r="310" spans="2:12" s="132" customFormat="1">
      <c r="B310" s="131"/>
      <c r="L310" s="141"/>
    </row>
    <row r="311" spans="2:12" s="132" customFormat="1">
      <c r="B311" s="131"/>
      <c r="L311" s="141"/>
    </row>
    <row r="312" spans="2:12" s="132" customFormat="1">
      <c r="B312" s="131"/>
      <c r="L312" s="141"/>
    </row>
    <row r="313" spans="2:12" s="132" customFormat="1">
      <c r="B313" s="131"/>
      <c r="L313" s="141"/>
    </row>
    <row r="314" spans="2:12" s="132" customFormat="1">
      <c r="B314" s="131"/>
      <c r="L314" s="141"/>
    </row>
    <row r="315" spans="2:12" s="132" customFormat="1">
      <c r="B315" s="131"/>
      <c r="L315" s="141"/>
    </row>
    <row r="316" spans="2:12" s="132" customFormat="1">
      <c r="B316" s="131"/>
      <c r="L316" s="141"/>
    </row>
    <row r="317" spans="2:12" s="132" customFormat="1">
      <c r="B317" s="131"/>
      <c r="L317" s="141"/>
    </row>
    <row r="318" spans="2:12" s="132" customFormat="1">
      <c r="B318" s="131"/>
      <c r="L318" s="141"/>
    </row>
    <row r="319" spans="2:12" s="132" customFormat="1">
      <c r="B319" s="131"/>
      <c r="L319" s="141"/>
    </row>
    <row r="320" spans="2:12" s="132" customFormat="1">
      <c r="B320" s="131"/>
      <c r="L320" s="141"/>
    </row>
    <row r="321" spans="2:12" s="132" customFormat="1">
      <c r="B321" s="131"/>
      <c r="L321" s="141"/>
    </row>
    <row r="322" spans="2:12" s="132" customFormat="1">
      <c r="B322" s="131"/>
      <c r="L322" s="141"/>
    </row>
    <row r="323" spans="2:12" s="132" customFormat="1">
      <c r="B323" s="131"/>
      <c r="L323" s="141"/>
    </row>
    <row r="324" spans="2:12" s="132" customFormat="1">
      <c r="B324" s="131"/>
      <c r="L324" s="141"/>
    </row>
    <row r="325" spans="2:12" s="132" customFormat="1">
      <c r="B325" s="131"/>
      <c r="L325" s="141"/>
    </row>
    <row r="326" spans="2:12" s="132" customFormat="1">
      <c r="B326" s="131"/>
      <c r="L326" s="141"/>
    </row>
    <row r="327" spans="2:12" s="132" customFormat="1">
      <c r="B327" s="131"/>
      <c r="L327" s="141"/>
    </row>
    <row r="328" spans="2:12" s="132" customFormat="1">
      <c r="B328" s="131"/>
      <c r="L328" s="141"/>
    </row>
    <row r="329" spans="2:12" s="132" customFormat="1">
      <c r="B329" s="131"/>
      <c r="L329" s="141"/>
    </row>
    <row r="330" spans="2:12" s="132" customFormat="1">
      <c r="B330" s="131"/>
      <c r="L330" s="141"/>
    </row>
    <row r="331" spans="2:12" s="132" customFormat="1">
      <c r="B331" s="131"/>
      <c r="L331" s="141"/>
    </row>
    <row r="332" spans="2:12" s="132" customFormat="1">
      <c r="B332" s="131"/>
      <c r="L332" s="141"/>
    </row>
    <row r="333" spans="2:12" s="132" customFormat="1">
      <c r="B333" s="131"/>
      <c r="L333" s="141"/>
    </row>
    <row r="334" spans="2:12" s="132" customFormat="1">
      <c r="B334" s="131"/>
      <c r="L334" s="141"/>
    </row>
    <row r="335" spans="2:12" s="132" customFormat="1">
      <c r="B335" s="131"/>
      <c r="L335" s="141"/>
    </row>
    <row r="336" spans="2:12" s="132" customFormat="1">
      <c r="B336" s="131"/>
      <c r="L336" s="141"/>
    </row>
    <row r="337" spans="2:12" s="132" customFormat="1">
      <c r="B337" s="131"/>
      <c r="L337" s="141"/>
    </row>
    <row r="338" spans="2:12" s="132" customFormat="1">
      <c r="B338" s="131"/>
      <c r="L338" s="141"/>
    </row>
    <row r="339" spans="2:12" s="132" customFormat="1">
      <c r="B339" s="131"/>
      <c r="L339" s="141"/>
    </row>
    <row r="340" spans="2:12" s="132" customFormat="1">
      <c r="B340" s="131"/>
      <c r="L340" s="141"/>
    </row>
    <row r="341" spans="2:12" s="132" customFormat="1">
      <c r="B341" s="131"/>
      <c r="L341" s="141"/>
    </row>
    <row r="342" spans="2:12" s="132" customFormat="1">
      <c r="B342" s="131"/>
      <c r="L342" s="141"/>
    </row>
    <row r="343" spans="2:12" s="132" customFormat="1">
      <c r="B343" s="131"/>
      <c r="L343" s="141"/>
    </row>
    <row r="344" spans="2:12" s="132" customFormat="1">
      <c r="B344" s="131"/>
      <c r="L344" s="141"/>
    </row>
    <row r="345" spans="2:12" s="132" customFormat="1">
      <c r="B345" s="131"/>
      <c r="L345" s="141"/>
    </row>
    <row r="346" spans="2:12" s="132" customFormat="1">
      <c r="B346" s="131"/>
      <c r="L346" s="141"/>
    </row>
    <row r="347" spans="2:12">
      <c r="C347" s="1"/>
    </row>
    <row r="348" spans="2:12">
      <c r="C348" s="1"/>
    </row>
    <row r="349" spans="2:12">
      <c r="C349" s="1"/>
    </row>
    <row r="350" spans="2:12">
      <c r="C350" s="1"/>
    </row>
    <row r="351" spans="2:12">
      <c r="C351" s="1"/>
    </row>
    <row r="352" spans="2:12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X39:XFD41 G147:G1048576 D1:F1048576 G1:G52 G54:G145 H1:K1048576 L1:XFD38 L42:XFD1048576 L39:V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D574"/>
  <sheetViews>
    <sheetView rightToLeft="1" workbookViewId="0">
      <selection activeCell="M1" sqref="M1:O1048576"/>
    </sheetView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48.425781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7.28515625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140625" style="1" customWidth="1"/>
    <col min="14" max="14" width="6" style="1" customWidth="1"/>
    <col min="15" max="15" width="7.85546875" style="1" customWidth="1"/>
    <col min="16" max="16" width="8.140625" style="1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6">
      <c r="B1" s="57" t="s">
        <v>185</v>
      </c>
      <c r="C1" s="78" t="s" vm="1">
        <v>273</v>
      </c>
    </row>
    <row r="2" spans="2:56">
      <c r="B2" s="57" t="s">
        <v>184</v>
      </c>
      <c r="C2" s="78" t="s">
        <v>274</v>
      </c>
    </row>
    <row r="3" spans="2:56">
      <c r="B3" s="57" t="s">
        <v>186</v>
      </c>
      <c r="C3" s="78" t="s">
        <v>275</v>
      </c>
    </row>
    <row r="4" spans="2:56">
      <c r="B4" s="57" t="s">
        <v>187</v>
      </c>
      <c r="C4" s="78">
        <v>2102</v>
      </c>
    </row>
    <row r="6" spans="2:56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2:56" ht="26.25" customHeight="1">
      <c r="B7" s="181" t="s">
        <v>105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</row>
    <row r="8" spans="2:56" s="3" customFormat="1" ht="78.75">
      <c r="B8" s="23" t="s">
        <v>124</v>
      </c>
      <c r="C8" s="31" t="s">
        <v>49</v>
      </c>
      <c r="D8" s="31" t="s">
        <v>70</v>
      </c>
      <c r="E8" s="31" t="s">
        <v>109</v>
      </c>
      <c r="F8" s="31" t="s">
        <v>110</v>
      </c>
      <c r="G8" s="31" t="s">
        <v>249</v>
      </c>
      <c r="H8" s="31" t="s">
        <v>248</v>
      </c>
      <c r="I8" s="31" t="s">
        <v>118</v>
      </c>
      <c r="J8" s="31" t="s">
        <v>64</v>
      </c>
      <c r="K8" s="31" t="s">
        <v>188</v>
      </c>
      <c r="L8" s="32" t="s">
        <v>190</v>
      </c>
      <c r="M8" s="1"/>
      <c r="BD8" s="1"/>
    </row>
    <row r="9" spans="2:56" s="3" customFormat="1" ht="24" customHeight="1">
      <c r="B9" s="16"/>
      <c r="C9" s="17"/>
      <c r="D9" s="17"/>
      <c r="E9" s="17"/>
      <c r="F9" s="17" t="s">
        <v>22</v>
      </c>
      <c r="G9" s="17" t="s">
        <v>256</v>
      </c>
      <c r="H9" s="17"/>
      <c r="I9" s="17" t="s">
        <v>252</v>
      </c>
      <c r="J9" s="33" t="s">
        <v>20</v>
      </c>
      <c r="K9" s="33" t="s">
        <v>20</v>
      </c>
      <c r="L9" s="34" t="s">
        <v>20</v>
      </c>
      <c r="M9" s="1"/>
      <c r="BD9" s="1"/>
    </row>
    <row r="10" spans="2:5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BD10" s="1"/>
    </row>
    <row r="11" spans="2:56" s="4" customFormat="1" ht="18" customHeight="1">
      <c r="B11" s="128" t="s">
        <v>52</v>
      </c>
      <c r="C11" s="124"/>
      <c r="D11" s="124"/>
      <c r="E11" s="124"/>
      <c r="F11" s="124"/>
      <c r="G11" s="125"/>
      <c r="H11" s="127"/>
      <c r="I11" s="125">
        <v>0</v>
      </c>
      <c r="J11" s="95"/>
      <c r="K11" s="95">
        <v>0</v>
      </c>
      <c r="L11" s="126">
        <f>I11/'סכום נכסי הקרן'!$C$42</f>
        <v>0</v>
      </c>
      <c r="M11" s="100"/>
      <c r="BD11" s="100"/>
    </row>
    <row r="12" spans="2:56" s="100" customFormat="1" ht="21" customHeight="1">
      <c r="B12" s="129" t="s">
        <v>244</v>
      </c>
      <c r="C12" s="124"/>
      <c r="D12" s="124"/>
      <c r="E12" s="124"/>
      <c r="F12" s="124"/>
      <c r="G12" s="125"/>
      <c r="H12" s="127"/>
      <c r="I12" s="125">
        <v>0</v>
      </c>
      <c r="J12" s="95"/>
      <c r="K12" s="95">
        <v>0</v>
      </c>
      <c r="L12" s="126">
        <f>I12/'סכום נכסי הקרן'!$C$42</f>
        <v>0</v>
      </c>
    </row>
    <row r="13" spans="2:56">
      <c r="B13" s="83" t="s">
        <v>2391</v>
      </c>
      <c r="C13" s="84" t="s">
        <v>2392</v>
      </c>
      <c r="D13" s="97" t="s">
        <v>992</v>
      </c>
      <c r="E13" s="97" t="s">
        <v>169</v>
      </c>
      <c r="F13" s="107">
        <v>43375</v>
      </c>
      <c r="G13" s="94">
        <v>250</v>
      </c>
      <c r="H13" s="94">
        <v>0</v>
      </c>
      <c r="I13" s="94">
        <v>0</v>
      </c>
      <c r="J13" s="95">
        <v>0</v>
      </c>
      <c r="K13" s="95">
        <v>0</v>
      </c>
      <c r="L13" s="95">
        <f>I13/'סכום נכסי הקרן'!$C$42</f>
        <v>0</v>
      </c>
    </row>
    <row r="14" spans="2:56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14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14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14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AE39:XFD41 D1:XFD38 D39:AC41 D42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90</v>
      </c>
      <c r="C6" s="14" t="s">
        <v>49</v>
      </c>
      <c r="E6" s="14" t="s">
        <v>125</v>
      </c>
      <c r="I6" s="14" t="s">
        <v>15</v>
      </c>
      <c r="J6" s="14" t="s">
        <v>71</v>
      </c>
      <c r="M6" s="14" t="s">
        <v>109</v>
      </c>
      <c r="Q6" s="14" t="s">
        <v>17</v>
      </c>
      <c r="R6" s="14" t="s">
        <v>19</v>
      </c>
      <c r="U6" s="14" t="s">
        <v>67</v>
      </c>
      <c r="W6" s="15" t="s">
        <v>63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95</v>
      </c>
      <c r="C8" s="31" t="s">
        <v>49</v>
      </c>
      <c r="D8" s="31" t="s">
        <v>127</v>
      </c>
      <c r="I8" s="31" t="s">
        <v>15</v>
      </c>
      <c r="J8" s="31" t="s">
        <v>71</v>
      </c>
      <c r="K8" s="31" t="s">
        <v>110</v>
      </c>
      <c r="L8" s="31" t="s">
        <v>18</v>
      </c>
      <c r="M8" s="31" t="s">
        <v>109</v>
      </c>
      <c r="Q8" s="31" t="s">
        <v>17</v>
      </c>
      <c r="R8" s="31" t="s">
        <v>19</v>
      </c>
      <c r="S8" s="31" t="s">
        <v>0</v>
      </c>
      <c r="T8" s="31" t="s">
        <v>113</v>
      </c>
      <c r="U8" s="31" t="s">
        <v>67</v>
      </c>
      <c r="V8" s="31" t="s">
        <v>64</v>
      </c>
      <c r="W8" s="32" t="s">
        <v>119</v>
      </c>
    </row>
    <row r="9" spans="2:25" ht="31.5">
      <c r="B9" s="49" t="str">
        <f>'תעודות חוב מסחריות '!B7:T7</f>
        <v>2. תעודות חוב מסחריות</v>
      </c>
      <c r="C9" s="14" t="s">
        <v>49</v>
      </c>
      <c r="D9" s="14" t="s">
        <v>127</v>
      </c>
      <c r="E9" s="42" t="s">
        <v>125</v>
      </c>
      <c r="G9" s="14" t="s">
        <v>70</v>
      </c>
      <c r="I9" s="14" t="s">
        <v>15</v>
      </c>
      <c r="J9" s="14" t="s">
        <v>71</v>
      </c>
      <c r="K9" s="14" t="s">
        <v>110</v>
      </c>
      <c r="L9" s="14" t="s">
        <v>18</v>
      </c>
      <c r="M9" s="14" t="s">
        <v>109</v>
      </c>
      <c r="Q9" s="14" t="s">
        <v>17</v>
      </c>
      <c r="R9" s="14" t="s">
        <v>19</v>
      </c>
      <c r="S9" s="14" t="s">
        <v>0</v>
      </c>
      <c r="T9" s="14" t="s">
        <v>113</v>
      </c>
      <c r="U9" s="14" t="s">
        <v>67</v>
      </c>
      <c r="V9" s="14" t="s">
        <v>64</v>
      </c>
      <c r="W9" s="39" t="s">
        <v>119</v>
      </c>
    </row>
    <row r="10" spans="2:25" ht="31.5">
      <c r="B10" s="49" t="str">
        <f>'אג"ח קונצרני'!B7:U7</f>
        <v>3. אג"ח קונצרני</v>
      </c>
      <c r="C10" s="31" t="s">
        <v>49</v>
      </c>
      <c r="D10" s="14" t="s">
        <v>127</v>
      </c>
      <c r="E10" s="42" t="s">
        <v>125</v>
      </c>
      <c r="G10" s="31" t="s">
        <v>70</v>
      </c>
      <c r="I10" s="31" t="s">
        <v>15</v>
      </c>
      <c r="J10" s="31" t="s">
        <v>71</v>
      </c>
      <c r="K10" s="31" t="s">
        <v>110</v>
      </c>
      <c r="L10" s="31" t="s">
        <v>18</v>
      </c>
      <c r="M10" s="31" t="s">
        <v>109</v>
      </c>
      <c r="Q10" s="31" t="s">
        <v>17</v>
      </c>
      <c r="R10" s="31" t="s">
        <v>19</v>
      </c>
      <c r="S10" s="31" t="s">
        <v>0</v>
      </c>
      <c r="T10" s="31" t="s">
        <v>113</v>
      </c>
      <c r="U10" s="31" t="s">
        <v>67</v>
      </c>
      <c r="V10" s="14" t="s">
        <v>64</v>
      </c>
      <c r="W10" s="32" t="s">
        <v>119</v>
      </c>
    </row>
    <row r="11" spans="2:25" ht="31.5">
      <c r="B11" s="49" t="str">
        <f>מניות!B7</f>
        <v>4. מניות</v>
      </c>
      <c r="C11" s="31" t="s">
        <v>49</v>
      </c>
      <c r="D11" s="14" t="s">
        <v>127</v>
      </c>
      <c r="E11" s="42" t="s">
        <v>125</v>
      </c>
      <c r="H11" s="31" t="s">
        <v>109</v>
      </c>
      <c r="S11" s="31" t="s">
        <v>0</v>
      </c>
      <c r="T11" s="14" t="s">
        <v>113</v>
      </c>
      <c r="U11" s="14" t="s">
        <v>67</v>
      </c>
      <c r="V11" s="14" t="s">
        <v>64</v>
      </c>
      <c r="W11" s="15" t="s">
        <v>119</v>
      </c>
    </row>
    <row r="12" spans="2:25" ht="31.5">
      <c r="B12" s="49" t="str">
        <f>'קרנות סל'!B7:N7</f>
        <v>5. קרנות סל</v>
      </c>
      <c r="C12" s="31" t="s">
        <v>49</v>
      </c>
      <c r="D12" s="14" t="s">
        <v>127</v>
      </c>
      <c r="E12" s="42" t="s">
        <v>125</v>
      </c>
      <c r="H12" s="31" t="s">
        <v>109</v>
      </c>
      <c r="S12" s="31" t="s">
        <v>0</v>
      </c>
      <c r="T12" s="31" t="s">
        <v>113</v>
      </c>
      <c r="U12" s="31" t="s">
        <v>67</v>
      </c>
      <c r="V12" s="31" t="s">
        <v>64</v>
      </c>
      <c r="W12" s="32" t="s">
        <v>119</v>
      </c>
    </row>
    <row r="13" spans="2:25" ht="31.5">
      <c r="B13" s="49" t="str">
        <f>'קרנות נאמנות'!B7:O7</f>
        <v>6. קרנות נאמנות</v>
      </c>
      <c r="C13" s="31" t="s">
        <v>49</v>
      </c>
      <c r="D13" s="31" t="s">
        <v>127</v>
      </c>
      <c r="G13" s="31" t="s">
        <v>70</v>
      </c>
      <c r="H13" s="31" t="s">
        <v>109</v>
      </c>
      <c r="S13" s="31" t="s">
        <v>0</v>
      </c>
      <c r="T13" s="31" t="s">
        <v>113</v>
      </c>
      <c r="U13" s="31" t="s">
        <v>67</v>
      </c>
      <c r="V13" s="31" t="s">
        <v>64</v>
      </c>
      <c r="W13" s="32" t="s">
        <v>119</v>
      </c>
    </row>
    <row r="14" spans="2:25" ht="31.5">
      <c r="B14" s="49" t="str">
        <f>'כתבי אופציה'!B7:L7</f>
        <v>7. כתבי אופציה</v>
      </c>
      <c r="C14" s="31" t="s">
        <v>49</v>
      </c>
      <c r="D14" s="31" t="s">
        <v>127</v>
      </c>
      <c r="G14" s="31" t="s">
        <v>70</v>
      </c>
      <c r="H14" s="31" t="s">
        <v>109</v>
      </c>
      <c r="S14" s="31" t="s">
        <v>0</v>
      </c>
      <c r="T14" s="31" t="s">
        <v>113</v>
      </c>
      <c r="U14" s="31" t="s">
        <v>67</v>
      </c>
      <c r="V14" s="31" t="s">
        <v>64</v>
      </c>
      <c r="W14" s="32" t="s">
        <v>119</v>
      </c>
    </row>
    <row r="15" spans="2:25" ht="31.5">
      <c r="B15" s="49" t="str">
        <f>אופציות!B7</f>
        <v>8. אופציות</v>
      </c>
      <c r="C15" s="31" t="s">
        <v>49</v>
      </c>
      <c r="D15" s="31" t="s">
        <v>127</v>
      </c>
      <c r="G15" s="31" t="s">
        <v>70</v>
      </c>
      <c r="H15" s="31" t="s">
        <v>109</v>
      </c>
      <c r="S15" s="31" t="s">
        <v>0</v>
      </c>
      <c r="T15" s="31" t="s">
        <v>113</v>
      </c>
      <c r="U15" s="31" t="s">
        <v>67</v>
      </c>
      <c r="V15" s="31" t="s">
        <v>64</v>
      </c>
      <c r="W15" s="32" t="s">
        <v>119</v>
      </c>
    </row>
    <row r="16" spans="2:25" ht="31.5">
      <c r="B16" s="49" t="str">
        <f>'חוזים עתידיים'!B7:I7</f>
        <v>9. חוזים עתידיים</v>
      </c>
      <c r="C16" s="31" t="s">
        <v>49</v>
      </c>
      <c r="D16" s="31" t="s">
        <v>127</v>
      </c>
      <c r="G16" s="31" t="s">
        <v>70</v>
      </c>
      <c r="H16" s="31" t="s">
        <v>109</v>
      </c>
      <c r="S16" s="31" t="s">
        <v>0</v>
      </c>
      <c r="T16" s="32" t="s">
        <v>113</v>
      </c>
    </row>
    <row r="17" spans="2:25" ht="31.5">
      <c r="B17" s="49" t="str">
        <f>'מוצרים מובנים'!B7:Q7</f>
        <v>10. מוצרים מובנים</v>
      </c>
      <c r="C17" s="31" t="s">
        <v>49</v>
      </c>
      <c r="F17" s="14" t="s">
        <v>55</v>
      </c>
      <c r="I17" s="31" t="s">
        <v>15</v>
      </c>
      <c r="J17" s="31" t="s">
        <v>71</v>
      </c>
      <c r="K17" s="31" t="s">
        <v>110</v>
      </c>
      <c r="L17" s="31" t="s">
        <v>18</v>
      </c>
      <c r="M17" s="31" t="s">
        <v>109</v>
      </c>
      <c r="Q17" s="31" t="s">
        <v>17</v>
      </c>
      <c r="R17" s="31" t="s">
        <v>19</v>
      </c>
      <c r="S17" s="31" t="s">
        <v>0</v>
      </c>
      <c r="T17" s="31" t="s">
        <v>113</v>
      </c>
      <c r="U17" s="31" t="s">
        <v>67</v>
      </c>
      <c r="V17" s="31" t="s">
        <v>64</v>
      </c>
      <c r="W17" s="32" t="s">
        <v>119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49</v>
      </c>
      <c r="I19" s="31" t="s">
        <v>15</v>
      </c>
      <c r="J19" s="31" t="s">
        <v>71</v>
      </c>
      <c r="K19" s="31" t="s">
        <v>110</v>
      </c>
      <c r="L19" s="31" t="s">
        <v>18</v>
      </c>
      <c r="M19" s="31" t="s">
        <v>109</v>
      </c>
      <c r="Q19" s="31" t="s">
        <v>17</v>
      </c>
      <c r="R19" s="31" t="s">
        <v>19</v>
      </c>
      <c r="S19" s="31" t="s">
        <v>0</v>
      </c>
      <c r="T19" s="31" t="s">
        <v>113</v>
      </c>
      <c r="U19" s="31" t="s">
        <v>118</v>
      </c>
      <c r="V19" s="31" t="s">
        <v>64</v>
      </c>
      <c r="W19" s="32" t="s">
        <v>119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49</v>
      </c>
      <c r="D20" s="42" t="s">
        <v>126</v>
      </c>
      <c r="E20" s="42" t="s">
        <v>125</v>
      </c>
      <c r="G20" s="31" t="s">
        <v>70</v>
      </c>
      <c r="I20" s="31" t="s">
        <v>15</v>
      </c>
      <c r="J20" s="31" t="s">
        <v>71</v>
      </c>
      <c r="K20" s="31" t="s">
        <v>110</v>
      </c>
      <c r="L20" s="31" t="s">
        <v>18</v>
      </c>
      <c r="M20" s="31" t="s">
        <v>109</v>
      </c>
      <c r="Q20" s="31" t="s">
        <v>17</v>
      </c>
      <c r="R20" s="31" t="s">
        <v>19</v>
      </c>
      <c r="S20" s="31" t="s">
        <v>0</v>
      </c>
      <c r="T20" s="31" t="s">
        <v>113</v>
      </c>
      <c r="U20" s="31" t="s">
        <v>118</v>
      </c>
      <c r="V20" s="31" t="s">
        <v>64</v>
      </c>
      <c r="W20" s="32" t="s">
        <v>119</v>
      </c>
    </row>
    <row r="21" spans="2:25" ht="31.5">
      <c r="B21" s="49" t="str">
        <f>'לא סחיר - אג"ח קונצרני'!B7:S7</f>
        <v>3. אג"ח קונצרני</v>
      </c>
      <c r="C21" s="31" t="s">
        <v>49</v>
      </c>
      <c r="D21" s="42" t="s">
        <v>126</v>
      </c>
      <c r="E21" s="42" t="s">
        <v>125</v>
      </c>
      <c r="G21" s="31" t="s">
        <v>70</v>
      </c>
      <c r="I21" s="31" t="s">
        <v>15</v>
      </c>
      <c r="J21" s="31" t="s">
        <v>71</v>
      </c>
      <c r="K21" s="31" t="s">
        <v>110</v>
      </c>
      <c r="L21" s="31" t="s">
        <v>18</v>
      </c>
      <c r="M21" s="31" t="s">
        <v>109</v>
      </c>
      <c r="Q21" s="31" t="s">
        <v>17</v>
      </c>
      <c r="R21" s="31" t="s">
        <v>19</v>
      </c>
      <c r="S21" s="31" t="s">
        <v>0</v>
      </c>
      <c r="T21" s="31" t="s">
        <v>113</v>
      </c>
      <c r="U21" s="31" t="s">
        <v>118</v>
      </c>
      <c r="V21" s="31" t="s">
        <v>64</v>
      </c>
      <c r="W21" s="32" t="s">
        <v>119</v>
      </c>
    </row>
    <row r="22" spans="2:25" ht="31.5">
      <c r="B22" s="49" t="str">
        <f>'לא סחיר - מניות'!B7:M7</f>
        <v>4. מניות</v>
      </c>
      <c r="C22" s="31" t="s">
        <v>49</v>
      </c>
      <c r="D22" s="42" t="s">
        <v>126</v>
      </c>
      <c r="E22" s="42" t="s">
        <v>125</v>
      </c>
      <c r="G22" s="31" t="s">
        <v>70</v>
      </c>
      <c r="H22" s="31" t="s">
        <v>109</v>
      </c>
      <c r="S22" s="31" t="s">
        <v>0</v>
      </c>
      <c r="T22" s="31" t="s">
        <v>113</v>
      </c>
      <c r="U22" s="31" t="s">
        <v>118</v>
      </c>
      <c r="V22" s="31" t="s">
        <v>64</v>
      </c>
      <c r="W22" s="32" t="s">
        <v>119</v>
      </c>
    </row>
    <row r="23" spans="2:25" ht="31.5">
      <c r="B23" s="49" t="str">
        <f>'לא סחיר - קרנות השקעה'!B7:K7</f>
        <v>5. קרנות השקעה</v>
      </c>
      <c r="C23" s="31" t="s">
        <v>49</v>
      </c>
      <c r="G23" s="31" t="s">
        <v>70</v>
      </c>
      <c r="H23" s="31" t="s">
        <v>109</v>
      </c>
      <c r="K23" s="31" t="s">
        <v>110</v>
      </c>
      <c r="S23" s="31" t="s">
        <v>0</v>
      </c>
      <c r="T23" s="31" t="s">
        <v>113</v>
      </c>
      <c r="U23" s="31" t="s">
        <v>118</v>
      </c>
      <c r="V23" s="31" t="s">
        <v>64</v>
      </c>
      <c r="W23" s="32" t="s">
        <v>119</v>
      </c>
    </row>
    <row r="24" spans="2:25" ht="31.5">
      <c r="B24" s="49" t="str">
        <f>'לא סחיר - כתבי אופציה'!B7:L7</f>
        <v>6. כתבי אופציה</v>
      </c>
      <c r="C24" s="31" t="s">
        <v>49</v>
      </c>
      <c r="G24" s="31" t="s">
        <v>70</v>
      </c>
      <c r="H24" s="31" t="s">
        <v>109</v>
      </c>
      <c r="K24" s="31" t="s">
        <v>110</v>
      </c>
      <c r="S24" s="31" t="s">
        <v>0</v>
      </c>
      <c r="T24" s="31" t="s">
        <v>113</v>
      </c>
      <c r="U24" s="31" t="s">
        <v>118</v>
      </c>
      <c r="V24" s="31" t="s">
        <v>64</v>
      </c>
      <c r="W24" s="32" t="s">
        <v>119</v>
      </c>
    </row>
    <row r="25" spans="2:25" ht="31.5">
      <c r="B25" s="49" t="str">
        <f>'לא סחיר - אופציות'!B7:L7</f>
        <v>7. אופציות</v>
      </c>
      <c r="C25" s="31" t="s">
        <v>49</v>
      </c>
      <c r="G25" s="31" t="s">
        <v>70</v>
      </c>
      <c r="H25" s="31" t="s">
        <v>109</v>
      </c>
      <c r="K25" s="31" t="s">
        <v>110</v>
      </c>
      <c r="S25" s="31" t="s">
        <v>0</v>
      </c>
      <c r="T25" s="31" t="s">
        <v>113</v>
      </c>
      <c r="U25" s="31" t="s">
        <v>118</v>
      </c>
      <c r="V25" s="31" t="s">
        <v>64</v>
      </c>
      <c r="W25" s="32" t="s">
        <v>119</v>
      </c>
    </row>
    <row r="26" spans="2:25" ht="31.5">
      <c r="B26" s="49" t="str">
        <f>'לא סחיר - חוזים עתידיים'!B7:K7</f>
        <v>8. חוזים עתידיים</v>
      </c>
      <c r="C26" s="31" t="s">
        <v>49</v>
      </c>
      <c r="G26" s="31" t="s">
        <v>70</v>
      </c>
      <c r="H26" s="31" t="s">
        <v>109</v>
      </c>
      <c r="K26" s="31" t="s">
        <v>110</v>
      </c>
      <c r="S26" s="31" t="s">
        <v>0</v>
      </c>
      <c r="T26" s="31" t="s">
        <v>113</v>
      </c>
      <c r="U26" s="31" t="s">
        <v>118</v>
      </c>
      <c r="V26" s="32" t="s">
        <v>119</v>
      </c>
    </row>
    <row r="27" spans="2:25" ht="31.5">
      <c r="B27" s="49" t="str">
        <f>'לא סחיר - מוצרים מובנים'!B7:Q7</f>
        <v>9. מוצרים מובנים</v>
      </c>
      <c r="C27" s="31" t="s">
        <v>49</v>
      </c>
      <c r="F27" s="31" t="s">
        <v>55</v>
      </c>
      <c r="I27" s="31" t="s">
        <v>15</v>
      </c>
      <c r="J27" s="31" t="s">
        <v>71</v>
      </c>
      <c r="K27" s="31" t="s">
        <v>110</v>
      </c>
      <c r="L27" s="31" t="s">
        <v>18</v>
      </c>
      <c r="M27" s="31" t="s">
        <v>109</v>
      </c>
      <c r="Q27" s="31" t="s">
        <v>17</v>
      </c>
      <c r="R27" s="31" t="s">
        <v>19</v>
      </c>
      <c r="S27" s="31" t="s">
        <v>0</v>
      </c>
      <c r="T27" s="31" t="s">
        <v>113</v>
      </c>
      <c r="U27" s="31" t="s">
        <v>118</v>
      </c>
      <c r="V27" s="31" t="s">
        <v>64</v>
      </c>
      <c r="W27" s="32" t="s">
        <v>119</v>
      </c>
    </row>
    <row r="28" spans="2:25" ht="31.5">
      <c r="B28" s="53" t="str">
        <f>הלוואות!B6</f>
        <v>1.ד. הלוואות:</v>
      </c>
      <c r="C28" s="31" t="s">
        <v>49</v>
      </c>
      <c r="I28" s="31" t="s">
        <v>15</v>
      </c>
      <c r="J28" s="31" t="s">
        <v>71</v>
      </c>
      <c r="L28" s="31" t="s">
        <v>18</v>
      </c>
      <c r="M28" s="31" t="s">
        <v>109</v>
      </c>
      <c r="Q28" s="14" t="s">
        <v>38</v>
      </c>
      <c r="R28" s="31" t="s">
        <v>19</v>
      </c>
      <c r="S28" s="31" t="s">
        <v>0</v>
      </c>
      <c r="T28" s="31" t="s">
        <v>113</v>
      </c>
      <c r="U28" s="31" t="s">
        <v>118</v>
      </c>
      <c r="V28" s="32" t="s">
        <v>119</v>
      </c>
    </row>
    <row r="29" spans="2:25" ht="47.25">
      <c r="B29" s="53" t="str">
        <f>'פקדונות מעל 3 חודשים'!B6:O6</f>
        <v>1.ה. פקדונות מעל 3 חודשים:</v>
      </c>
      <c r="C29" s="31" t="s">
        <v>49</v>
      </c>
      <c r="E29" s="31" t="s">
        <v>125</v>
      </c>
      <c r="I29" s="31" t="s">
        <v>15</v>
      </c>
      <c r="J29" s="31" t="s">
        <v>71</v>
      </c>
      <c r="L29" s="31" t="s">
        <v>18</v>
      </c>
      <c r="M29" s="31" t="s">
        <v>109</v>
      </c>
      <c r="O29" s="50" t="s">
        <v>57</v>
      </c>
      <c r="P29" s="51"/>
      <c r="R29" s="31" t="s">
        <v>19</v>
      </c>
      <c r="S29" s="31" t="s">
        <v>0</v>
      </c>
      <c r="T29" s="31" t="s">
        <v>113</v>
      </c>
      <c r="U29" s="31" t="s">
        <v>118</v>
      </c>
      <c r="V29" s="32" t="s">
        <v>119</v>
      </c>
    </row>
    <row r="30" spans="2:25" ht="63">
      <c r="B30" s="53" t="str">
        <f>'זכויות מקרקעין'!B6</f>
        <v>1. ו. זכויות במקרקעין:</v>
      </c>
      <c r="C30" s="14" t="s">
        <v>59</v>
      </c>
      <c r="N30" s="50" t="s">
        <v>92</v>
      </c>
      <c r="P30" s="51" t="s">
        <v>60</v>
      </c>
      <c r="U30" s="31" t="s">
        <v>118</v>
      </c>
      <c r="V30" s="15" t="s">
        <v>63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62</v>
      </c>
      <c r="R31" s="14" t="s">
        <v>58</v>
      </c>
      <c r="U31" s="31" t="s">
        <v>118</v>
      </c>
      <c r="V31" s="15" t="s">
        <v>63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115</v>
      </c>
      <c r="Y32" s="15" t="s">
        <v>114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185</v>
      </c>
      <c r="C1" s="78" t="s" vm="1">
        <v>273</v>
      </c>
    </row>
    <row r="2" spans="2:54">
      <c r="B2" s="57" t="s">
        <v>184</v>
      </c>
      <c r="C2" s="78" t="s">
        <v>274</v>
      </c>
    </row>
    <row r="3" spans="2:54">
      <c r="B3" s="57" t="s">
        <v>186</v>
      </c>
      <c r="C3" s="78" t="s">
        <v>275</v>
      </c>
    </row>
    <row r="4" spans="2:54">
      <c r="B4" s="57" t="s">
        <v>187</v>
      </c>
      <c r="C4" s="78">
        <v>2102</v>
      </c>
    </row>
    <row r="6" spans="2:54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3"/>
    </row>
    <row r="7" spans="2:54" ht="26.25" customHeight="1">
      <c r="B7" s="181" t="s">
        <v>106</v>
      </c>
      <c r="C7" s="182"/>
      <c r="D7" s="182"/>
      <c r="E7" s="182"/>
      <c r="F7" s="182"/>
      <c r="G7" s="182"/>
      <c r="H7" s="182"/>
      <c r="I7" s="182"/>
      <c r="J7" s="182"/>
      <c r="K7" s="182"/>
      <c r="L7" s="183"/>
    </row>
    <row r="8" spans="2:54" s="3" customFormat="1" ht="78.75">
      <c r="B8" s="23" t="s">
        <v>124</v>
      </c>
      <c r="C8" s="31" t="s">
        <v>49</v>
      </c>
      <c r="D8" s="31" t="s">
        <v>70</v>
      </c>
      <c r="E8" s="31" t="s">
        <v>109</v>
      </c>
      <c r="F8" s="31" t="s">
        <v>110</v>
      </c>
      <c r="G8" s="31" t="s">
        <v>249</v>
      </c>
      <c r="H8" s="31" t="s">
        <v>248</v>
      </c>
      <c r="I8" s="31" t="s">
        <v>118</v>
      </c>
      <c r="J8" s="31" t="s">
        <v>64</v>
      </c>
      <c r="K8" s="31" t="s">
        <v>188</v>
      </c>
      <c r="L8" s="32" t="s">
        <v>190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256</v>
      </c>
      <c r="H9" s="17"/>
      <c r="I9" s="17" t="s">
        <v>252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2"/>
  <sheetViews>
    <sheetView rightToLeft="1" topLeftCell="A184" workbookViewId="0">
      <selection activeCell="G209" sqref="G209"/>
    </sheetView>
  </sheetViews>
  <sheetFormatPr defaultColWidth="9.140625" defaultRowHeight="18"/>
  <cols>
    <col min="1" max="1" width="6.28515625" style="1" customWidth="1"/>
    <col min="2" max="2" width="49.28515625" style="2" bestFit="1" customWidth="1"/>
    <col min="3" max="3" width="48.42578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6.42578125" style="1" bestFit="1" customWidth="1"/>
    <col min="9" max="9" width="11.2851562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185</v>
      </c>
      <c r="C1" s="78" t="s" vm="1">
        <v>273</v>
      </c>
    </row>
    <row r="2" spans="2:51">
      <c r="B2" s="57" t="s">
        <v>184</v>
      </c>
      <c r="C2" s="78" t="s">
        <v>274</v>
      </c>
    </row>
    <row r="3" spans="2:51">
      <c r="B3" s="57" t="s">
        <v>186</v>
      </c>
      <c r="C3" s="78" t="s">
        <v>275</v>
      </c>
    </row>
    <row r="4" spans="2:51">
      <c r="B4" s="57" t="s">
        <v>187</v>
      </c>
      <c r="C4" s="78">
        <v>2102</v>
      </c>
    </row>
    <row r="6" spans="2:51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3"/>
    </row>
    <row r="7" spans="2:51" ht="26.25" customHeight="1">
      <c r="B7" s="181" t="s">
        <v>107</v>
      </c>
      <c r="C7" s="182"/>
      <c r="D7" s="182"/>
      <c r="E7" s="182"/>
      <c r="F7" s="182"/>
      <c r="G7" s="182"/>
      <c r="H7" s="182"/>
      <c r="I7" s="182"/>
      <c r="J7" s="182"/>
      <c r="K7" s="183"/>
    </row>
    <row r="8" spans="2:51" s="3" customFormat="1" ht="63">
      <c r="B8" s="23" t="s">
        <v>124</v>
      </c>
      <c r="C8" s="31" t="s">
        <v>49</v>
      </c>
      <c r="D8" s="31" t="s">
        <v>70</v>
      </c>
      <c r="E8" s="31" t="s">
        <v>109</v>
      </c>
      <c r="F8" s="31" t="s">
        <v>110</v>
      </c>
      <c r="G8" s="31" t="s">
        <v>249</v>
      </c>
      <c r="H8" s="31" t="s">
        <v>248</v>
      </c>
      <c r="I8" s="31" t="s">
        <v>118</v>
      </c>
      <c r="J8" s="31" t="s">
        <v>188</v>
      </c>
      <c r="K8" s="32" t="s">
        <v>190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256</v>
      </c>
      <c r="H9" s="17"/>
      <c r="I9" s="17" t="s">
        <v>252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53</v>
      </c>
      <c r="C11" s="80"/>
      <c r="D11" s="80"/>
      <c r="E11" s="80"/>
      <c r="F11" s="80"/>
      <c r="G11" s="88"/>
      <c r="H11" s="90"/>
      <c r="I11" s="88">
        <v>93608.672233638034</v>
      </c>
      <c r="J11" s="89">
        <f>I11/$I$11</f>
        <v>1</v>
      </c>
      <c r="K11" s="89">
        <f>I11/'סכום נכסי הקרן'!$C$42</f>
        <v>1.6109966110964625E-3</v>
      </c>
      <c r="AW11" s="1"/>
    </row>
    <row r="12" spans="2:51" ht="19.5" customHeight="1">
      <c r="B12" s="81" t="s">
        <v>37</v>
      </c>
      <c r="C12" s="82"/>
      <c r="D12" s="82"/>
      <c r="E12" s="82"/>
      <c r="F12" s="82"/>
      <c r="G12" s="91"/>
      <c r="H12" s="93"/>
      <c r="I12" s="91">
        <v>93608.672233638034</v>
      </c>
      <c r="J12" s="92">
        <f t="shared" ref="J12:J75" si="0">I12/$I$11</f>
        <v>1</v>
      </c>
      <c r="K12" s="92">
        <f>I12/'סכום נכסי הקרן'!$C$42</f>
        <v>1.6109966110964625E-3</v>
      </c>
    </row>
    <row r="13" spans="2:51">
      <c r="B13" s="102" t="s">
        <v>2393</v>
      </c>
      <c r="C13" s="82"/>
      <c r="D13" s="82"/>
      <c r="E13" s="82"/>
      <c r="F13" s="82"/>
      <c r="G13" s="91"/>
      <c r="H13" s="93"/>
      <c r="I13" s="91">
        <v>123656.28901000005</v>
      </c>
      <c r="J13" s="92">
        <f t="shared" si="0"/>
        <v>1.3209918062010977</v>
      </c>
      <c r="K13" s="92">
        <f>I13/'סכום נכסי הקרן'!$C$42</f>
        <v>2.1281133230761631E-3</v>
      </c>
    </row>
    <row r="14" spans="2:51">
      <c r="B14" s="87" t="s">
        <v>2394</v>
      </c>
      <c r="C14" s="84" t="s">
        <v>2395</v>
      </c>
      <c r="D14" s="97" t="s">
        <v>1838</v>
      </c>
      <c r="E14" s="97" t="s">
        <v>169</v>
      </c>
      <c r="F14" s="107">
        <v>43643</v>
      </c>
      <c r="G14" s="94">
        <v>55899200</v>
      </c>
      <c r="H14" s="96">
        <v>2.5590000000000002</v>
      </c>
      <c r="I14" s="94">
        <v>1430.47066</v>
      </c>
      <c r="J14" s="95">
        <f t="shared" si="0"/>
        <v>1.5281390344151938E-2</v>
      </c>
      <c r="K14" s="95">
        <f>I14/'סכום נכסי הקרן'!$C$42</f>
        <v>2.4618268057270978E-5</v>
      </c>
    </row>
    <row r="15" spans="2:51">
      <c r="B15" s="87" t="s">
        <v>2396</v>
      </c>
      <c r="C15" s="84" t="s">
        <v>2397</v>
      </c>
      <c r="D15" s="97" t="s">
        <v>1838</v>
      </c>
      <c r="E15" s="97" t="s">
        <v>169</v>
      </c>
      <c r="F15" s="107">
        <v>43643</v>
      </c>
      <c r="G15" s="94">
        <v>73376100</v>
      </c>
      <c r="H15" s="96">
        <v>2.5333000000000001</v>
      </c>
      <c r="I15" s="94">
        <v>1858.86734</v>
      </c>
      <c r="J15" s="95">
        <f t="shared" si="0"/>
        <v>1.9857853932170409E-2</v>
      </c>
      <c r="K15" s="95">
        <f>I15/'סכום נכסי הקרן'!$C$42</f>
        <v>3.1990935388375091E-5</v>
      </c>
    </row>
    <row r="16" spans="2:51" s="7" customFormat="1">
      <c r="B16" s="87" t="s">
        <v>2398</v>
      </c>
      <c r="C16" s="84" t="s">
        <v>2399</v>
      </c>
      <c r="D16" s="97" t="s">
        <v>1838</v>
      </c>
      <c r="E16" s="97" t="s">
        <v>169</v>
      </c>
      <c r="F16" s="107">
        <v>43642</v>
      </c>
      <c r="G16" s="94">
        <v>70084000</v>
      </c>
      <c r="H16" s="96">
        <v>2.8138999999999998</v>
      </c>
      <c r="I16" s="94">
        <v>1972.1091200000001</v>
      </c>
      <c r="J16" s="95">
        <f t="shared" si="0"/>
        <v>2.106758992455111E-2</v>
      </c>
      <c r="K16" s="95">
        <f>I16/'סכום נכסי הקרן'!$C$42</f>
        <v>3.393981597242182E-5</v>
      </c>
      <c r="AW16" s="1"/>
      <c r="AY16" s="1"/>
    </row>
    <row r="17" spans="2:51" s="7" customFormat="1">
      <c r="B17" s="87" t="s">
        <v>2400</v>
      </c>
      <c r="C17" s="84" t="s">
        <v>2401</v>
      </c>
      <c r="D17" s="97" t="s">
        <v>1838</v>
      </c>
      <c r="E17" s="97" t="s">
        <v>169</v>
      </c>
      <c r="F17" s="107">
        <v>43642</v>
      </c>
      <c r="G17" s="94">
        <v>105150000</v>
      </c>
      <c r="H17" s="96">
        <v>2.8047</v>
      </c>
      <c r="I17" s="94">
        <v>2949.1549100000002</v>
      </c>
      <c r="J17" s="95">
        <f t="shared" si="0"/>
        <v>3.1505146260799421E-2</v>
      </c>
      <c r="K17" s="95">
        <f>I17/'סכום נכסי הקרן'!$C$42</f>
        <v>5.0754683858246258E-5</v>
      </c>
      <c r="AW17" s="1"/>
      <c r="AY17" s="1"/>
    </row>
    <row r="18" spans="2:51" s="7" customFormat="1">
      <c r="B18" s="87" t="s">
        <v>2402</v>
      </c>
      <c r="C18" s="84" t="s">
        <v>2403</v>
      </c>
      <c r="D18" s="97" t="s">
        <v>1838</v>
      </c>
      <c r="E18" s="97" t="s">
        <v>169</v>
      </c>
      <c r="F18" s="107">
        <v>43628</v>
      </c>
      <c r="G18" s="94">
        <v>70200000</v>
      </c>
      <c r="H18" s="96">
        <v>2.1669999999999998</v>
      </c>
      <c r="I18" s="94">
        <v>1521.24134</v>
      </c>
      <c r="J18" s="95">
        <f t="shared" si="0"/>
        <v>1.6251072723295672E-2</v>
      </c>
      <c r="K18" s="95">
        <f>I18/'סכום נכסי הקרן'!$C$42</f>
        <v>2.6180423083911485E-5</v>
      </c>
      <c r="AW18" s="1"/>
      <c r="AY18" s="1"/>
    </row>
    <row r="19" spans="2:51">
      <c r="B19" s="87" t="s">
        <v>2404</v>
      </c>
      <c r="C19" s="84" t="s">
        <v>2405</v>
      </c>
      <c r="D19" s="97" t="s">
        <v>1838</v>
      </c>
      <c r="E19" s="97" t="s">
        <v>169</v>
      </c>
      <c r="F19" s="107">
        <v>43628</v>
      </c>
      <c r="G19" s="94">
        <v>70206000</v>
      </c>
      <c r="H19" s="96">
        <v>2.1753999999999998</v>
      </c>
      <c r="I19" s="94">
        <v>1527.23767</v>
      </c>
      <c r="J19" s="95">
        <f t="shared" si="0"/>
        <v>1.6315130142944074E-2</v>
      </c>
      <c r="K19" s="95">
        <f>I19/'סכום נכסי הקרן'!$C$42</f>
        <v>2.6283619369880649E-5</v>
      </c>
    </row>
    <row r="20" spans="2:51">
      <c r="B20" s="87" t="s">
        <v>2406</v>
      </c>
      <c r="C20" s="84" t="s">
        <v>2407</v>
      </c>
      <c r="D20" s="97" t="s">
        <v>1838</v>
      </c>
      <c r="E20" s="97" t="s">
        <v>169</v>
      </c>
      <c r="F20" s="107">
        <v>43626</v>
      </c>
      <c r="G20" s="94">
        <v>119578000</v>
      </c>
      <c r="H20" s="96">
        <v>2.3948</v>
      </c>
      <c r="I20" s="94">
        <v>2863.6620699999999</v>
      </c>
      <c r="J20" s="95">
        <f t="shared" si="0"/>
        <v>3.0591845837238042E-2</v>
      </c>
      <c r="K20" s="95">
        <f>I20/'סכום נכסי הקרן'!$C$42</f>
        <v>4.9283359970975908E-5</v>
      </c>
    </row>
    <row r="21" spans="2:51">
      <c r="B21" s="87" t="s">
        <v>2408</v>
      </c>
      <c r="C21" s="84" t="s">
        <v>2409</v>
      </c>
      <c r="D21" s="97" t="s">
        <v>1838</v>
      </c>
      <c r="E21" s="97" t="s">
        <v>169</v>
      </c>
      <c r="F21" s="107">
        <v>43621</v>
      </c>
      <c r="G21" s="94">
        <v>70512000</v>
      </c>
      <c r="H21" s="96">
        <v>2.7654000000000001</v>
      </c>
      <c r="I21" s="94">
        <v>1949.91814</v>
      </c>
      <c r="J21" s="95">
        <f t="shared" si="0"/>
        <v>2.0830528769099473E-2</v>
      </c>
      <c r="K21" s="95">
        <f>I21/'סכום נכסי הקרן'!$C$42</f>
        <v>3.3557911254366613E-5</v>
      </c>
    </row>
    <row r="22" spans="2:51">
      <c r="B22" s="87" t="s">
        <v>2410</v>
      </c>
      <c r="C22" s="84" t="s">
        <v>2411</v>
      </c>
      <c r="D22" s="97" t="s">
        <v>1838</v>
      </c>
      <c r="E22" s="97" t="s">
        <v>169</v>
      </c>
      <c r="F22" s="107">
        <v>43641</v>
      </c>
      <c r="G22" s="94">
        <v>56480000</v>
      </c>
      <c r="H22" s="96">
        <v>2.8959000000000001</v>
      </c>
      <c r="I22" s="94">
        <v>1635.6323799999998</v>
      </c>
      <c r="J22" s="95">
        <f t="shared" si="0"/>
        <v>1.7473085996964281E-2</v>
      </c>
      <c r="K22" s="95">
        <f>I22/'סכום נכסי הקרן'!$C$42</f>
        <v>2.8149082326506507E-5</v>
      </c>
    </row>
    <row r="23" spans="2:51">
      <c r="B23" s="87" t="s">
        <v>2412</v>
      </c>
      <c r="C23" s="84" t="s">
        <v>2413</v>
      </c>
      <c r="D23" s="97" t="s">
        <v>1838</v>
      </c>
      <c r="E23" s="97" t="s">
        <v>169</v>
      </c>
      <c r="F23" s="107">
        <v>43621</v>
      </c>
      <c r="G23" s="94">
        <v>45901700</v>
      </c>
      <c r="H23" s="96">
        <v>2.9112</v>
      </c>
      <c r="I23" s="94">
        <v>1336.2956200000001</v>
      </c>
      <c r="J23" s="95">
        <f t="shared" si="0"/>
        <v>1.4275339967057089E-2</v>
      </c>
      <c r="K23" s="95">
        <f>I23/'סכום נכסי הקרן'!$C$42</f>
        <v>2.2997524309178854E-5</v>
      </c>
    </row>
    <row r="24" spans="2:51">
      <c r="B24" s="87" t="s">
        <v>2414</v>
      </c>
      <c r="C24" s="84" t="s">
        <v>2415</v>
      </c>
      <c r="D24" s="97" t="s">
        <v>1838</v>
      </c>
      <c r="E24" s="97" t="s">
        <v>169</v>
      </c>
      <c r="F24" s="107">
        <v>43635</v>
      </c>
      <c r="G24" s="94">
        <v>123620000</v>
      </c>
      <c r="H24" s="96">
        <v>2.8515999999999999</v>
      </c>
      <c r="I24" s="94">
        <v>3525.1090899999999</v>
      </c>
      <c r="J24" s="95">
        <f t="shared" si="0"/>
        <v>3.7657932816327899E-2</v>
      </c>
      <c r="K24" s="95">
        <f>I24/'סכום נכסי הקרן'!$C$42</f>
        <v>6.0666802148002506E-5</v>
      </c>
    </row>
    <row r="25" spans="2:51">
      <c r="B25" s="87" t="s">
        <v>2416</v>
      </c>
      <c r="C25" s="84" t="s">
        <v>2417</v>
      </c>
      <c r="D25" s="97" t="s">
        <v>1838</v>
      </c>
      <c r="E25" s="97" t="s">
        <v>169</v>
      </c>
      <c r="F25" s="107">
        <v>43620</v>
      </c>
      <c r="G25" s="94">
        <v>35324000</v>
      </c>
      <c r="H25" s="96">
        <v>2.8956</v>
      </c>
      <c r="I25" s="94">
        <v>1022.8581899999999</v>
      </c>
      <c r="J25" s="95">
        <f t="shared" si="0"/>
        <v>1.0926959709961985E-2</v>
      </c>
      <c r="K25" s="95">
        <f>I25/'סכום נכסי הקרן'!$C$42</f>
        <v>1.760329506233634E-5</v>
      </c>
    </row>
    <row r="26" spans="2:51">
      <c r="B26" s="87" t="s">
        <v>2418</v>
      </c>
      <c r="C26" s="84" t="s">
        <v>2419</v>
      </c>
      <c r="D26" s="97" t="s">
        <v>1838</v>
      </c>
      <c r="E26" s="97" t="s">
        <v>169</v>
      </c>
      <c r="F26" s="107">
        <v>43620</v>
      </c>
      <c r="G26" s="94">
        <v>100704750</v>
      </c>
      <c r="H26" s="96">
        <v>2.9258999999999999</v>
      </c>
      <c r="I26" s="94">
        <v>2946.4739399999999</v>
      </c>
      <c r="J26" s="95">
        <f t="shared" si="0"/>
        <v>3.1476506072491778E-2</v>
      </c>
      <c r="K26" s="95">
        <f>I26/'סכום נכסי הקרן'!$C$42</f>
        <v>5.0708544611941471E-5</v>
      </c>
    </row>
    <row r="27" spans="2:51">
      <c r="B27" s="87" t="s">
        <v>2420</v>
      </c>
      <c r="C27" s="84" t="s">
        <v>2421</v>
      </c>
      <c r="D27" s="97" t="s">
        <v>1838</v>
      </c>
      <c r="E27" s="97" t="s">
        <v>169</v>
      </c>
      <c r="F27" s="107">
        <v>43620</v>
      </c>
      <c r="G27" s="94">
        <v>53002500</v>
      </c>
      <c r="H27" s="96">
        <v>2.9258999999999999</v>
      </c>
      <c r="I27" s="94">
        <v>1550.77576</v>
      </c>
      <c r="J27" s="95">
        <f t="shared" si="0"/>
        <v>1.6566582165906767E-2</v>
      </c>
      <c r="K27" s="95">
        <f>I27/'סכום נכסי הקרן'!$C$42</f>
        <v>2.6688707726726896E-5</v>
      </c>
    </row>
    <row r="28" spans="2:51">
      <c r="B28" s="87" t="s">
        <v>2422</v>
      </c>
      <c r="C28" s="84" t="s">
        <v>2423</v>
      </c>
      <c r="D28" s="97" t="s">
        <v>1838</v>
      </c>
      <c r="E28" s="97" t="s">
        <v>169</v>
      </c>
      <c r="F28" s="107">
        <v>43635</v>
      </c>
      <c r="G28" s="94">
        <v>102573000</v>
      </c>
      <c r="H28" s="96">
        <v>2.9558</v>
      </c>
      <c r="I28" s="94">
        <v>3031.83853</v>
      </c>
      <c r="J28" s="95">
        <f t="shared" si="0"/>
        <v>3.2388436430684855E-2</v>
      </c>
      <c r="K28" s="95">
        <f>I28/'סכום נכסי הקרן'!$C$42</f>
        <v>5.2177661328546503E-5</v>
      </c>
    </row>
    <row r="29" spans="2:51">
      <c r="B29" s="87" t="s">
        <v>2424</v>
      </c>
      <c r="C29" s="84" t="s">
        <v>2425</v>
      </c>
      <c r="D29" s="97" t="s">
        <v>1838</v>
      </c>
      <c r="E29" s="97" t="s">
        <v>169</v>
      </c>
      <c r="F29" s="107">
        <v>43633</v>
      </c>
      <c r="G29" s="94">
        <v>24780000</v>
      </c>
      <c r="H29" s="96">
        <v>3.0049999999999999</v>
      </c>
      <c r="I29" s="94">
        <v>744.63966000000005</v>
      </c>
      <c r="J29" s="95">
        <f t="shared" si="0"/>
        <v>7.9548148930203046E-3</v>
      </c>
      <c r="K29" s="95">
        <f>I29/'סכום נכסי הקרן'!$C$42</f>
        <v>1.2815179834555378E-5</v>
      </c>
    </row>
    <row r="30" spans="2:51">
      <c r="B30" s="87" t="s">
        <v>2426</v>
      </c>
      <c r="C30" s="84" t="s">
        <v>2427</v>
      </c>
      <c r="D30" s="97" t="s">
        <v>1838</v>
      </c>
      <c r="E30" s="97" t="s">
        <v>169</v>
      </c>
      <c r="F30" s="107">
        <v>43640</v>
      </c>
      <c r="G30" s="94">
        <v>53130000</v>
      </c>
      <c r="H30" s="96">
        <v>3.0268000000000002</v>
      </c>
      <c r="I30" s="94">
        <v>1608.14201</v>
      </c>
      <c r="J30" s="95">
        <f t="shared" si="0"/>
        <v>1.7179412672217332E-2</v>
      </c>
      <c r="K30" s="95">
        <f>I30/'סכום נכסי הקרן'!$C$42</f>
        <v>2.7675975595569745E-5</v>
      </c>
    </row>
    <row r="31" spans="2:51">
      <c r="B31" s="87" t="s">
        <v>2428</v>
      </c>
      <c r="C31" s="84" t="s">
        <v>2429</v>
      </c>
      <c r="D31" s="97" t="s">
        <v>1838</v>
      </c>
      <c r="E31" s="97" t="s">
        <v>169</v>
      </c>
      <c r="F31" s="107">
        <v>43633</v>
      </c>
      <c r="G31" s="94">
        <v>141680000</v>
      </c>
      <c r="H31" s="96">
        <v>3.0596999999999999</v>
      </c>
      <c r="I31" s="94">
        <v>4335.0343300000004</v>
      </c>
      <c r="J31" s="95">
        <f t="shared" si="0"/>
        <v>4.631017860375352E-2</v>
      </c>
      <c r="K31" s="95">
        <f>I31/'סכום נכסי הקרן'!$C$42</f>
        <v>7.4605540789918822E-5</v>
      </c>
    </row>
    <row r="32" spans="2:51">
      <c r="B32" s="87" t="s">
        <v>2430</v>
      </c>
      <c r="C32" s="84" t="s">
        <v>2431</v>
      </c>
      <c r="D32" s="97" t="s">
        <v>1838</v>
      </c>
      <c r="E32" s="97" t="s">
        <v>169</v>
      </c>
      <c r="F32" s="107">
        <v>43640</v>
      </c>
      <c r="G32" s="94">
        <v>53220000</v>
      </c>
      <c r="H32" s="96">
        <v>3.1907000000000001</v>
      </c>
      <c r="I32" s="94">
        <v>1698.08887</v>
      </c>
      <c r="J32" s="95">
        <f t="shared" si="0"/>
        <v>1.8140294371035807E-2</v>
      </c>
      <c r="K32" s="95">
        <f>I32/'סכום נכסי הקרן'!$C$42</f>
        <v>2.9223952756030921E-5</v>
      </c>
    </row>
    <row r="33" spans="2:11">
      <c r="B33" s="87" t="s">
        <v>2432</v>
      </c>
      <c r="C33" s="84" t="s">
        <v>2433</v>
      </c>
      <c r="D33" s="97" t="s">
        <v>1838</v>
      </c>
      <c r="E33" s="97" t="s">
        <v>169</v>
      </c>
      <c r="F33" s="107">
        <v>43640</v>
      </c>
      <c r="G33" s="94">
        <v>106500000</v>
      </c>
      <c r="H33" s="96">
        <v>3.2452000000000001</v>
      </c>
      <c r="I33" s="94">
        <v>3456.1423</v>
      </c>
      <c r="J33" s="95">
        <f t="shared" si="0"/>
        <v>3.692117639884699E-2</v>
      </c>
      <c r="K33" s="95">
        <f>I33/'סכום נכסי הקרן'!$C$42</f>
        <v>5.9479890056237186E-5</v>
      </c>
    </row>
    <row r="34" spans="2:11">
      <c r="B34" s="87" t="s">
        <v>2434</v>
      </c>
      <c r="C34" s="84" t="s">
        <v>2435</v>
      </c>
      <c r="D34" s="97" t="s">
        <v>1838</v>
      </c>
      <c r="E34" s="97" t="s">
        <v>169</v>
      </c>
      <c r="F34" s="107">
        <v>43619</v>
      </c>
      <c r="G34" s="94">
        <v>127836000</v>
      </c>
      <c r="H34" s="96">
        <v>3.4274</v>
      </c>
      <c r="I34" s="94">
        <v>4381.4761500000004</v>
      </c>
      <c r="J34" s="95">
        <f t="shared" si="0"/>
        <v>4.6806305927128922E-2</v>
      </c>
      <c r="K34" s="95">
        <f>I34/'סכום נכסי הקרן'!$C$42</f>
        <v>7.540480022654895E-5</v>
      </c>
    </row>
    <row r="35" spans="2:11">
      <c r="B35" s="87" t="s">
        <v>2436</v>
      </c>
      <c r="C35" s="84" t="s">
        <v>2437</v>
      </c>
      <c r="D35" s="97" t="s">
        <v>1838</v>
      </c>
      <c r="E35" s="97" t="s">
        <v>169</v>
      </c>
      <c r="F35" s="107">
        <v>43619</v>
      </c>
      <c r="G35" s="94">
        <v>53280000</v>
      </c>
      <c r="H35" s="96">
        <v>3.4217</v>
      </c>
      <c r="I35" s="94">
        <v>1823.0744</v>
      </c>
      <c r="J35" s="95">
        <f t="shared" si="0"/>
        <v>1.9475486154207869E-2</v>
      </c>
      <c r="K35" s="95">
        <f>I35/'סכום נכסי הקרן'!$C$42</f>
        <v>3.1374942193884952E-5</v>
      </c>
    </row>
    <row r="36" spans="2:11">
      <c r="B36" s="87" t="s">
        <v>2438</v>
      </c>
      <c r="C36" s="84" t="s">
        <v>2439</v>
      </c>
      <c r="D36" s="97" t="s">
        <v>1838</v>
      </c>
      <c r="E36" s="97" t="s">
        <v>169</v>
      </c>
      <c r="F36" s="107">
        <v>43677</v>
      </c>
      <c r="G36" s="94">
        <v>84625000</v>
      </c>
      <c r="H36" s="96">
        <v>-0.44019999999999998</v>
      </c>
      <c r="I36" s="94">
        <v>-372.50198999999998</v>
      </c>
      <c r="J36" s="95">
        <f t="shared" si="0"/>
        <v>-3.9793534200578302E-3</v>
      </c>
      <c r="K36" s="95">
        <f>I36/'סכום נכסי הקרן'!$C$42</f>
        <v>-6.4107248740682824E-6</v>
      </c>
    </row>
    <row r="37" spans="2:11">
      <c r="B37" s="87" t="s">
        <v>2440</v>
      </c>
      <c r="C37" s="84" t="s">
        <v>2441</v>
      </c>
      <c r="D37" s="97" t="s">
        <v>1838</v>
      </c>
      <c r="E37" s="97" t="s">
        <v>169</v>
      </c>
      <c r="F37" s="107">
        <v>43676</v>
      </c>
      <c r="G37" s="94">
        <v>85375000</v>
      </c>
      <c r="H37" s="96">
        <v>0.441</v>
      </c>
      <c r="I37" s="94">
        <v>376.52178000000004</v>
      </c>
      <c r="J37" s="95">
        <f t="shared" si="0"/>
        <v>4.0222959157057451E-3</v>
      </c>
      <c r="K37" s="95">
        <f>I37/'סכום נכסי הקרן'!$C$42</f>
        <v>6.479905089029097E-6</v>
      </c>
    </row>
    <row r="38" spans="2:11">
      <c r="B38" s="87" t="s">
        <v>2442</v>
      </c>
      <c r="C38" s="84" t="s">
        <v>2443</v>
      </c>
      <c r="D38" s="97" t="s">
        <v>1838</v>
      </c>
      <c r="E38" s="97" t="s">
        <v>169</v>
      </c>
      <c r="F38" s="107">
        <v>43676</v>
      </c>
      <c r="G38" s="94">
        <v>19303790</v>
      </c>
      <c r="H38" s="96">
        <v>0.41149999999999998</v>
      </c>
      <c r="I38" s="94">
        <v>79.441890000000001</v>
      </c>
      <c r="J38" s="95">
        <f t="shared" si="0"/>
        <v>8.4865951096625811E-4</v>
      </c>
      <c r="K38" s="95">
        <f>I38/'סכום נכסי הקרן'!$C$42</f>
        <v>1.3671875961414229E-6</v>
      </c>
    </row>
    <row r="39" spans="2:11">
      <c r="B39" s="87" t="s">
        <v>2444</v>
      </c>
      <c r="C39" s="84" t="s">
        <v>2445</v>
      </c>
      <c r="D39" s="97" t="s">
        <v>1838</v>
      </c>
      <c r="E39" s="97" t="s">
        <v>169</v>
      </c>
      <c r="F39" s="107">
        <v>43676</v>
      </c>
      <c r="G39" s="94">
        <v>45622290</v>
      </c>
      <c r="H39" s="96">
        <v>0.43480000000000002</v>
      </c>
      <c r="I39" s="94">
        <v>198.37448000000001</v>
      </c>
      <c r="J39" s="95">
        <f t="shared" si="0"/>
        <v>2.1191891228290989E-3</v>
      </c>
      <c r="K39" s="95">
        <f>I39/'סכום נכסי הקרן'!$C$42</f>
        <v>3.4140064951501631E-6</v>
      </c>
    </row>
    <row r="40" spans="2:11">
      <c r="B40" s="87" t="s">
        <v>2446</v>
      </c>
      <c r="C40" s="84" t="s">
        <v>2447</v>
      </c>
      <c r="D40" s="97" t="s">
        <v>1838</v>
      </c>
      <c r="E40" s="97" t="s">
        <v>169</v>
      </c>
      <c r="F40" s="107">
        <v>43675</v>
      </c>
      <c r="G40" s="94">
        <v>68624000</v>
      </c>
      <c r="H40" s="96">
        <v>0.93220000000000003</v>
      </c>
      <c r="I40" s="94">
        <v>639.69493</v>
      </c>
      <c r="J40" s="95">
        <f t="shared" si="0"/>
        <v>6.8337143849598082E-3</v>
      </c>
      <c r="K40" s="95">
        <f>I40/'סכום נכסי הקרן'!$C$42</f>
        <v>1.1009090715371396E-5</v>
      </c>
    </row>
    <row r="41" spans="2:11">
      <c r="B41" s="87" t="s">
        <v>2448</v>
      </c>
      <c r="C41" s="84" t="s">
        <v>2449</v>
      </c>
      <c r="D41" s="97" t="s">
        <v>1838</v>
      </c>
      <c r="E41" s="97" t="s">
        <v>169</v>
      </c>
      <c r="F41" s="107">
        <v>43675</v>
      </c>
      <c r="G41" s="94">
        <v>68630000</v>
      </c>
      <c r="H41" s="96">
        <v>0.90290000000000004</v>
      </c>
      <c r="I41" s="94">
        <v>619.62990000000002</v>
      </c>
      <c r="J41" s="95">
        <f t="shared" si="0"/>
        <v>6.6193642663092663E-3</v>
      </c>
      <c r="K41" s="95">
        <f>I41/'סכום נכסי הקרן'!$C$42</f>
        <v>1.066377340063725E-5</v>
      </c>
    </row>
    <row r="42" spans="2:11">
      <c r="B42" s="87" t="s">
        <v>2450</v>
      </c>
      <c r="C42" s="84" t="s">
        <v>2451</v>
      </c>
      <c r="D42" s="97" t="s">
        <v>1838</v>
      </c>
      <c r="E42" s="97" t="s">
        <v>169</v>
      </c>
      <c r="F42" s="107">
        <v>43675</v>
      </c>
      <c r="G42" s="94">
        <v>295238000</v>
      </c>
      <c r="H42" s="96">
        <v>1.0221</v>
      </c>
      <c r="I42" s="94">
        <v>3017.65488</v>
      </c>
      <c r="J42" s="95">
        <f t="shared" si="0"/>
        <v>3.2236915747167423E-2</v>
      </c>
      <c r="K42" s="95">
        <f>I42/'סכום נכסי הקרן'!$C$42</f>
        <v>5.1933562020888906E-5</v>
      </c>
    </row>
    <row r="43" spans="2:11">
      <c r="B43" s="87" t="s">
        <v>2450</v>
      </c>
      <c r="C43" s="84" t="s">
        <v>2452</v>
      </c>
      <c r="D43" s="97" t="s">
        <v>1838</v>
      </c>
      <c r="E43" s="97" t="s">
        <v>169</v>
      </c>
      <c r="F43" s="107">
        <v>43675</v>
      </c>
      <c r="G43" s="94">
        <v>20598000</v>
      </c>
      <c r="H43" s="96">
        <v>1.0221</v>
      </c>
      <c r="I43" s="94">
        <v>210.53406000000001</v>
      </c>
      <c r="J43" s="95">
        <f t="shared" si="0"/>
        <v>2.2490871302450238E-3</v>
      </c>
      <c r="K43" s="95">
        <f>I43/'סכום נכסי הקרן'!$C$42</f>
        <v>3.6232717448854015E-6</v>
      </c>
    </row>
    <row r="44" spans="2:11">
      <c r="B44" s="87" t="s">
        <v>2453</v>
      </c>
      <c r="C44" s="84" t="s">
        <v>2454</v>
      </c>
      <c r="D44" s="97" t="s">
        <v>1838</v>
      </c>
      <c r="E44" s="97" t="s">
        <v>169</v>
      </c>
      <c r="F44" s="107">
        <v>43661</v>
      </c>
      <c r="G44" s="94">
        <v>134550000</v>
      </c>
      <c r="H44" s="96">
        <v>1.3263</v>
      </c>
      <c r="I44" s="94">
        <v>1784.5473500000001</v>
      </c>
      <c r="J44" s="95">
        <f t="shared" si="0"/>
        <v>1.9063910505491902E-2</v>
      </c>
      <c r="K44" s="95">
        <f>I44/'סכום נכסי הקרן'!$C$42</f>
        <v>3.0711895218593697E-5</v>
      </c>
    </row>
    <row r="45" spans="2:11">
      <c r="B45" s="87" t="s">
        <v>2455</v>
      </c>
      <c r="C45" s="84" t="s">
        <v>2456</v>
      </c>
      <c r="D45" s="97" t="s">
        <v>1838</v>
      </c>
      <c r="E45" s="97" t="s">
        <v>169</v>
      </c>
      <c r="F45" s="107">
        <v>43661</v>
      </c>
      <c r="G45" s="94">
        <v>51756000</v>
      </c>
      <c r="H45" s="96">
        <v>1.3376999999999999</v>
      </c>
      <c r="I45" s="94">
        <v>692.35706000000005</v>
      </c>
      <c r="J45" s="95">
        <f t="shared" si="0"/>
        <v>7.3962918550104523E-3</v>
      </c>
      <c r="K45" s="95">
        <f>I45/'סכום נכסי הקרן'!$C$42</f>
        <v>1.1915401113102206E-5</v>
      </c>
    </row>
    <row r="46" spans="2:11">
      <c r="B46" s="87" t="s">
        <v>2457</v>
      </c>
      <c r="C46" s="84" t="s">
        <v>2458</v>
      </c>
      <c r="D46" s="97" t="s">
        <v>1838</v>
      </c>
      <c r="E46" s="97" t="s">
        <v>169</v>
      </c>
      <c r="F46" s="107">
        <v>43664</v>
      </c>
      <c r="G46" s="94">
        <v>138076000</v>
      </c>
      <c r="H46" s="96">
        <v>1.3539000000000001</v>
      </c>
      <c r="I46" s="94">
        <v>1869.4102</v>
      </c>
      <c r="J46" s="95">
        <f t="shared" si="0"/>
        <v>1.9970480890212139E-2</v>
      </c>
      <c r="K46" s="95">
        <f>I46/'סכום נכסי הקרן'!$C$42</f>
        <v>3.2172377036098417E-5</v>
      </c>
    </row>
    <row r="47" spans="2:11">
      <c r="B47" s="87" t="s">
        <v>2459</v>
      </c>
      <c r="C47" s="84" t="s">
        <v>2460</v>
      </c>
      <c r="D47" s="97" t="s">
        <v>1838</v>
      </c>
      <c r="E47" s="97" t="s">
        <v>169</v>
      </c>
      <c r="F47" s="107">
        <v>43662</v>
      </c>
      <c r="G47" s="94">
        <v>51795000</v>
      </c>
      <c r="H47" s="96">
        <v>1.4493</v>
      </c>
      <c r="I47" s="94">
        <v>750.67987000000005</v>
      </c>
      <c r="J47" s="95">
        <f t="shared" si="0"/>
        <v>8.0193410726559292E-3</v>
      </c>
      <c r="K47" s="95">
        <f>I47/'סכום נכסי הקרן'!$C$42</f>
        <v>1.291913129127537E-5</v>
      </c>
    </row>
    <row r="48" spans="2:11">
      <c r="B48" s="87" t="s">
        <v>2461</v>
      </c>
      <c r="C48" s="84" t="s">
        <v>2462</v>
      </c>
      <c r="D48" s="97" t="s">
        <v>1838</v>
      </c>
      <c r="E48" s="97" t="s">
        <v>169</v>
      </c>
      <c r="F48" s="107">
        <v>43662</v>
      </c>
      <c r="G48" s="94">
        <v>51835500</v>
      </c>
      <c r="H48" s="96">
        <v>1.5262</v>
      </c>
      <c r="I48" s="94">
        <v>791.12952000000007</v>
      </c>
      <c r="J48" s="95">
        <f t="shared" si="0"/>
        <v>8.451455416709882E-3</v>
      </c>
      <c r="K48" s="95">
        <f>I48/'סכום נכסי הקרן'!$C$42</f>
        <v>1.361526603515246E-5</v>
      </c>
    </row>
    <row r="49" spans="2:11">
      <c r="B49" s="87" t="s">
        <v>2463</v>
      </c>
      <c r="C49" s="84" t="s">
        <v>2464</v>
      </c>
      <c r="D49" s="97" t="s">
        <v>1838</v>
      </c>
      <c r="E49" s="97" t="s">
        <v>169</v>
      </c>
      <c r="F49" s="107">
        <v>43717</v>
      </c>
      <c r="G49" s="94">
        <v>86535000</v>
      </c>
      <c r="H49" s="96">
        <v>1.0665</v>
      </c>
      <c r="I49" s="94">
        <v>922.93272999999999</v>
      </c>
      <c r="J49" s="95">
        <f t="shared" si="0"/>
        <v>9.8594789134114711E-3</v>
      </c>
      <c r="K49" s="95">
        <f>I49/'סכום נכסי הקרן'!$C$42</f>
        <v>1.5883587116682911E-5</v>
      </c>
    </row>
    <row r="50" spans="2:11">
      <c r="B50" s="87" t="s">
        <v>2465</v>
      </c>
      <c r="C50" s="84" t="s">
        <v>2466</v>
      </c>
      <c r="D50" s="97" t="s">
        <v>1838</v>
      </c>
      <c r="E50" s="97" t="s">
        <v>169</v>
      </c>
      <c r="F50" s="107">
        <v>43717</v>
      </c>
      <c r="G50" s="94">
        <v>121317000</v>
      </c>
      <c r="H50" s="96">
        <v>1.1780999999999999</v>
      </c>
      <c r="I50" s="94">
        <v>1429.2431899999999</v>
      </c>
      <c r="J50" s="95">
        <f t="shared" si="0"/>
        <v>1.5268277563351711E-2</v>
      </c>
      <c r="K50" s="95">
        <f>I50/'סכום נכסי הקרן'!$C$42</f>
        <v>2.4597143411839758E-5</v>
      </c>
    </row>
    <row r="51" spans="2:11">
      <c r="B51" s="87" t="s">
        <v>2467</v>
      </c>
      <c r="C51" s="84" t="s">
        <v>2468</v>
      </c>
      <c r="D51" s="97" t="s">
        <v>1838</v>
      </c>
      <c r="E51" s="97" t="s">
        <v>169</v>
      </c>
      <c r="F51" s="107">
        <v>43717</v>
      </c>
      <c r="G51" s="94">
        <v>117884800</v>
      </c>
      <c r="H51" s="96">
        <v>1.2065999999999999</v>
      </c>
      <c r="I51" s="94">
        <v>1422.3804700000001</v>
      </c>
      <c r="J51" s="95">
        <f t="shared" si="0"/>
        <v>1.5194964697820714E-2</v>
      </c>
      <c r="K51" s="95">
        <f>I51/'סכום נכסי הקרן'!$C$42</f>
        <v>2.4479036633919555E-5</v>
      </c>
    </row>
    <row r="52" spans="2:11">
      <c r="B52" s="87" t="s">
        <v>2469</v>
      </c>
      <c r="C52" s="84" t="s">
        <v>2470</v>
      </c>
      <c r="D52" s="97" t="s">
        <v>1838</v>
      </c>
      <c r="E52" s="97" t="s">
        <v>169</v>
      </c>
      <c r="F52" s="107">
        <v>43718</v>
      </c>
      <c r="G52" s="94">
        <v>86742500</v>
      </c>
      <c r="H52" s="96">
        <v>1.3130999999999999</v>
      </c>
      <c r="I52" s="94">
        <v>1139.05728</v>
      </c>
      <c r="J52" s="95">
        <f t="shared" si="0"/>
        <v>1.216828796756165E-2</v>
      </c>
      <c r="K52" s="95">
        <f>I52/'סכום נכסי הקרן'!$C$42</f>
        <v>1.9603070678587679E-5</v>
      </c>
    </row>
    <row r="53" spans="2:11">
      <c r="B53" s="87" t="s">
        <v>2471</v>
      </c>
      <c r="C53" s="84" t="s">
        <v>2472</v>
      </c>
      <c r="D53" s="97" t="s">
        <v>1838</v>
      </c>
      <c r="E53" s="97" t="s">
        <v>169</v>
      </c>
      <c r="F53" s="107">
        <v>43656</v>
      </c>
      <c r="G53" s="94">
        <v>131875200</v>
      </c>
      <c r="H53" s="96">
        <v>2.1034999999999999</v>
      </c>
      <c r="I53" s="94">
        <v>2773.9843900000001</v>
      </c>
      <c r="J53" s="95">
        <f t="shared" si="0"/>
        <v>2.963383972669122E-2</v>
      </c>
      <c r="K53" s="95">
        <f>I53/'סכום נכסי הקרן'!$C$42</f>
        <v>4.7740015373475273E-5</v>
      </c>
    </row>
    <row r="54" spans="2:11">
      <c r="B54" s="87" t="s">
        <v>2473</v>
      </c>
      <c r="C54" s="84" t="s">
        <v>2474</v>
      </c>
      <c r="D54" s="97" t="s">
        <v>1838</v>
      </c>
      <c r="E54" s="97" t="s">
        <v>169</v>
      </c>
      <c r="F54" s="107">
        <v>43656</v>
      </c>
      <c r="G54" s="94">
        <v>34710000</v>
      </c>
      <c r="H54" s="96">
        <v>2.1204000000000001</v>
      </c>
      <c r="I54" s="94">
        <v>735.98778000000004</v>
      </c>
      <c r="J54" s="95">
        <f t="shared" si="0"/>
        <v>7.862388841100609E-3</v>
      </c>
      <c r="K54" s="95">
        <f>I54/'סכום נכסי הקרן'!$C$42</f>
        <v>1.2666281778135723E-5</v>
      </c>
    </row>
    <row r="55" spans="2:11">
      <c r="B55" s="87" t="s">
        <v>2475</v>
      </c>
      <c r="C55" s="84" t="s">
        <v>2476</v>
      </c>
      <c r="D55" s="97" t="s">
        <v>1838</v>
      </c>
      <c r="E55" s="97" t="s">
        <v>169</v>
      </c>
      <c r="F55" s="107">
        <v>43656</v>
      </c>
      <c r="G55" s="94">
        <v>45149000</v>
      </c>
      <c r="H55" s="96">
        <v>2.1766999999999999</v>
      </c>
      <c r="I55" s="94">
        <v>982.74896000000001</v>
      </c>
      <c r="J55" s="95">
        <f t="shared" si="0"/>
        <v>1.049848199477881E-2</v>
      </c>
      <c r="K55" s="95">
        <f>I55/'סכום נכסי הקרן'!$C$42</f>
        <v>1.6913018915245891E-5</v>
      </c>
    </row>
    <row r="56" spans="2:11">
      <c r="B56" s="87" t="s">
        <v>2477</v>
      </c>
      <c r="C56" s="84" t="s">
        <v>2478</v>
      </c>
      <c r="D56" s="97" t="s">
        <v>1838</v>
      </c>
      <c r="E56" s="97" t="s">
        <v>169</v>
      </c>
      <c r="F56" s="107">
        <v>43734</v>
      </c>
      <c r="G56" s="94">
        <v>69500000</v>
      </c>
      <c r="H56" s="96">
        <v>0.63600000000000001</v>
      </c>
      <c r="I56" s="94">
        <v>442.04374999999999</v>
      </c>
      <c r="J56" s="95">
        <f t="shared" si="0"/>
        <v>4.7222521103248028E-3</v>
      </c>
      <c r="K56" s="95">
        <f>I56/'סכום נכסי הקרן'!$C$42</f>
        <v>7.6075321464763755E-6</v>
      </c>
    </row>
    <row r="57" spans="2:11">
      <c r="B57" s="87" t="s">
        <v>2479</v>
      </c>
      <c r="C57" s="84" t="s">
        <v>2480</v>
      </c>
      <c r="D57" s="97" t="s">
        <v>1838</v>
      </c>
      <c r="E57" s="97" t="s">
        <v>169</v>
      </c>
      <c r="F57" s="107">
        <v>43671</v>
      </c>
      <c r="G57" s="94">
        <v>160346800</v>
      </c>
      <c r="H57" s="96">
        <v>1.0132000000000001</v>
      </c>
      <c r="I57" s="94">
        <v>1624.6736799999999</v>
      </c>
      <c r="J57" s="95">
        <f t="shared" si="0"/>
        <v>1.7356016715470275E-2</v>
      </c>
      <c r="K57" s="95">
        <f>I57/'סכום נכסי הקרן'!$C$42</f>
        <v>2.7960484110756165E-5</v>
      </c>
    </row>
    <row r="58" spans="2:11">
      <c r="B58" s="87" t="s">
        <v>2481</v>
      </c>
      <c r="C58" s="84" t="s">
        <v>2482</v>
      </c>
      <c r="D58" s="97" t="s">
        <v>1838</v>
      </c>
      <c r="E58" s="97" t="s">
        <v>169</v>
      </c>
      <c r="F58" s="107">
        <v>43671</v>
      </c>
      <c r="G58" s="94">
        <v>80194100</v>
      </c>
      <c r="H58" s="96">
        <v>1.0387999999999999</v>
      </c>
      <c r="I58" s="94">
        <v>833.03187000000003</v>
      </c>
      <c r="J58" s="95">
        <f t="shared" si="0"/>
        <v>8.8990886220545306E-3</v>
      </c>
      <c r="K58" s="95">
        <f>I58/'סכום נכסי הקרן'!$C$42</f>
        <v>1.4336401611976935E-5</v>
      </c>
    </row>
    <row r="59" spans="2:11">
      <c r="B59" s="87" t="s">
        <v>2483</v>
      </c>
      <c r="C59" s="84" t="s">
        <v>2484</v>
      </c>
      <c r="D59" s="97" t="s">
        <v>1838</v>
      </c>
      <c r="E59" s="97" t="s">
        <v>169</v>
      </c>
      <c r="F59" s="107">
        <v>43654</v>
      </c>
      <c r="G59" s="94">
        <v>191950000</v>
      </c>
      <c r="H59" s="96">
        <v>2.2355999999999998</v>
      </c>
      <c r="I59" s="94">
        <v>4291.3041900000007</v>
      </c>
      <c r="J59" s="95">
        <f t="shared" si="0"/>
        <v>4.5843019536580196E-2</v>
      </c>
      <c r="K59" s="95">
        <f>I59/'סכום נכסי הקרן'!$C$42</f>
        <v>7.3852949115859619E-5</v>
      </c>
    </row>
    <row r="60" spans="2:11">
      <c r="B60" s="87" t="s">
        <v>2485</v>
      </c>
      <c r="C60" s="84" t="s">
        <v>2486</v>
      </c>
      <c r="D60" s="97" t="s">
        <v>1838</v>
      </c>
      <c r="E60" s="97" t="s">
        <v>169</v>
      </c>
      <c r="F60" s="107">
        <v>43654</v>
      </c>
      <c r="G60" s="94">
        <v>174650000</v>
      </c>
      <c r="H60" s="96">
        <v>2.3195000000000001</v>
      </c>
      <c r="I60" s="94">
        <v>4051.02547</v>
      </c>
      <c r="J60" s="95">
        <f t="shared" si="0"/>
        <v>4.3276177017969437E-2</v>
      </c>
      <c r="K60" s="95">
        <f>I60/'סכום נכסי הקרן'!$C$42</f>
        <v>6.9717774517159375E-5</v>
      </c>
    </row>
    <row r="61" spans="2:11">
      <c r="B61" s="87" t="s">
        <v>2487</v>
      </c>
      <c r="C61" s="84" t="s">
        <v>2488</v>
      </c>
      <c r="D61" s="97" t="s">
        <v>1838</v>
      </c>
      <c r="E61" s="97" t="s">
        <v>169</v>
      </c>
      <c r="F61" s="107">
        <v>43712</v>
      </c>
      <c r="G61" s="94">
        <v>204568650</v>
      </c>
      <c r="H61" s="96">
        <v>1.3882000000000001</v>
      </c>
      <c r="I61" s="94">
        <v>2839.87012</v>
      </c>
      <c r="J61" s="95">
        <f t="shared" si="0"/>
        <v>3.033768188605393E-2</v>
      </c>
      <c r="K61" s="95">
        <f>I61/'סכום נכסי הקרן'!$C$42</f>
        <v>4.8873902706955414E-5</v>
      </c>
    </row>
    <row r="62" spans="2:11">
      <c r="B62" s="87" t="s">
        <v>2489</v>
      </c>
      <c r="C62" s="84" t="s">
        <v>2490</v>
      </c>
      <c r="D62" s="97" t="s">
        <v>1838</v>
      </c>
      <c r="E62" s="97" t="s">
        <v>169</v>
      </c>
      <c r="F62" s="107">
        <v>43724</v>
      </c>
      <c r="G62" s="94">
        <v>52462500</v>
      </c>
      <c r="H62" s="96">
        <v>1.4341999999999999</v>
      </c>
      <c r="I62" s="94">
        <v>752.40303000000006</v>
      </c>
      <c r="J62" s="95">
        <f t="shared" si="0"/>
        <v>8.0377491961650324E-3</v>
      </c>
      <c r="K62" s="95">
        <f>I62/'סכום נכסי הקרן'!$C$42</f>
        <v>1.2948786715865181E-5</v>
      </c>
    </row>
    <row r="63" spans="2:11">
      <c r="B63" s="87" t="s">
        <v>2491</v>
      </c>
      <c r="C63" s="84" t="s">
        <v>2492</v>
      </c>
      <c r="D63" s="97" t="s">
        <v>1838</v>
      </c>
      <c r="E63" s="97" t="s">
        <v>169</v>
      </c>
      <c r="F63" s="107">
        <v>43731</v>
      </c>
      <c r="G63" s="94">
        <v>101479700</v>
      </c>
      <c r="H63" s="96">
        <v>1.3534999999999999</v>
      </c>
      <c r="I63" s="94">
        <v>1373.5695800000001</v>
      </c>
      <c r="J63" s="95">
        <f t="shared" si="0"/>
        <v>1.4673529142382296E-2</v>
      </c>
      <c r="K63" s="95">
        <f>I63/'סכום נכסי הקרן'!$C$42</f>
        <v>2.3639005721203058E-5</v>
      </c>
    </row>
    <row r="64" spans="2:11">
      <c r="B64" s="87" t="s">
        <v>2493</v>
      </c>
      <c r="C64" s="84" t="s">
        <v>2494</v>
      </c>
      <c r="D64" s="97" t="s">
        <v>1838</v>
      </c>
      <c r="E64" s="97" t="s">
        <v>169</v>
      </c>
      <c r="F64" s="107">
        <v>43724</v>
      </c>
      <c r="G64" s="94">
        <v>105000000</v>
      </c>
      <c r="H64" s="96">
        <v>1.5045999999999999</v>
      </c>
      <c r="I64" s="94">
        <v>1579.7812900000001</v>
      </c>
      <c r="J64" s="95">
        <f t="shared" si="0"/>
        <v>1.6876441597815012E-2</v>
      </c>
      <c r="K64" s="95">
        <f>I64/'סכום נכסי הקרן'!$C$42</f>
        <v>2.7187890221447352E-5</v>
      </c>
    </row>
    <row r="65" spans="2:11">
      <c r="B65" s="87" t="s">
        <v>2495</v>
      </c>
      <c r="C65" s="84" t="s">
        <v>2496</v>
      </c>
      <c r="D65" s="97" t="s">
        <v>1838</v>
      </c>
      <c r="E65" s="97" t="s">
        <v>169</v>
      </c>
      <c r="F65" s="107">
        <v>43724</v>
      </c>
      <c r="G65" s="94">
        <v>105090000</v>
      </c>
      <c r="H65" s="96">
        <v>1.5938000000000001</v>
      </c>
      <c r="I65" s="94">
        <v>1674.89004</v>
      </c>
      <c r="J65" s="95">
        <f t="shared" si="0"/>
        <v>1.7892466584929646E-2</v>
      </c>
      <c r="K65" s="95">
        <f>I65/'סכום נכסי הקרן'!$C$42</f>
        <v>2.8824703032478354E-5</v>
      </c>
    </row>
    <row r="66" spans="2:11">
      <c r="B66" s="87" t="s">
        <v>2497</v>
      </c>
      <c r="C66" s="84" t="s">
        <v>2498</v>
      </c>
      <c r="D66" s="97" t="s">
        <v>1838</v>
      </c>
      <c r="E66" s="97" t="s">
        <v>169</v>
      </c>
      <c r="F66" s="107">
        <v>43647</v>
      </c>
      <c r="G66" s="94">
        <v>66576000</v>
      </c>
      <c r="H66" s="96">
        <v>2.1425999999999998</v>
      </c>
      <c r="I66" s="94">
        <v>1426.4393700000001</v>
      </c>
      <c r="J66" s="95">
        <f t="shared" si="0"/>
        <v>1.5238324996638642E-2</v>
      </c>
      <c r="K66" s="95">
        <f>I66/'סכום נכסי הקרן'!$C$42</f>
        <v>2.4548889928371364E-5</v>
      </c>
    </row>
    <row r="67" spans="2:11">
      <c r="B67" s="87" t="s">
        <v>2499</v>
      </c>
      <c r="C67" s="84" t="s">
        <v>2500</v>
      </c>
      <c r="D67" s="97" t="s">
        <v>1838</v>
      </c>
      <c r="E67" s="97" t="s">
        <v>169</v>
      </c>
      <c r="F67" s="107">
        <v>43647</v>
      </c>
      <c r="G67" s="94">
        <v>87625000</v>
      </c>
      <c r="H67" s="96">
        <v>2.1705000000000001</v>
      </c>
      <c r="I67" s="94">
        <v>1901.8758</v>
      </c>
      <c r="J67" s="95">
        <f t="shared" si="0"/>
        <v>2.0317303457238506E-2</v>
      </c>
      <c r="K67" s="95">
        <f>I67/'סכום נכסי הקרן'!$C$42</f>
        <v>3.2731107016229668E-5</v>
      </c>
    </row>
    <row r="68" spans="2:11">
      <c r="B68" s="87" t="s">
        <v>2501</v>
      </c>
      <c r="C68" s="84" t="s">
        <v>2502</v>
      </c>
      <c r="D68" s="97" t="s">
        <v>1838</v>
      </c>
      <c r="E68" s="97" t="s">
        <v>169</v>
      </c>
      <c r="F68" s="107">
        <v>43718</v>
      </c>
      <c r="G68" s="94">
        <v>105255000</v>
      </c>
      <c r="H68" s="96">
        <v>1.6216999999999999</v>
      </c>
      <c r="I68" s="94">
        <v>1706.8816000000002</v>
      </c>
      <c r="J68" s="95">
        <f t="shared" si="0"/>
        <v>1.8234225091237184E-2</v>
      </c>
      <c r="K68" s="95">
        <f>I68/'סכום נכסי הקרן'!$C$42</f>
        <v>2.9375274827953187E-5</v>
      </c>
    </row>
    <row r="69" spans="2:11">
      <c r="B69" s="87" t="s">
        <v>2503</v>
      </c>
      <c r="C69" s="84" t="s">
        <v>2504</v>
      </c>
      <c r="D69" s="97" t="s">
        <v>1838</v>
      </c>
      <c r="E69" s="97" t="s">
        <v>169</v>
      </c>
      <c r="F69" s="107">
        <v>43720</v>
      </c>
      <c r="G69" s="94">
        <v>105459000</v>
      </c>
      <c r="H69" s="96">
        <v>1.8758999999999999</v>
      </c>
      <c r="I69" s="94">
        <v>1978.3525099999999</v>
      </c>
      <c r="J69" s="95">
        <f t="shared" si="0"/>
        <v>2.1134286629578794E-2</v>
      </c>
      <c r="K69" s="95">
        <f>I69/'סכום נכסי הקרן'!$C$42</f>
        <v>3.404726413819271E-5</v>
      </c>
    </row>
    <row r="70" spans="2:11">
      <c r="B70" s="87" t="s">
        <v>2505</v>
      </c>
      <c r="C70" s="84" t="s">
        <v>2506</v>
      </c>
      <c r="D70" s="97" t="s">
        <v>1838</v>
      </c>
      <c r="E70" s="97" t="s">
        <v>169</v>
      </c>
      <c r="F70" s="107">
        <v>43711</v>
      </c>
      <c r="G70" s="94">
        <v>26367750</v>
      </c>
      <c r="H70" s="96">
        <v>1.8458000000000001</v>
      </c>
      <c r="I70" s="94">
        <v>486.69988000000001</v>
      </c>
      <c r="J70" s="95">
        <f t="shared" si="0"/>
        <v>5.1993033165265391E-3</v>
      </c>
      <c r="K70" s="95">
        <f>I70/'סכום נכסי הקרן'!$C$42</f>
        <v>8.3760600229868529E-6</v>
      </c>
    </row>
    <row r="71" spans="2:11">
      <c r="B71" s="87" t="s">
        <v>2507</v>
      </c>
      <c r="C71" s="84" t="s">
        <v>2508</v>
      </c>
      <c r="D71" s="97" t="s">
        <v>1838</v>
      </c>
      <c r="E71" s="97" t="s">
        <v>169</v>
      </c>
      <c r="F71" s="107">
        <v>43711</v>
      </c>
      <c r="G71" s="94">
        <v>140656000</v>
      </c>
      <c r="H71" s="96">
        <v>1.8653</v>
      </c>
      <c r="I71" s="94">
        <v>2623.7262400000004</v>
      </c>
      <c r="J71" s="95">
        <f t="shared" si="0"/>
        <v>2.8028666333942201E-2</v>
      </c>
      <c r="K71" s="95">
        <f>I71/'סכום נכסי הקרן'!$C$42</f>
        <v>4.5154086477534391E-5</v>
      </c>
    </row>
    <row r="72" spans="2:11">
      <c r="B72" s="87" t="s">
        <v>2509</v>
      </c>
      <c r="C72" s="84" t="s">
        <v>2510</v>
      </c>
      <c r="D72" s="97" t="s">
        <v>1838</v>
      </c>
      <c r="E72" s="97" t="s">
        <v>169</v>
      </c>
      <c r="F72" s="107">
        <v>43788</v>
      </c>
      <c r="G72" s="94">
        <v>20358900</v>
      </c>
      <c r="H72" s="96">
        <v>-0.17180000000000001</v>
      </c>
      <c r="I72" s="94">
        <v>-34.971609999999998</v>
      </c>
      <c r="J72" s="95">
        <f t="shared" si="0"/>
        <v>-3.7359369773683258E-4</v>
      </c>
      <c r="K72" s="95">
        <f>I72/'סכום נכסי הקרן'!$C$42</f>
        <v>-6.0185818098103338E-7</v>
      </c>
    </row>
    <row r="73" spans="2:11">
      <c r="B73" s="87" t="s">
        <v>2511</v>
      </c>
      <c r="C73" s="84" t="s">
        <v>2512</v>
      </c>
      <c r="D73" s="97" t="s">
        <v>1838</v>
      </c>
      <c r="E73" s="97" t="s">
        <v>169</v>
      </c>
      <c r="F73" s="107">
        <v>43787</v>
      </c>
      <c r="G73" s="94">
        <v>44151900</v>
      </c>
      <c r="H73" s="96">
        <v>-0.1119</v>
      </c>
      <c r="I73" s="94">
        <v>-49.412480000000002</v>
      </c>
      <c r="J73" s="95">
        <f t="shared" si="0"/>
        <v>-5.2786220358591682E-4</v>
      </c>
      <c r="K73" s="95">
        <f>I73/'סכום נכסי הקרן'!$C$42</f>
        <v>-8.50384221102823E-7</v>
      </c>
    </row>
    <row r="74" spans="2:11">
      <c r="B74" s="87" t="s">
        <v>2513</v>
      </c>
      <c r="C74" s="84" t="s">
        <v>2514</v>
      </c>
      <c r="D74" s="97" t="s">
        <v>1838</v>
      </c>
      <c r="E74" s="97" t="s">
        <v>169</v>
      </c>
      <c r="F74" s="107">
        <v>43787</v>
      </c>
      <c r="G74" s="94">
        <v>95152400</v>
      </c>
      <c r="H74" s="96">
        <v>-5.3100000000000001E-2</v>
      </c>
      <c r="I74" s="94">
        <v>-50.499580000000002</v>
      </c>
      <c r="J74" s="95">
        <f t="shared" si="0"/>
        <v>-5.3947544383449876E-4</v>
      </c>
      <c r="K74" s="95">
        <f>I74/'סכום נכסי הקרן'!$C$42</f>
        <v>-8.6909311178713752E-7</v>
      </c>
    </row>
    <row r="75" spans="2:11">
      <c r="B75" s="87" t="s">
        <v>2515</v>
      </c>
      <c r="C75" s="84" t="s">
        <v>2516</v>
      </c>
      <c r="D75" s="97" t="s">
        <v>1838</v>
      </c>
      <c r="E75" s="97" t="s">
        <v>169</v>
      </c>
      <c r="F75" s="107">
        <v>43803</v>
      </c>
      <c r="G75" s="94">
        <v>102924000</v>
      </c>
      <c r="H75" s="96">
        <v>8.5500000000000007E-2</v>
      </c>
      <c r="I75" s="94">
        <v>88.01549</v>
      </c>
      <c r="J75" s="95">
        <f t="shared" si="0"/>
        <v>9.4024931557967187E-4</v>
      </c>
      <c r="K75" s="95">
        <f>I75/'סכום נכסי הקרן'!$C$42</f>
        <v>1.5147384609846197E-6</v>
      </c>
    </row>
    <row r="76" spans="2:11">
      <c r="B76" s="87" t="s">
        <v>2517</v>
      </c>
      <c r="C76" s="84" t="s">
        <v>2518</v>
      </c>
      <c r="D76" s="97" t="s">
        <v>1838</v>
      </c>
      <c r="E76" s="97" t="s">
        <v>169</v>
      </c>
      <c r="F76" s="107">
        <v>43780</v>
      </c>
      <c r="G76" s="94">
        <v>51504000</v>
      </c>
      <c r="H76" s="96">
        <v>0.94179999999999997</v>
      </c>
      <c r="I76" s="94">
        <v>485.04061999999999</v>
      </c>
      <c r="J76" s="95">
        <f t="shared" ref="J76:J115" si="1">I76/$I$11</f>
        <v>5.1815778220781336E-3</v>
      </c>
      <c r="K76" s="95">
        <f>I76/'סכום נכסי הקרן'!$C$42</f>
        <v>8.3475043115004611E-6</v>
      </c>
    </row>
    <row r="77" spans="2:11">
      <c r="B77" s="87" t="s">
        <v>2519</v>
      </c>
      <c r="C77" s="84" t="s">
        <v>2520</v>
      </c>
      <c r="D77" s="97" t="s">
        <v>1838</v>
      </c>
      <c r="E77" s="97" t="s">
        <v>169</v>
      </c>
      <c r="F77" s="107">
        <v>43803</v>
      </c>
      <c r="G77" s="94">
        <v>103194000</v>
      </c>
      <c r="H77" s="96">
        <v>0.3906</v>
      </c>
      <c r="I77" s="94">
        <v>403.05932999999999</v>
      </c>
      <c r="J77" s="95">
        <f t="shared" si="1"/>
        <v>4.3057904826809589E-3</v>
      </c>
      <c r="K77" s="95">
        <f>I77/'סכום נכסי הקרן'!$C$42</f>
        <v>6.9366138756904261E-6</v>
      </c>
    </row>
    <row r="78" spans="2:11">
      <c r="B78" s="87" t="s">
        <v>2521</v>
      </c>
      <c r="C78" s="84" t="s">
        <v>2522</v>
      </c>
      <c r="D78" s="97" t="s">
        <v>1838</v>
      </c>
      <c r="E78" s="97" t="s">
        <v>169</v>
      </c>
      <c r="F78" s="107">
        <v>43795</v>
      </c>
      <c r="G78" s="94">
        <v>34400000</v>
      </c>
      <c r="H78" s="96">
        <v>0.14829999999999999</v>
      </c>
      <c r="I78" s="94">
        <v>51.02722</v>
      </c>
      <c r="J78" s="95">
        <f t="shared" si="1"/>
        <v>5.4511210107372398E-4</v>
      </c>
      <c r="K78" s="95">
        <f>I78/'סכום נכסי הקרן'!$C$42</f>
        <v>8.7817374749744167E-7</v>
      </c>
    </row>
    <row r="79" spans="2:11">
      <c r="B79" s="87" t="s">
        <v>2523</v>
      </c>
      <c r="C79" s="84" t="s">
        <v>2524</v>
      </c>
      <c r="D79" s="97" t="s">
        <v>1838</v>
      </c>
      <c r="E79" s="97" t="s">
        <v>169</v>
      </c>
      <c r="F79" s="107">
        <v>43801</v>
      </c>
      <c r="G79" s="94">
        <v>51600000</v>
      </c>
      <c r="H79" s="96">
        <v>0.21629999999999999</v>
      </c>
      <c r="I79" s="94">
        <v>111.62416999999999</v>
      </c>
      <c r="J79" s="95">
        <f t="shared" si="1"/>
        <v>1.1924554353404035E-3</v>
      </c>
      <c r="K79" s="95">
        <f>I79/'סכום נכסי הקרן'!$C$42</f>
        <v>1.9210416652169469E-6</v>
      </c>
    </row>
    <row r="80" spans="2:11">
      <c r="B80" s="87" t="s">
        <v>2525</v>
      </c>
      <c r="C80" s="84" t="s">
        <v>2526</v>
      </c>
      <c r="D80" s="97" t="s">
        <v>1838</v>
      </c>
      <c r="E80" s="97" t="s">
        <v>169</v>
      </c>
      <c r="F80" s="107">
        <v>43801</v>
      </c>
      <c r="G80" s="94">
        <v>42140000</v>
      </c>
      <c r="H80" s="96">
        <v>0.21629999999999999</v>
      </c>
      <c r="I80" s="94">
        <v>91.159739999999999</v>
      </c>
      <c r="J80" s="95">
        <f t="shared" si="1"/>
        <v>9.7383861799122903E-4</v>
      </c>
      <c r="K80" s="95">
        <f>I80/'סכום נכסי הקרן'!$C$42</f>
        <v>1.5688507133387325E-6</v>
      </c>
    </row>
    <row r="81" spans="2:11">
      <c r="B81" s="87" t="s">
        <v>2527</v>
      </c>
      <c r="C81" s="84" t="s">
        <v>2528</v>
      </c>
      <c r="D81" s="97" t="s">
        <v>1838</v>
      </c>
      <c r="E81" s="97" t="s">
        <v>169</v>
      </c>
      <c r="F81" s="107">
        <v>43795</v>
      </c>
      <c r="G81" s="94">
        <v>51615000</v>
      </c>
      <c r="H81" s="96">
        <v>0.17730000000000001</v>
      </c>
      <c r="I81" s="94">
        <v>91.532039999999995</v>
      </c>
      <c r="J81" s="95">
        <f t="shared" si="1"/>
        <v>9.7781581359839215E-4</v>
      </c>
      <c r="K81" s="95">
        <f>I81/'סכום נכסי הקרן'!$C$42</f>
        <v>1.57525796198354E-6</v>
      </c>
    </row>
    <row r="82" spans="2:11">
      <c r="B82" s="87" t="s">
        <v>2529</v>
      </c>
      <c r="C82" s="84" t="s">
        <v>2530</v>
      </c>
      <c r="D82" s="97" t="s">
        <v>1838</v>
      </c>
      <c r="E82" s="97" t="s">
        <v>169</v>
      </c>
      <c r="F82" s="107">
        <v>43801</v>
      </c>
      <c r="G82" s="94">
        <v>51619500</v>
      </c>
      <c r="H82" s="96">
        <v>0.254</v>
      </c>
      <c r="I82" s="94">
        <v>131.11166</v>
      </c>
      <c r="J82" s="95">
        <f t="shared" si="1"/>
        <v>1.4006358264836637E-3</v>
      </c>
      <c r="K82" s="95">
        <f>I82/'סכום נכסי הקרן'!$C$42</f>
        <v>2.2564195698454751E-6</v>
      </c>
    </row>
    <row r="83" spans="2:11">
      <c r="B83" s="87" t="s">
        <v>2531</v>
      </c>
      <c r="C83" s="84" t="s">
        <v>2532</v>
      </c>
      <c r="D83" s="97" t="s">
        <v>1838</v>
      </c>
      <c r="E83" s="97" t="s">
        <v>169</v>
      </c>
      <c r="F83" s="107">
        <v>43801</v>
      </c>
      <c r="G83" s="94">
        <v>86035000</v>
      </c>
      <c r="H83" s="96">
        <v>0.25690000000000002</v>
      </c>
      <c r="I83" s="94">
        <v>221.01782999999998</v>
      </c>
      <c r="J83" s="95">
        <f t="shared" si="1"/>
        <v>2.3610828433540988E-3</v>
      </c>
      <c r="K83" s="95">
        <f>I83/'סכום נכסי הקרן'!$C$42</f>
        <v>3.803696459161453E-6</v>
      </c>
    </row>
    <row r="84" spans="2:11">
      <c r="B84" s="87" t="s">
        <v>2533</v>
      </c>
      <c r="C84" s="84" t="s">
        <v>2534</v>
      </c>
      <c r="D84" s="97" t="s">
        <v>1838</v>
      </c>
      <c r="E84" s="97" t="s">
        <v>169</v>
      </c>
      <c r="F84" s="107">
        <v>43794</v>
      </c>
      <c r="G84" s="94">
        <v>103287000</v>
      </c>
      <c r="H84" s="96">
        <v>-1.9300000000000001E-2</v>
      </c>
      <c r="I84" s="94">
        <v>-19.924409999999998</v>
      </c>
      <c r="J84" s="95">
        <f t="shared" si="1"/>
        <v>-2.1284790740617099E-4</v>
      </c>
      <c r="K84" s="95">
        <f>I84/'סכום נכסי הקרן'!$C$42</f>
        <v>-3.428972575103151E-7</v>
      </c>
    </row>
    <row r="85" spans="2:11">
      <c r="B85" s="87" t="s">
        <v>2535</v>
      </c>
      <c r="C85" s="84" t="s">
        <v>2536</v>
      </c>
      <c r="D85" s="97" t="s">
        <v>1838</v>
      </c>
      <c r="E85" s="97" t="s">
        <v>169</v>
      </c>
      <c r="F85" s="107">
        <v>43804</v>
      </c>
      <c r="G85" s="94">
        <v>51646500</v>
      </c>
      <c r="H85" s="96">
        <v>-1.89E-2</v>
      </c>
      <c r="I85" s="94">
        <v>-9.7459400000000009</v>
      </c>
      <c r="J85" s="95">
        <f t="shared" si="1"/>
        <v>-1.0411364425376202E-4</v>
      </c>
      <c r="K85" s="95">
        <f>I85/'סכום נכסי הקרן'!$C$42</f>
        <v>-1.6772672806171328E-7</v>
      </c>
    </row>
    <row r="86" spans="2:11">
      <c r="B86" s="87" t="s">
        <v>2537</v>
      </c>
      <c r="C86" s="84" t="s">
        <v>2538</v>
      </c>
      <c r="D86" s="97" t="s">
        <v>1838</v>
      </c>
      <c r="E86" s="97" t="s">
        <v>169</v>
      </c>
      <c r="F86" s="107">
        <v>43802</v>
      </c>
      <c r="G86" s="94">
        <v>86087500</v>
      </c>
      <c r="H86" s="96">
        <v>0.38569999999999999</v>
      </c>
      <c r="I86" s="94">
        <v>332.01494000000002</v>
      </c>
      <c r="J86" s="95">
        <f t="shared" si="1"/>
        <v>3.5468395403721077E-3</v>
      </c>
      <c r="K86" s="95">
        <f>I86/'סכום נכסי הקרן'!$C$42</f>
        <v>5.7139464796424001E-6</v>
      </c>
    </row>
    <row r="87" spans="2:11">
      <c r="B87" s="87" t="s">
        <v>2539</v>
      </c>
      <c r="C87" s="84" t="s">
        <v>2540</v>
      </c>
      <c r="D87" s="97" t="s">
        <v>1838</v>
      </c>
      <c r="E87" s="97" t="s">
        <v>169</v>
      </c>
      <c r="F87" s="107">
        <v>43804</v>
      </c>
      <c r="G87" s="94">
        <v>68874000</v>
      </c>
      <c r="H87" s="96">
        <v>-2.81E-2</v>
      </c>
      <c r="I87" s="94">
        <v>-19.360939999999999</v>
      </c>
      <c r="J87" s="95">
        <f t="shared" si="1"/>
        <v>-2.0682848648549354E-4</v>
      </c>
      <c r="K87" s="95">
        <f>I87/'סכום נכסי הקרן'!$C$42</f>
        <v>-3.3319999080634059E-7</v>
      </c>
    </row>
    <row r="88" spans="2:11">
      <c r="B88" s="87" t="s">
        <v>2541</v>
      </c>
      <c r="C88" s="84" t="s">
        <v>2542</v>
      </c>
      <c r="D88" s="97" t="s">
        <v>1838</v>
      </c>
      <c r="E88" s="97" t="s">
        <v>169</v>
      </c>
      <c r="F88" s="107">
        <v>43804</v>
      </c>
      <c r="G88" s="94">
        <v>103314000</v>
      </c>
      <c r="H88" s="96">
        <v>-2.52E-2</v>
      </c>
      <c r="I88" s="94">
        <v>-26.042560000000002</v>
      </c>
      <c r="J88" s="95">
        <f t="shared" si="1"/>
        <v>-2.7820670220597016E-4</v>
      </c>
      <c r="K88" s="95">
        <f>I88/'סכום נכסי הקרן'!$C$42</f>
        <v>-4.4819005443814058E-7</v>
      </c>
    </row>
    <row r="89" spans="2:11">
      <c r="B89" s="87" t="s">
        <v>2543</v>
      </c>
      <c r="C89" s="84" t="s">
        <v>2544</v>
      </c>
      <c r="D89" s="97" t="s">
        <v>1838</v>
      </c>
      <c r="E89" s="97" t="s">
        <v>169</v>
      </c>
      <c r="F89" s="107">
        <v>43802</v>
      </c>
      <c r="G89" s="94">
        <v>182547900</v>
      </c>
      <c r="H89" s="96">
        <v>0.46710000000000002</v>
      </c>
      <c r="I89" s="94">
        <v>852.70642000000009</v>
      </c>
      <c r="J89" s="95">
        <f t="shared" si="1"/>
        <v>9.1092673323228939E-3</v>
      </c>
      <c r="K89" s="95">
        <f>I89/'סכום נכסי הקרן'!$C$42</f>
        <v>1.4674998801943895E-5</v>
      </c>
    </row>
    <row r="90" spans="2:11">
      <c r="B90" s="87" t="s">
        <v>2545</v>
      </c>
      <c r="C90" s="84" t="s">
        <v>2546</v>
      </c>
      <c r="D90" s="97" t="s">
        <v>1838</v>
      </c>
      <c r="E90" s="97" t="s">
        <v>169</v>
      </c>
      <c r="F90" s="107">
        <v>43802</v>
      </c>
      <c r="G90" s="94">
        <v>68912000</v>
      </c>
      <c r="H90" s="96">
        <v>0.44629999999999997</v>
      </c>
      <c r="I90" s="94">
        <v>307.58276000000001</v>
      </c>
      <c r="J90" s="95">
        <f t="shared" si="1"/>
        <v>3.2858361587728081E-3</v>
      </c>
      <c r="K90" s="95">
        <f>I90/'סכום נכסי הקרן'!$C$42</f>
        <v>5.2934709164012117E-6</v>
      </c>
    </row>
    <row r="91" spans="2:11">
      <c r="B91" s="87" t="s">
        <v>2547</v>
      </c>
      <c r="C91" s="84" t="s">
        <v>2548</v>
      </c>
      <c r="D91" s="97" t="s">
        <v>1838</v>
      </c>
      <c r="E91" s="97" t="s">
        <v>169</v>
      </c>
      <c r="F91" s="107">
        <v>43794</v>
      </c>
      <c r="G91" s="94">
        <v>93036600</v>
      </c>
      <c r="H91" s="96">
        <v>6.4899999999999999E-2</v>
      </c>
      <c r="I91" s="94">
        <v>60.336480000000002</v>
      </c>
      <c r="J91" s="95">
        <f t="shared" si="1"/>
        <v>6.4456079292959185E-4</v>
      </c>
      <c r="K91" s="95">
        <f>I91/'סכום נכסי הקרן'!$C$42</f>
        <v>1.0383852530552211E-6</v>
      </c>
    </row>
    <row r="92" spans="2:11">
      <c r="B92" s="87" t="s">
        <v>2549</v>
      </c>
      <c r="C92" s="84" t="s">
        <v>2550</v>
      </c>
      <c r="D92" s="97" t="s">
        <v>1838</v>
      </c>
      <c r="E92" s="97" t="s">
        <v>169</v>
      </c>
      <c r="F92" s="107">
        <v>43794</v>
      </c>
      <c r="G92" s="94">
        <v>103380000</v>
      </c>
      <c r="H92" s="96">
        <v>7.0699999999999999E-2</v>
      </c>
      <c r="I92" s="94">
        <v>73.038119999999992</v>
      </c>
      <c r="J92" s="95">
        <f t="shared" si="1"/>
        <v>7.8024950314116231E-4</v>
      </c>
      <c r="K92" s="95">
        <f>I92/'סכום נכסי הקרן'!$C$42</f>
        <v>1.256979305370111E-6</v>
      </c>
    </row>
    <row r="93" spans="2:11">
      <c r="B93" s="87" t="s">
        <v>2551</v>
      </c>
      <c r="C93" s="84" t="s">
        <v>2552</v>
      </c>
      <c r="D93" s="97" t="s">
        <v>1838</v>
      </c>
      <c r="E93" s="97" t="s">
        <v>169</v>
      </c>
      <c r="F93" s="107">
        <v>43803</v>
      </c>
      <c r="G93" s="94">
        <v>68920000</v>
      </c>
      <c r="H93" s="96">
        <v>0.56969999999999998</v>
      </c>
      <c r="I93" s="94">
        <v>392.60971999999998</v>
      </c>
      <c r="J93" s="95">
        <f t="shared" si="1"/>
        <v>4.1941596930259277E-3</v>
      </c>
      <c r="K93" s="95">
        <f>I93/'סכום נכסי הקרן'!$C$42</f>
        <v>6.7567770518621484E-6</v>
      </c>
    </row>
    <row r="94" spans="2:11">
      <c r="B94" s="87" t="s">
        <v>2553</v>
      </c>
      <c r="C94" s="84" t="s">
        <v>2554</v>
      </c>
      <c r="D94" s="97" t="s">
        <v>1838</v>
      </c>
      <c r="E94" s="97" t="s">
        <v>169</v>
      </c>
      <c r="F94" s="107">
        <v>43802</v>
      </c>
      <c r="G94" s="94">
        <v>68934000</v>
      </c>
      <c r="H94" s="96">
        <v>0.47810000000000002</v>
      </c>
      <c r="I94" s="94">
        <v>329.56747999999999</v>
      </c>
      <c r="J94" s="95">
        <f t="shared" si="1"/>
        <v>3.5206938858980074E-3</v>
      </c>
      <c r="K94" s="95">
        <f>I94/'סכום נכסי הקרן'!$C$42</f>
        <v>5.6718259188897249E-6</v>
      </c>
    </row>
    <row r="95" spans="2:11">
      <c r="B95" s="87" t="s">
        <v>2555</v>
      </c>
      <c r="C95" s="84" t="s">
        <v>2556</v>
      </c>
      <c r="D95" s="97" t="s">
        <v>1838</v>
      </c>
      <c r="E95" s="97" t="s">
        <v>169</v>
      </c>
      <c r="F95" s="107">
        <v>43801</v>
      </c>
      <c r="G95" s="94">
        <v>86170000</v>
      </c>
      <c r="H95" s="96">
        <v>0.27739999999999998</v>
      </c>
      <c r="I95" s="94">
        <v>239.06887</v>
      </c>
      <c r="J95" s="95">
        <f t="shared" si="1"/>
        <v>2.5539179682338366E-3</v>
      </c>
      <c r="K95" s="95">
        <f>I95/'סכום נכסי הקרן'!$C$42</f>
        <v>4.1143531918430731E-6</v>
      </c>
    </row>
    <row r="96" spans="2:11">
      <c r="B96" s="87" t="s">
        <v>2557</v>
      </c>
      <c r="C96" s="84" t="s">
        <v>2558</v>
      </c>
      <c r="D96" s="97" t="s">
        <v>1838</v>
      </c>
      <c r="E96" s="97" t="s">
        <v>169</v>
      </c>
      <c r="F96" s="107">
        <v>43789</v>
      </c>
      <c r="G96" s="94">
        <v>172405000</v>
      </c>
      <c r="H96" s="96">
        <v>0.13689999999999999</v>
      </c>
      <c r="I96" s="94">
        <v>235.99367000000001</v>
      </c>
      <c r="J96" s="95">
        <f t="shared" si="1"/>
        <v>2.5210663111531273E-3</v>
      </c>
      <c r="K96" s="95">
        <f>I96/'סכום נכסי הקרן'!$C$42</f>
        <v>4.0614292836171476E-6</v>
      </c>
    </row>
    <row r="97" spans="2:11">
      <c r="B97" s="87" t="s">
        <v>2559</v>
      </c>
      <c r="C97" s="84" t="s">
        <v>2560</v>
      </c>
      <c r="D97" s="97" t="s">
        <v>1838</v>
      </c>
      <c r="E97" s="97" t="s">
        <v>169</v>
      </c>
      <c r="F97" s="107">
        <v>43829</v>
      </c>
      <c r="G97" s="94">
        <v>103476000</v>
      </c>
      <c r="H97" s="96">
        <v>0.24529999999999999</v>
      </c>
      <c r="I97" s="94">
        <v>253.874</v>
      </c>
      <c r="J97" s="95">
        <f t="shared" si="1"/>
        <v>2.7120777802120241E-3</v>
      </c>
      <c r="K97" s="95">
        <f>I97/'סכום נכסי הקרן'!$C$42</f>
        <v>4.3691481129515876E-6</v>
      </c>
    </row>
    <row r="98" spans="2:11">
      <c r="B98" s="87" t="s">
        <v>2561</v>
      </c>
      <c r="C98" s="84" t="s">
        <v>2562</v>
      </c>
      <c r="D98" s="97" t="s">
        <v>1838</v>
      </c>
      <c r="E98" s="97" t="s">
        <v>169</v>
      </c>
      <c r="F98" s="107">
        <v>43808</v>
      </c>
      <c r="G98" s="94">
        <v>51754500</v>
      </c>
      <c r="H98" s="96">
        <v>0.23330000000000001</v>
      </c>
      <c r="I98" s="94">
        <v>120.73235000000001</v>
      </c>
      <c r="J98" s="95">
        <f t="shared" si="1"/>
        <v>1.2897560356231093E-3</v>
      </c>
      <c r="K98" s="95">
        <f>I98/'סכום נכסי הקרן'!$C$42</f>
        <v>2.0777926025300371E-6</v>
      </c>
    </row>
    <row r="99" spans="2:11">
      <c r="B99" s="87" t="s">
        <v>2563</v>
      </c>
      <c r="C99" s="84" t="s">
        <v>2564</v>
      </c>
      <c r="D99" s="97" t="s">
        <v>1838</v>
      </c>
      <c r="E99" s="97" t="s">
        <v>169</v>
      </c>
      <c r="F99" s="107">
        <v>43801</v>
      </c>
      <c r="G99" s="94">
        <v>69030000</v>
      </c>
      <c r="H99" s="96">
        <v>0.22450000000000001</v>
      </c>
      <c r="I99" s="94">
        <v>154.93818999999999</v>
      </c>
      <c r="J99" s="95">
        <f t="shared" si="1"/>
        <v>1.6551691878856E-3</v>
      </c>
      <c r="K99" s="95">
        <f>I99/'סכום נכסי הקרן'!$C$42</f>
        <v>2.6664719524749857E-6</v>
      </c>
    </row>
    <row r="100" spans="2:11">
      <c r="B100" s="87" t="s">
        <v>2565</v>
      </c>
      <c r="C100" s="84" t="s">
        <v>2566</v>
      </c>
      <c r="D100" s="97" t="s">
        <v>1838</v>
      </c>
      <c r="E100" s="97" t="s">
        <v>169</v>
      </c>
      <c r="F100" s="107">
        <v>43822</v>
      </c>
      <c r="G100" s="94">
        <v>69030000</v>
      </c>
      <c r="H100" s="96">
        <v>0.27900000000000003</v>
      </c>
      <c r="I100" s="94">
        <v>192.59892000000002</v>
      </c>
      <c r="J100" s="95">
        <f t="shared" si="1"/>
        <v>2.0574901385129367E-3</v>
      </c>
      <c r="K100" s="95">
        <f>I100/'סכום נכסי הקרן'!$C$42</f>
        <v>3.3146096405087325E-6</v>
      </c>
    </row>
    <row r="101" spans="2:11">
      <c r="B101" s="87" t="s">
        <v>2567</v>
      </c>
      <c r="C101" s="84" t="s">
        <v>2568</v>
      </c>
      <c r="D101" s="97" t="s">
        <v>1838</v>
      </c>
      <c r="E101" s="97" t="s">
        <v>169</v>
      </c>
      <c r="F101" s="107">
        <v>43822</v>
      </c>
      <c r="G101" s="94">
        <v>86317500</v>
      </c>
      <c r="H101" s="96">
        <v>0.31369999999999998</v>
      </c>
      <c r="I101" s="94">
        <v>270.73588000000001</v>
      </c>
      <c r="J101" s="95">
        <f t="shared" si="1"/>
        <v>2.8922093812448263E-3</v>
      </c>
      <c r="K101" s="95">
        <f>I101/'סכום נכסי הקרן'!$C$42</f>
        <v>4.6593395117668116E-6</v>
      </c>
    </row>
    <row r="102" spans="2:11">
      <c r="B102" s="87" t="s">
        <v>2569</v>
      </c>
      <c r="C102" s="84" t="s">
        <v>2570</v>
      </c>
      <c r="D102" s="97" t="s">
        <v>1838</v>
      </c>
      <c r="E102" s="97" t="s">
        <v>169</v>
      </c>
      <c r="F102" s="107">
        <v>43774</v>
      </c>
      <c r="G102" s="94">
        <v>52459500</v>
      </c>
      <c r="H102" s="96">
        <v>1.2392000000000001</v>
      </c>
      <c r="I102" s="94">
        <v>650.05911000000003</v>
      </c>
      <c r="J102" s="95">
        <f t="shared" si="1"/>
        <v>6.9444325454966014E-3</v>
      </c>
      <c r="K102" s="95">
        <f>I102/'סכום נכסי הקרן'!$C$42</f>
        <v>1.1187457296783006E-5</v>
      </c>
    </row>
    <row r="103" spans="2:11">
      <c r="B103" s="87" t="s">
        <v>2571</v>
      </c>
      <c r="C103" s="84" t="s">
        <v>2572</v>
      </c>
      <c r="D103" s="97" t="s">
        <v>1838</v>
      </c>
      <c r="E103" s="97" t="s">
        <v>169</v>
      </c>
      <c r="F103" s="107">
        <v>43774</v>
      </c>
      <c r="G103" s="94">
        <v>34973000</v>
      </c>
      <c r="H103" s="96">
        <v>1.2392000000000001</v>
      </c>
      <c r="I103" s="94">
        <v>433.37273999999996</v>
      </c>
      <c r="J103" s="95">
        <f t="shared" si="1"/>
        <v>4.6296216969977343E-3</v>
      </c>
      <c r="K103" s="95">
        <f>I103/'סכום נכסי הקרן'!$C$42</f>
        <v>7.4583048645220028E-6</v>
      </c>
    </row>
    <row r="104" spans="2:11">
      <c r="B104" s="87" t="s">
        <v>2573</v>
      </c>
      <c r="C104" s="84" t="s">
        <v>2574</v>
      </c>
      <c r="D104" s="97" t="s">
        <v>1838</v>
      </c>
      <c r="E104" s="97" t="s">
        <v>169</v>
      </c>
      <c r="F104" s="107">
        <v>43773</v>
      </c>
      <c r="G104" s="94">
        <v>35068000</v>
      </c>
      <c r="H104" s="96">
        <v>1.6713</v>
      </c>
      <c r="I104" s="94">
        <v>586.09543999999994</v>
      </c>
      <c r="J104" s="95">
        <f t="shared" si="1"/>
        <v>6.2611233127755879E-3</v>
      </c>
      <c r="K104" s="95">
        <f>I104/'סכום נכסי הקרן'!$C$42</f>
        <v>1.0086648438538527E-5</v>
      </c>
    </row>
    <row r="105" spans="2:11">
      <c r="B105" s="87" t="s">
        <v>2575</v>
      </c>
      <c r="C105" s="84" t="s">
        <v>2576</v>
      </c>
      <c r="D105" s="97" t="s">
        <v>1838</v>
      </c>
      <c r="E105" s="97" t="s">
        <v>169</v>
      </c>
      <c r="F105" s="107">
        <v>43755</v>
      </c>
      <c r="G105" s="94">
        <v>140332000</v>
      </c>
      <c r="H105" s="96">
        <v>1.6709000000000001</v>
      </c>
      <c r="I105" s="94">
        <v>2344.8102100000001</v>
      </c>
      <c r="J105" s="95">
        <f t="shared" si="1"/>
        <v>2.5049070284295719E-2</v>
      </c>
      <c r="K105" s="95">
        <f>I105/'סכום נכסי הקרן'!$C$42</f>
        <v>4.0353967339117504E-5</v>
      </c>
    </row>
    <row r="106" spans="2:11">
      <c r="B106" s="87" t="s">
        <v>2577</v>
      </c>
      <c r="C106" s="84" t="s">
        <v>2578</v>
      </c>
      <c r="D106" s="97" t="s">
        <v>1838</v>
      </c>
      <c r="E106" s="97" t="s">
        <v>169</v>
      </c>
      <c r="F106" s="107">
        <v>43767</v>
      </c>
      <c r="G106" s="94">
        <v>228150000</v>
      </c>
      <c r="H106" s="96">
        <v>1.8349</v>
      </c>
      <c r="I106" s="94">
        <v>4186.3364199999996</v>
      </c>
      <c r="J106" s="95">
        <f t="shared" si="1"/>
        <v>4.4721672897478089E-2</v>
      </c>
      <c r="K106" s="95">
        <f>I106/'סכום נכסי הקרן'!$C$42</f>
        <v>7.2046463480401716E-5</v>
      </c>
    </row>
    <row r="107" spans="2:11">
      <c r="B107" s="87" t="s">
        <v>2579</v>
      </c>
      <c r="C107" s="84" t="s">
        <v>2580</v>
      </c>
      <c r="D107" s="97" t="s">
        <v>1838</v>
      </c>
      <c r="E107" s="97" t="s">
        <v>169</v>
      </c>
      <c r="F107" s="107">
        <v>43760</v>
      </c>
      <c r="G107" s="94">
        <v>70220000</v>
      </c>
      <c r="H107" s="96">
        <v>1.7190000000000001</v>
      </c>
      <c r="I107" s="94">
        <v>1207.0674799999999</v>
      </c>
      <c r="J107" s="95">
        <f t="shared" si="1"/>
        <v>1.2894825353224521E-2</v>
      </c>
      <c r="K107" s="95">
        <f>I107/'סכום נכסי הקרן'!$C$42</f>
        <v>2.0773519944725447E-5</v>
      </c>
    </row>
    <row r="108" spans="2:11">
      <c r="B108" s="87" t="s">
        <v>2581</v>
      </c>
      <c r="C108" s="84" t="s">
        <v>2582</v>
      </c>
      <c r="D108" s="97" t="s">
        <v>1838</v>
      </c>
      <c r="E108" s="97" t="s">
        <v>169</v>
      </c>
      <c r="F108" s="107">
        <v>43773</v>
      </c>
      <c r="G108" s="94">
        <v>35119000</v>
      </c>
      <c r="H108" s="96">
        <v>1.8141</v>
      </c>
      <c r="I108" s="94">
        <v>637.0797</v>
      </c>
      <c r="J108" s="95">
        <f t="shared" si="1"/>
        <v>6.8057764820113227E-3</v>
      </c>
      <c r="K108" s="95">
        <f>I108/'סכום נכסי הקרן'!$C$42</f>
        <v>1.0964082848400244E-5</v>
      </c>
    </row>
    <row r="109" spans="2:11">
      <c r="B109" s="87" t="s">
        <v>2583</v>
      </c>
      <c r="C109" s="84" t="s">
        <v>2584</v>
      </c>
      <c r="D109" s="97" t="s">
        <v>1838</v>
      </c>
      <c r="E109" s="97" t="s">
        <v>169</v>
      </c>
      <c r="F109" s="107">
        <v>43773</v>
      </c>
      <c r="G109" s="94">
        <v>42153600</v>
      </c>
      <c r="H109" s="96">
        <v>1.8391999999999999</v>
      </c>
      <c r="I109" s="94">
        <v>775.29231000000004</v>
      </c>
      <c r="J109" s="95">
        <f t="shared" si="1"/>
        <v>8.2822701305381909E-3</v>
      </c>
      <c r="K109" s="95">
        <f>I109/'סכום נכסי הקרן'!$C$42</f>
        <v>1.3342709112482482E-5</v>
      </c>
    </row>
    <row r="110" spans="2:11">
      <c r="B110" s="87" t="s">
        <v>2585</v>
      </c>
      <c r="C110" s="84" t="s">
        <v>2586</v>
      </c>
      <c r="D110" s="97" t="s">
        <v>1838</v>
      </c>
      <c r="E110" s="97" t="s">
        <v>169</v>
      </c>
      <c r="F110" s="107">
        <v>43767</v>
      </c>
      <c r="G110" s="94">
        <v>105390000</v>
      </c>
      <c r="H110" s="96">
        <v>1.9187000000000001</v>
      </c>
      <c r="I110" s="94">
        <v>2022.12213</v>
      </c>
      <c r="J110" s="95">
        <f t="shared" si="1"/>
        <v>2.1601867452547368E-2</v>
      </c>
      <c r="K110" s="95">
        <f>I110/'סכום נכסי הקרן'!$C$42</f>
        <v>3.4800535259408782E-5</v>
      </c>
    </row>
    <row r="111" spans="2:11">
      <c r="B111" s="87" t="s">
        <v>2587</v>
      </c>
      <c r="C111" s="84" t="s">
        <v>2588</v>
      </c>
      <c r="D111" s="97" t="s">
        <v>1838</v>
      </c>
      <c r="E111" s="97" t="s">
        <v>169</v>
      </c>
      <c r="F111" s="107">
        <v>43773</v>
      </c>
      <c r="G111" s="94">
        <v>147546000</v>
      </c>
      <c r="H111" s="96">
        <v>1.8448</v>
      </c>
      <c r="I111" s="94">
        <v>2721.92047</v>
      </c>
      <c r="J111" s="95">
        <f t="shared" si="1"/>
        <v>2.9077652797022423E-2</v>
      </c>
      <c r="K111" s="95">
        <f>I111/'סכום נכסי הקרן'!$C$42</f>
        <v>4.6844000114642691E-5</v>
      </c>
    </row>
    <row r="112" spans="2:11">
      <c r="B112" s="87" t="s">
        <v>2589</v>
      </c>
      <c r="C112" s="84" t="s">
        <v>2590</v>
      </c>
      <c r="D112" s="97" t="s">
        <v>1838</v>
      </c>
      <c r="E112" s="97" t="s">
        <v>169</v>
      </c>
      <c r="F112" s="107">
        <v>43767</v>
      </c>
      <c r="G112" s="94">
        <v>140520000</v>
      </c>
      <c r="H112" s="96">
        <v>1.7152000000000001</v>
      </c>
      <c r="I112" s="94">
        <v>2410.1544199999998</v>
      </c>
      <c r="J112" s="95">
        <f t="shared" si="1"/>
        <v>2.5747127509559067E-2</v>
      </c>
      <c r="K112" s="95">
        <f>I112/'סכום נכסי הקרן'!$C$42</f>
        <v>4.1478535163368161E-5</v>
      </c>
    </row>
    <row r="113" spans="2:11">
      <c r="B113" s="87" t="s">
        <v>2591</v>
      </c>
      <c r="C113" s="84" t="s">
        <v>2592</v>
      </c>
      <c r="D113" s="97" t="s">
        <v>1838</v>
      </c>
      <c r="E113" s="97" t="s">
        <v>169</v>
      </c>
      <c r="F113" s="107">
        <v>43754</v>
      </c>
      <c r="G113" s="94">
        <v>140680000</v>
      </c>
      <c r="H113" s="96">
        <v>1.8546</v>
      </c>
      <c r="I113" s="94">
        <v>2609.0812500000002</v>
      </c>
      <c r="J113" s="95">
        <f t="shared" si="1"/>
        <v>2.7872217260896406E-2</v>
      </c>
      <c r="K113" s="95">
        <f>I113/'סכום נכסי הקרן'!$C$42</f>
        <v>4.4902047551048438E-5</v>
      </c>
    </row>
    <row r="114" spans="2:11">
      <c r="B114" s="87" t="s">
        <v>2593</v>
      </c>
      <c r="C114" s="84" t="s">
        <v>2594</v>
      </c>
      <c r="D114" s="97" t="s">
        <v>1838</v>
      </c>
      <c r="E114" s="97" t="s">
        <v>169</v>
      </c>
      <c r="F114" s="107">
        <v>43811</v>
      </c>
      <c r="G114" s="94">
        <v>190080000</v>
      </c>
      <c r="H114" s="96">
        <v>-0.23430000000000001</v>
      </c>
      <c r="I114" s="94">
        <v>-445.41490000000005</v>
      </c>
      <c r="J114" s="95">
        <f t="shared" si="1"/>
        <v>-4.7582653334542367E-3</v>
      </c>
      <c r="K114" s="95">
        <f>I114/'סכום נכסי הקרן'!$C$42</f>
        <v>-7.6655493268925543E-6</v>
      </c>
    </row>
    <row r="115" spans="2:11">
      <c r="B115" s="87" t="s">
        <v>2595</v>
      </c>
      <c r="C115" s="84" t="s">
        <v>2596</v>
      </c>
      <c r="D115" s="97" t="s">
        <v>1838</v>
      </c>
      <c r="E115" s="97" t="s">
        <v>169</v>
      </c>
      <c r="F115" s="107">
        <v>43811</v>
      </c>
      <c r="G115" s="94">
        <v>172800000</v>
      </c>
      <c r="H115" s="96">
        <v>-0.33550000000000002</v>
      </c>
      <c r="I115" s="94">
        <v>-579.73577999999998</v>
      </c>
      <c r="J115" s="95">
        <f t="shared" si="1"/>
        <v>-6.1931845219750205E-3</v>
      </c>
      <c r="K115" s="95">
        <f>I115/'סכום נכסי הקרן'!$C$42</f>
        <v>-9.9771992767968237E-6</v>
      </c>
    </row>
    <row r="116" spans="2:11">
      <c r="B116" s="83"/>
      <c r="C116" s="84"/>
      <c r="D116" s="84"/>
      <c r="E116" s="84"/>
      <c r="F116" s="84"/>
      <c r="G116" s="94"/>
      <c r="H116" s="96"/>
      <c r="I116" s="84"/>
      <c r="J116" s="95"/>
      <c r="K116" s="84"/>
    </row>
    <row r="117" spans="2:11">
      <c r="B117" s="102" t="s">
        <v>238</v>
      </c>
      <c r="C117" s="82"/>
      <c r="D117" s="82"/>
      <c r="E117" s="82"/>
      <c r="F117" s="82"/>
      <c r="G117" s="91"/>
      <c r="H117" s="93"/>
      <c r="I117" s="91">
        <v>-30216.095999112997</v>
      </c>
      <c r="J117" s="92">
        <f t="shared" ref="J117:J179" si="2">I117/$I$11</f>
        <v>-0.3227916311396512</v>
      </c>
      <c r="K117" s="92">
        <f>I117/'סכום נכסי הקרן'!$C$42</f>
        <v>-5.2001622385627736E-4</v>
      </c>
    </row>
    <row r="118" spans="2:11">
      <c r="B118" s="87" t="s">
        <v>2597</v>
      </c>
      <c r="C118" s="84" t="s">
        <v>2598</v>
      </c>
      <c r="D118" s="97" t="s">
        <v>1838</v>
      </c>
      <c r="E118" s="97" t="s">
        <v>169</v>
      </c>
      <c r="F118" s="107">
        <v>43622</v>
      </c>
      <c r="G118" s="94">
        <v>9942825.5</v>
      </c>
      <c r="H118" s="96">
        <v>-2.5358000000000001</v>
      </c>
      <c r="I118" s="94">
        <v>-252.13273999999998</v>
      </c>
      <c r="J118" s="95">
        <f t="shared" si="2"/>
        <v>-2.6934762985495776E-3</v>
      </c>
      <c r="K118" s="95">
        <f>I118/'סכום נכסי הקרן'!$C$42</f>
        <v>-4.3391811890320129E-6</v>
      </c>
    </row>
    <row r="119" spans="2:11">
      <c r="B119" s="87" t="s">
        <v>2599</v>
      </c>
      <c r="C119" s="84" t="s">
        <v>2600</v>
      </c>
      <c r="D119" s="97" t="s">
        <v>1838</v>
      </c>
      <c r="E119" s="97" t="s">
        <v>169</v>
      </c>
      <c r="F119" s="107">
        <v>43622</v>
      </c>
      <c r="G119" s="94">
        <v>16560894.91</v>
      </c>
      <c r="H119" s="96">
        <v>-2.5449999999999999</v>
      </c>
      <c r="I119" s="94">
        <v>-421.48065000000003</v>
      </c>
      <c r="J119" s="95">
        <f t="shared" si="2"/>
        <v>-4.5025812239706357E-3</v>
      </c>
      <c r="K119" s="95">
        <f>I119/'סכום נכסי הקרן'!$C$42</f>
        <v>-7.2536430930032567E-6</v>
      </c>
    </row>
    <row r="120" spans="2:11">
      <c r="B120" s="87" t="s">
        <v>2601</v>
      </c>
      <c r="C120" s="84" t="s">
        <v>2602</v>
      </c>
      <c r="D120" s="97" t="s">
        <v>1838</v>
      </c>
      <c r="E120" s="97" t="s">
        <v>169</v>
      </c>
      <c r="F120" s="107">
        <v>43622</v>
      </c>
      <c r="G120" s="94">
        <v>41410239.520000003</v>
      </c>
      <c r="H120" s="96">
        <v>-2.5773000000000001</v>
      </c>
      <c r="I120" s="94">
        <v>-1067.25377</v>
      </c>
      <c r="J120" s="95">
        <f t="shared" si="2"/>
        <v>-1.1401227520204962E-2</v>
      </c>
      <c r="K120" s="95">
        <f>I120/'סכום נכסי הקרן'!$C$42</f>
        <v>-1.8367338897389917E-5</v>
      </c>
    </row>
    <row r="121" spans="2:11">
      <c r="B121" s="87" t="s">
        <v>2603</v>
      </c>
      <c r="C121" s="84" t="s">
        <v>2604</v>
      </c>
      <c r="D121" s="97" t="s">
        <v>1838</v>
      </c>
      <c r="E121" s="97" t="s">
        <v>171</v>
      </c>
      <c r="F121" s="107">
        <v>43634</v>
      </c>
      <c r="G121" s="94">
        <v>61084146.82</v>
      </c>
      <c r="H121" s="96">
        <v>1.6572</v>
      </c>
      <c r="I121" s="94">
        <v>1012.27608</v>
      </c>
      <c r="J121" s="95">
        <f t="shared" si="2"/>
        <v>1.0813913453162315E-2</v>
      </c>
      <c r="K121" s="95">
        <f>I121/'סכום נכסי הקרן'!$C$42</f>
        <v>1.7421177925734935E-5</v>
      </c>
    </row>
    <row r="122" spans="2:11">
      <c r="B122" s="87" t="s">
        <v>2605</v>
      </c>
      <c r="C122" s="84" t="s">
        <v>2606</v>
      </c>
      <c r="D122" s="97" t="s">
        <v>1838</v>
      </c>
      <c r="E122" s="97" t="s">
        <v>171</v>
      </c>
      <c r="F122" s="107">
        <v>43634</v>
      </c>
      <c r="G122" s="94">
        <v>138892320</v>
      </c>
      <c r="H122" s="96">
        <v>1.7028000000000001</v>
      </c>
      <c r="I122" s="94">
        <v>2365.0339800000002</v>
      </c>
      <c r="J122" s="95">
        <f t="shared" si="2"/>
        <v>2.5265116185999394E-2</v>
      </c>
      <c r="K122" s="95">
        <f>I122/'סכום נכסי הקרן'!$C$42</f>
        <v>4.0702016554603402E-5</v>
      </c>
    </row>
    <row r="123" spans="2:11">
      <c r="B123" s="87" t="s">
        <v>2607</v>
      </c>
      <c r="C123" s="84" t="s">
        <v>2608</v>
      </c>
      <c r="D123" s="97" t="s">
        <v>1838</v>
      </c>
      <c r="E123" s="97" t="s">
        <v>171</v>
      </c>
      <c r="F123" s="107">
        <v>43636</v>
      </c>
      <c r="G123" s="94">
        <v>39716006.399999999</v>
      </c>
      <c r="H123" s="96">
        <v>2.0200999999999998</v>
      </c>
      <c r="I123" s="94">
        <v>802.29078000000004</v>
      </c>
      <c r="J123" s="95">
        <f t="shared" si="2"/>
        <v>8.570688600277987E-3</v>
      </c>
      <c r="K123" s="95">
        <f>I123/'סכום נכסי הקרן'!$C$42</f>
        <v>1.3807350289810921E-5</v>
      </c>
    </row>
    <row r="124" spans="2:11">
      <c r="B124" s="87" t="s">
        <v>2609</v>
      </c>
      <c r="C124" s="84" t="s">
        <v>2610</v>
      </c>
      <c r="D124" s="97" t="s">
        <v>1838</v>
      </c>
      <c r="E124" s="97" t="s">
        <v>171</v>
      </c>
      <c r="F124" s="107">
        <v>43636</v>
      </c>
      <c r="G124" s="94">
        <v>61561952.640000001</v>
      </c>
      <c r="H124" s="96">
        <v>2.0234999999999999</v>
      </c>
      <c r="I124" s="94">
        <v>1245.6874599999999</v>
      </c>
      <c r="J124" s="95">
        <f t="shared" si="2"/>
        <v>1.3307393751840499E-2</v>
      </c>
      <c r="K124" s="95">
        <f>I124/'סכום נכסי הקרן'!$C$42</f>
        <v>2.1438166236741282E-5</v>
      </c>
    </row>
    <row r="125" spans="2:11">
      <c r="B125" s="87" t="s">
        <v>2611</v>
      </c>
      <c r="C125" s="84" t="s">
        <v>2612</v>
      </c>
      <c r="D125" s="97" t="s">
        <v>1838</v>
      </c>
      <c r="E125" s="97" t="s">
        <v>171</v>
      </c>
      <c r="F125" s="107">
        <v>43636</v>
      </c>
      <c r="G125" s="94">
        <v>122806824.19</v>
      </c>
      <c r="H125" s="96">
        <v>2.0872000000000002</v>
      </c>
      <c r="I125" s="94">
        <v>2563.2078700000002</v>
      </c>
      <c r="J125" s="95">
        <f t="shared" si="2"/>
        <v>2.7382162451813071E-2</v>
      </c>
      <c r="K125" s="95">
        <f>I125/'סכום נכסי הקרן'!$C$42</f>
        <v>4.4112570914363657E-5</v>
      </c>
    </row>
    <row r="126" spans="2:11">
      <c r="B126" s="87" t="s">
        <v>2613</v>
      </c>
      <c r="C126" s="84" t="s">
        <v>2614</v>
      </c>
      <c r="D126" s="97" t="s">
        <v>1838</v>
      </c>
      <c r="E126" s="97" t="s">
        <v>171</v>
      </c>
      <c r="F126" s="107">
        <v>43627</v>
      </c>
      <c r="G126" s="94">
        <v>97885013.760000005</v>
      </c>
      <c r="H126" s="96">
        <v>2.4586000000000001</v>
      </c>
      <c r="I126" s="94">
        <v>2406.5677500000002</v>
      </c>
      <c r="J126" s="95">
        <f t="shared" si="2"/>
        <v>2.5708811935644636E-2</v>
      </c>
      <c r="K126" s="95">
        <f>I126/'סכום נכסי הקרן'!$C$42</f>
        <v>4.1416808903639795E-5</v>
      </c>
    </row>
    <row r="127" spans="2:11">
      <c r="B127" s="87" t="s">
        <v>2615</v>
      </c>
      <c r="C127" s="84" t="s">
        <v>2616</v>
      </c>
      <c r="D127" s="97" t="s">
        <v>1838</v>
      </c>
      <c r="E127" s="97" t="s">
        <v>171</v>
      </c>
      <c r="F127" s="107">
        <v>43627</v>
      </c>
      <c r="G127" s="94">
        <v>76001473.150000006</v>
      </c>
      <c r="H127" s="96">
        <v>2.4603000000000002</v>
      </c>
      <c r="I127" s="94">
        <v>1869.8334</v>
      </c>
      <c r="J127" s="95">
        <f t="shared" si="2"/>
        <v>1.997500183885826E-2</v>
      </c>
      <c r="K127" s="95">
        <f>I127/'סכום נכסי הקרן'!$C$42</f>
        <v>3.2179660269046263E-5</v>
      </c>
    </row>
    <row r="128" spans="2:11">
      <c r="B128" s="87" t="s">
        <v>2617</v>
      </c>
      <c r="C128" s="84" t="s">
        <v>2618</v>
      </c>
      <c r="D128" s="97" t="s">
        <v>1838</v>
      </c>
      <c r="E128" s="97" t="s">
        <v>171</v>
      </c>
      <c r="F128" s="107">
        <v>43628</v>
      </c>
      <c r="G128" s="94">
        <v>36623301.119999997</v>
      </c>
      <c r="H128" s="96">
        <v>2.4127999999999998</v>
      </c>
      <c r="I128" s="94">
        <v>883.66251999999997</v>
      </c>
      <c r="J128" s="95">
        <f t="shared" si="2"/>
        <v>9.4399642566712766E-3</v>
      </c>
      <c r="K128" s="95">
        <f>I128/'סכום נכסי הקרן'!$C$42</f>
        <v>1.5207750426369162E-5</v>
      </c>
    </row>
    <row r="129" spans="2:11">
      <c r="B129" s="87" t="s">
        <v>2619</v>
      </c>
      <c r="C129" s="84" t="s">
        <v>2620</v>
      </c>
      <c r="D129" s="97" t="s">
        <v>1838</v>
      </c>
      <c r="E129" s="97" t="s">
        <v>171</v>
      </c>
      <c r="F129" s="107">
        <v>43641</v>
      </c>
      <c r="G129" s="94">
        <v>40224384</v>
      </c>
      <c r="H129" s="96">
        <v>3.0276000000000001</v>
      </c>
      <c r="I129" s="94">
        <v>1217.82638</v>
      </c>
      <c r="J129" s="95">
        <f t="shared" si="2"/>
        <v>1.3009760217092121E-2</v>
      </c>
      <c r="K129" s="95">
        <f>I129/'סכום נכסי הקרן'!$C$42</f>
        <v>2.0958679620912985E-5</v>
      </c>
    </row>
    <row r="130" spans="2:11">
      <c r="B130" s="87" t="s">
        <v>2621</v>
      </c>
      <c r="C130" s="84" t="s">
        <v>2622</v>
      </c>
      <c r="D130" s="97" t="s">
        <v>1838</v>
      </c>
      <c r="E130" s="97" t="s">
        <v>171</v>
      </c>
      <c r="F130" s="107">
        <v>43641</v>
      </c>
      <c r="G130" s="94">
        <v>77053117.540000007</v>
      </c>
      <c r="H130" s="96">
        <v>3.0316999999999998</v>
      </c>
      <c r="I130" s="94">
        <v>2336.0358200000001</v>
      </c>
      <c r="J130" s="95">
        <f t="shared" si="2"/>
        <v>2.4955335486112704E-2</v>
      </c>
      <c r="K130" s="95">
        <f>I130/'סכום נכסי הקרן'!$C$42</f>
        <v>4.0202960896902851E-5</v>
      </c>
    </row>
    <row r="131" spans="2:11">
      <c r="B131" s="87" t="s">
        <v>2623</v>
      </c>
      <c r="C131" s="84" t="s">
        <v>2624</v>
      </c>
      <c r="D131" s="97" t="s">
        <v>1838</v>
      </c>
      <c r="E131" s="97" t="s">
        <v>172</v>
      </c>
      <c r="F131" s="107">
        <v>43629</v>
      </c>
      <c r="G131" s="94">
        <v>102866661.5</v>
      </c>
      <c r="H131" s="96">
        <v>-3.2021000000000002</v>
      </c>
      <c r="I131" s="94">
        <v>-3293.9348799999998</v>
      </c>
      <c r="J131" s="95">
        <f t="shared" si="2"/>
        <v>-3.5188351692230634E-2</v>
      </c>
      <c r="K131" s="95">
        <f>I131/'סכום נכסי הקרן'!$C$42</f>
        <v>-5.6688315326254023E-5</v>
      </c>
    </row>
    <row r="132" spans="2:11">
      <c r="B132" s="87" t="s">
        <v>2625</v>
      </c>
      <c r="C132" s="84" t="s">
        <v>2626</v>
      </c>
      <c r="D132" s="97" t="s">
        <v>1838</v>
      </c>
      <c r="E132" s="97" t="s">
        <v>172</v>
      </c>
      <c r="F132" s="107">
        <v>43629</v>
      </c>
      <c r="G132" s="94">
        <v>106139289.59999999</v>
      </c>
      <c r="H132" s="96">
        <v>-3.2021000000000002</v>
      </c>
      <c r="I132" s="94">
        <v>-3398.72903</v>
      </c>
      <c r="J132" s="95">
        <f t="shared" si="2"/>
        <v>-3.6307843588648567E-2</v>
      </c>
      <c r="K132" s="95">
        <f>I132/'סכום נכסי הקרן'!$C$42</f>
        <v>-5.8491812977533268E-5</v>
      </c>
    </row>
    <row r="133" spans="2:11">
      <c r="B133" s="87" t="s">
        <v>2627</v>
      </c>
      <c r="C133" s="84" t="s">
        <v>2628</v>
      </c>
      <c r="D133" s="97" t="s">
        <v>1838</v>
      </c>
      <c r="E133" s="97" t="s">
        <v>172</v>
      </c>
      <c r="F133" s="107">
        <v>43643</v>
      </c>
      <c r="G133" s="94">
        <v>66709101.310000002</v>
      </c>
      <c r="H133" s="96">
        <v>-3.1204999999999998</v>
      </c>
      <c r="I133" s="94">
        <v>-2081.6682299999998</v>
      </c>
      <c r="J133" s="95">
        <f t="shared" si="2"/>
        <v>-2.2237984797010696E-2</v>
      </c>
      <c r="K133" s="95">
        <f>I133/'סכום נכסי הקרן'!$C$42</f>
        <v>-3.5825318145598885E-5</v>
      </c>
    </row>
    <row r="134" spans="2:11">
      <c r="B134" s="87" t="s">
        <v>2629</v>
      </c>
      <c r="C134" s="84" t="s">
        <v>2630</v>
      </c>
      <c r="D134" s="97" t="s">
        <v>1838</v>
      </c>
      <c r="E134" s="97" t="s">
        <v>172</v>
      </c>
      <c r="F134" s="107">
        <v>43643</v>
      </c>
      <c r="G134" s="94">
        <v>39865996.799999997</v>
      </c>
      <c r="H134" s="96">
        <v>-3.1204999999999998</v>
      </c>
      <c r="I134" s="94">
        <v>-1244.02484</v>
      </c>
      <c r="J134" s="95">
        <f t="shared" si="2"/>
        <v>-1.328963236328186E-2</v>
      </c>
      <c r="K134" s="95">
        <f>I134/'סכום נכסי הקרן'!$C$42</f>
        <v>-2.1409552699964949E-5</v>
      </c>
    </row>
    <row r="135" spans="2:11">
      <c r="B135" s="87" t="s">
        <v>2631</v>
      </c>
      <c r="C135" s="84" t="s">
        <v>2632</v>
      </c>
      <c r="D135" s="97" t="s">
        <v>1838</v>
      </c>
      <c r="E135" s="97" t="s">
        <v>172</v>
      </c>
      <c r="F135" s="107">
        <v>43643</v>
      </c>
      <c r="G135" s="94">
        <v>58072899.460000001</v>
      </c>
      <c r="H135" s="96">
        <v>-3.0396000000000001</v>
      </c>
      <c r="I135" s="94">
        <v>-1765.1656499999999</v>
      </c>
      <c r="J135" s="95">
        <f t="shared" si="2"/>
        <v>-1.8856860244682461E-2</v>
      </c>
      <c r="K135" s="95">
        <f>I135/'סכום נכסי הקרן'!$C$42</f>
        <v>-3.0378337950103052E-5</v>
      </c>
    </row>
    <row r="136" spans="2:11">
      <c r="B136" s="87" t="s">
        <v>2633</v>
      </c>
      <c r="C136" s="84" t="s">
        <v>2634</v>
      </c>
      <c r="D136" s="97" t="s">
        <v>1838</v>
      </c>
      <c r="E136" s="97" t="s">
        <v>169</v>
      </c>
      <c r="F136" s="107">
        <v>43633</v>
      </c>
      <c r="G136" s="94">
        <v>91311215.849999994</v>
      </c>
      <c r="H136" s="96">
        <v>1.4328000000000001</v>
      </c>
      <c r="I136" s="94">
        <v>1308.3505600000001</v>
      </c>
      <c r="J136" s="95">
        <f t="shared" si="2"/>
        <v>1.3976809293208282E-2</v>
      </c>
      <c r="K136" s="95">
        <f>I136/'סכום נכסי הקרן'!$C$42</f>
        <v>2.2516592405300083E-5</v>
      </c>
    </row>
    <row r="137" spans="2:11">
      <c r="B137" s="87" t="s">
        <v>2635</v>
      </c>
      <c r="C137" s="84" t="s">
        <v>2636</v>
      </c>
      <c r="D137" s="97" t="s">
        <v>1838</v>
      </c>
      <c r="E137" s="97" t="s">
        <v>171</v>
      </c>
      <c r="F137" s="107">
        <v>43699</v>
      </c>
      <c r="G137" s="94">
        <v>16509895.012454998</v>
      </c>
      <c r="H137" s="96">
        <v>6.5600000000000006E-2</v>
      </c>
      <c r="I137" s="94">
        <v>10.824228079000001</v>
      </c>
      <c r="J137" s="95">
        <f t="shared" si="2"/>
        <v>1.156327487690862E-4</v>
      </c>
      <c r="K137" s="95">
        <f>I137/'סכום נכסי הקרן'!$C$42</f>
        <v>1.862839663987665E-7</v>
      </c>
    </row>
    <row r="138" spans="2:11">
      <c r="B138" s="87" t="s">
        <v>2637</v>
      </c>
      <c r="C138" s="84" t="s">
        <v>2638</v>
      </c>
      <c r="D138" s="97" t="s">
        <v>1838</v>
      </c>
      <c r="E138" s="97" t="s">
        <v>171</v>
      </c>
      <c r="F138" s="107">
        <v>43704</v>
      </c>
      <c r="G138" s="94">
        <v>11006596.674969999</v>
      </c>
      <c r="H138" s="96">
        <v>-4.2200000000000001E-2</v>
      </c>
      <c r="I138" s="94">
        <v>-4.6401622859999998</v>
      </c>
      <c r="J138" s="95">
        <f t="shared" si="2"/>
        <v>-4.9569790653782713E-5</v>
      </c>
      <c r="K138" s="95">
        <f>I138/'סכום נכסי הקרן'!$C$42</f>
        <v>-7.9856764756005045E-8</v>
      </c>
    </row>
    <row r="139" spans="2:11">
      <c r="B139" s="87" t="s">
        <v>2639</v>
      </c>
      <c r="C139" s="84" t="s">
        <v>2640</v>
      </c>
      <c r="D139" s="97" t="s">
        <v>1838</v>
      </c>
      <c r="E139" s="97" t="s">
        <v>171</v>
      </c>
      <c r="F139" s="107">
        <v>43703</v>
      </c>
      <c r="G139" s="94">
        <v>8224560.6477069994</v>
      </c>
      <c r="H139" s="96">
        <v>-0.28899999999999998</v>
      </c>
      <c r="I139" s="94">
        <v>-23.767370413000002</v>
      </c>
      <c r="J139" s="95">
        <f t="shared" si="2"/>
        <v>-2.5390137308730314E-4</v>
      </c>
      <c r="K139" s="95">
        <f>I139/'סכום נכסי הקרן'!$C$42</f>
        <v>-4.0903425159638385E-7</v>
      </c>
    </row>
    <row r="140" spans="2:11">
      <c r="B140" s="87" t="s">
        <v>2641</v>
      </c>
      <c r="C140" s="84" t="s">
        <v>2642</v>
      </c>
      <c r="D140" s="97" t="s">
        <v>1838</v>
      </c>
      <c r="E140" s="97" t="s">
        <v>169</v>
      </c>
      <c r="F140" s="107">
        <v>43648</v>
      </c>
      <c r="G140" s="94">
        <v>38956538.549999997</v>
      </c>
      <c r="H140" s="96">
        <v>-0.33479999999999999</v>
      </c>
      <c r="I140" s="94">
        <v>-130.44003000000001</v>
      </c>
      <c r="J140" s="95">
        <f t="shared" si="2"/>
        <v>-1.3934609570621249E-3</v>
      </c>
      <c r="K140" s="95">
        <f>I140/'סכום נכסי הקרן'!$C$42</f>
        <v>-2.2448608795223165E-6</v>
      </c>
    </row>
    <row r="141" spans="2:11">
      <c r="B141" s="87" t="s">
        <v>2643</v>
      </c>
      <c r="C141" s="84" t="s">
        <v>2644</v>
      </c>
      <c r="D141" s="97" t="s">
        <v>1838</v>
      </c>
      <c r="E141" s="97" t="s">
        <v>169</v>
      </c>
      <c r="F141" s="107">
        <v>43648</v>
      </c>
      <c r="G141" s="94">
        <v>3098460.87</v>
      </c>
      <c r="H141" s="96">
        <v>-0.33789999999999998</v>
      </c>
      <c r="I141" s="94">
        <v>-10.469629999999999</v>
      </c>
      <c r="J141" s="95">
        <f t="shared" si="2"/>
        <v>-1.1184465872850789E-4</v>
      </c>
      <c r="K141" s="95">
        <f>I141/'סכום נכסי הקרן'!$C$42</f>
        <v>-1.801813661808666E-7</v>
      </c>
    </row>
    <row r="142" spans="2:11">
      <c r="B142" s="87" t="s">
        <v>2645</v>
      </c>
      <c r="C142" s="84" t="s">
        <v>2646</v>
      </c>
      <c r="D142" s="97" t="s">
        <v>1838</v>
      </c>
      <c r="E142" s="97" t="s">
        <v>169</v>
      </c>
      <c r="F142" s="107">
        <v>43648</v>
      </c>
      <c r="G142" s="94">
        <v>18090960.420000002</v>
      </c>
      <c r="H142" s="96">
        <v>-0.3387</v>
      </c>
      <c r="I142" s="94">
        <v>-61.267389999999999</v>
      </c>
      <c r="J142" s="95">
        <f t="shared" si="2"/>
        <v>-6.5450549119084418E-4</v>
      </c>
      <c r="K142" s="95">
        <f>I142/'סכום נכסי הקרן'!$C$42</f>
        <v>-1.0544061282524755E-6</v>
      </c>
    </row>
    <row r="143" spans="2:11">
      <c r="B143" s="87" t="s">
        <v>2647</v>
      </c>
      <c r="C143" s="84" t="s">
        <v>2648</v>
      </c>
      <c r="D143" s="97" t="s">
        <v>1838</v>
      </c>
      <c r="E143" s="97" t="s">
        <v>171</v>
      </c>
      <c r="F143" s="107">
        <v>43720</v>
      </c>
      <c r="G143" s="94">
        <v>11543212.800000001</v>
      </c>
      <c r="H143" s="96">
        <v>-1.3617999999999999</v>
      </c>
      <c r="I143" s="94">
        <v>-157.19685000000001</v>
      </c>
      <c r="J143" s="95">
        <f t="shared" si="2"/>
        <v>-1.6792979352132263E-3</v>
      </c>
      <c r="K143" s="95">
        <f>I143/'סכום נכסי הקרן'!$C$42</f>
        <v>-2.705343282649794E-6</v>
      </c>
    </row>
    <row r="144" spans="2:11">
      <c r="B144" s="87" t="s">
        <v>2649</v>
      </c>
      <c r="C144" s="84" t="s">
        <v>2650</v>
      </c>
      <c r="D144" s="97" t="s">
        <v>1838</v>
      </c>
      <c r="E144" s="97" t="s">
        <v>171</v>
      </c>
      <c r="F144" s="107">
        <v>43719</v>
      </c>
      <c r="G144" s="94">
        <v>27507557.448259</v>
      </c>
      <c r="H144" s="96">
        <v>-0.59650000000000003</v>
      </c>
      <c r="I144" s="94">
        <v>-164.07705252999997</v>
      </c>
      <c r="J144" s="95">
        <f t="shared" si="2"/>
        <v>-1.7527975626070178E-3</v>
      </c>
      <c r="K144" s="95">
        <f>I144/'סכום נכסי הקרן'!$C$42</f>
        <v>-2.8237509332980452E-6</v>
      </c>
    </row>
    <row r="145" spans="2:11">
      <c r="B145" s="87" t="s">
        <v>2651</v>
      </c>
      <c r="C145" s="84" t="s">
        <v>2652</v>
      </c>
      <c r="D145" s="97" t="s">
        <v>1838</v>
      </c>
      <c r="E145" s="97" t="s">
        <v>171</v>
      </c>
      <c r="F145" s="107">
        <v>43719</v>
      </c>
      <c r="G145" s="94">
        <v>27509273.911997005</v>
      </c>
      <c r="H145" s="96">
        <v>-0.59019999999999995</v>
      </c>
      <c r="I145" s="94">
        <v>-162.37188998000002</v>
      </c>
      <c r="J145" s="95">
        <f t="shared" si="2"/>
        <v>-1.7345817017331018E-3</v>
      </c>
      <c r="K145" s="95">
        <f>I145/'סכום נכסי הקרן'!$C$42</f>
        <v>-2.794405243161962E-6</v>
      </c>
    </row>
    <row r="146" spans="2:11">
      <c r="B146" s="87" t="s">
        <v>2653</v>
      </c>
      <c r="C146" s="84" t="s">
        <v>2654</v>
      </c>
      <c r="D146" s="97" t="s">
        <v>1838</v>
      </c>
      <c r="E146" s="97" t="s">
        <v>171</v>
      </c>
      <c r="F146" s="107">
        <v>43678</v>
      </c>
      <c r="G146" s="94">
        <v>31137730.559999999</v>
      </c>
      <c r="H146" s="96">
        <v>-0.2102</v>
      </c>
      <c r="I146" s="94">
        <v>-65.444289999999995</v>
      </c>
      <c r="J146" s="95">
        <f t="shared" si="2"/>
        <v>-6.9912635697531834E-4</v>
      </c>
      <c r="K146" s="95">
        <f>I146/'סכום נכסי הקרן'!$C$42</f>
        <v>-1.1262901918154535E-6</v>
      </c>
    </row>
    <row r="147" spans="2:11">
      <c r="B147" s="87" t="s">
        <v>2655</v>
      </c>
      <c r="C147" s="84" t="s">
        <v>2656</v>
      </c>
      <c r="D147" s="97" t="s">
        <v>1838</v>
      </c>
      <c r="E147" s="97" t="s">
        <v>171</v>
      </c>
      <c r="F147" s="107">
        <v>43675</v>
      </c>
      <c r="G147" s="94">
        <v>33173849.456767</v>
      </c>
      <c r="H147" s="96">
        <v>0.33789999999999998</v>
      </c>
      <c r="I147" s="94">
        <v>112.10253621699999</v>
      </c>
      <c r="J147" s="95">
        <f t="shared" si="2"/>
        <v>1.197565712044319E-3</v>
      </c>
      <c r="K147" s="95">
        <f>I147/'סכום נכסי הקרן'!$C$42</f>
        <v>1.9292743036687198E-6</v>
      </c>
    </row>
    <row r="148" spans="2:11">
      <c r="B148" s="87" t="s">
        <v>2657</v>
      </c>
      <c r="C148" s="84" t="s">
        <v>2658</v>
      </c>
      <c r="D148" s="97" t="s">
        <v>1838</v>
      </c>
      <c r="E148" s="97" t="s">
        <v>171</v>
      </c>
      <c r="F148" s="107">
        <v>43678</v>
      </c>
      <c r="G148" s="94">
        <v>27562656.953740001</v>
      </c>
      <c r="H148" s="96">
        <v>-2.9600000000000001E-2</v>
      </c>
      <c r="I148" s="94">
        <v>-8.1465842780000006</v>
      </c>
      <c r="J148" s="95">
        <f t="shared" si="2"/>
        <v>-8.7028093483335907E-5</v>
      </c>
      <c r="K148" s="95">
        <f>I148/'סכום נכסי הקרן'!$C$42</f>
        <v>-1.4020196367184027E-7</v>
      </c>
    </row>
    <row r="149" spans="2:11">
      <c r="B149" s="87" t="s">
        <v>2659</v>
      </c>
      <c r="C149" s="84" t="s">
        <v>2660</v>
      </c>
      <c r="D149" s="97" t="s">
        <v>1838</v>
      </c>
      <c r="E149" s="97" t="s">
        <v>171</v>
      </c>
      <c r="F149" s="107">
        <v>43677</v>
      </c>
      <c r="G149" s="94">
        <v>22161018.113244999</v>
      </c>
      <c r="H149" s="96">
        <v>0.54059999999999997</v>
      </c>
      <c r="I149" s="94">
        <v>119.80861833300001</v>
      </c>
      <c r="J149" s="95">
        <f t="shared" si="2"/>
        <v>1.2798880218487609E-3</v>
      </c>
      <c r="K149" s="95">
        <f>I149/'סכום נכסי הקרן'!$C$42</f>
        <v>2.0618952657813089E-6</v>
      </c>
    </row>
    <row r="150" spans="2:11">
      <c r="B150" s="87" t="s">
        <v>2661</v>
      </c>
      <c r="C150" s="84" t="s">
        <v>2662</v>
      </c>
      <c r="D150" s="97" t="s">
        <v>1838</v>
      </c>
      <c r="E150" s="97" t="s">
        <v>171</v>
      </c>
      <c r="F150" s="107">
        <v>43677</v>
      </c>
      <c r="G150" s="94">
        <v>22161018.113244999</v>
      </c>
      <c r="H150" s="96">
        <v>0.54059999999999997</v>
      </c>
      <c r="I150" s="94">
        <v>119.80861833300001</v>
      </c>
      <c r="J150" s="95">
        <f t="shared" si="2"/>
        <v>1.2798880218487609E-3</v>
      </c>
      <c r="K150" s="95">
        <f>I150/'סכום נכסי הקרן'!$C$42</f>
        <v>2.0618952657813089E-6</v>
      </c>
    </row>
    <row r="151" spans="2:11">
      <c r="B151" s="87" t="s">
        <v>2663</v>
      </c>
      <c r="C151" s="84" t="s">
        <v>2640</v>
      </c>
      <c r="D151" s="97" t="s">
        <v>1838</v>
      </c>
      <c r="E151" s="97" t="s">
        <v>171</v>
      </c>
      <c r="F151" s="107">
        <v>43676</v>
      </c>
      <c r="G151" s="94">
        <v>38792080.480608001</v>
      </c>
      <c r="H151" s="96">
        <v>0.56699999999999995</v>
      </c>
      <c r="I151" s="94">
        <v>219.95362050300002</v>
      </c>
      <c r="J151" s="95">
        <f t="shared" si="2"/>
        <v>2.3497141371049196E-3</v>
      </c>
      <c r="K151" s="95">
        <f>I151/'סכום נכסי הקרן'!$C$42</f>
        <v>3.7853815119214738E-6</v>
      </c>
    </row>
    <row r="152" spans="2:11">
      <c r="B152" s="87" t="s">
        <v>2664</v>
      </c>
      <c r="C152" s="84" t="s">
        <v>2665</v>
      </c>
      <c r="D152" s="97" t="s">
        <v>1838</v>
      </c>
      <c r="E152" s="97" t="s">
        <v>171</v>
      </c>
      <c r="F152" s="107">
        <v>43647</v>
      </c>
      <c r="G152" s="94">
        <v>36058867.200000003</v>
      </c>
      <c r="H152" s="96">
        <v>2.6453000000000002</v>
      </c>
      <c r="I152" s="94">
        <v>953.85514000000001</v>
      </c>
      <c r="J152" s="95">
        <f t="shared" si="2"/>
        <v>1.0189815935208135E-2</v>
      </c>
      <c r="K152" s="95">
        <f>I152/'סכום נכסי הקרן'!$C$42</f>
        <v>1.6415758939317032E-5</v>
      </c>
    </row>
    <row r="153" spans="2:11">
      <c r="B153" s="87" t="s">
        <v>2666</v>
      </c>
      <c r="C153" s="84" t="s">
        <v>2667</v>
      </c>
      <c r="D153" s="97" t="s">
        <v>1838</v>
      </c>
      <c r="E153" s="97" t="s">
        <v>172</v>
      </c>
      <c r="F153" s="107">
        <v>43678</v>
      </c>
      <c r="G153" s="94">
        <v>29812719.624755003</v>
      </c>
      <c r="H153" s="96">
        <v>-8.1579999999999995</v>
      </c>
      <c r="I153" s="94">
        <v>-2432.130896268</v>
      </c>
      <c r="J153" s="95">
        <f t="shared" si="2"/>
        <v>-2.5981897170783929E-2</v>
      </c>
      <c r="K153" s="95">
        <f>I153/'סכום נכסי הקרן'!$C$42</f>
        <v>-4.1856748291989672E-5</v>
      </c>
    </row>
    <row r="154" spans="2:11">
      <c r="B154" s="87" t="s">
        <v>2668</v>
      </c>
      <c r="C154" s="84" t="s">
        <v>2669</v>
      </c>
      <c r="D154" s="97" t="s">
        <v>1838</v>
      </c>
      <c r="E154" s="97" t="s">
        <v>172</v>
      </c>
      <c r="F154" s="107">
        <v>43677</v>
      </c>
      <c r="G154" s="94">
        <v>15042194.214667</v>
      </c>
      <c r="H154" s="96">
        <v>-7.1820000000000004</v>
      </c>
      <c r="I154" s="94">
        <v>-1080.3317916349999</v>
      </c>
      <c r="J154" s="95">
        <f t="shared" si="2"/>
        <v>-1.1540937029195309E-2</v>
      </c>
      <c r="K154" s="95">
        <f>I154/'סכום נכסי הקרן'!$C$42</f>
        <v>-1.8592410442911318E-5</v>
      </c>
    </row>
    <row r="155" spans="2:11">
      <c r="B155" s="87" t="s">
        <v>2670</v>
      </c>
      <c r="C155" s="84" t="s">
        <v>2671</v>
      </c>
      <c r="D155" s="97" t="s">
        <v>1838</v>
      </c>
      <c r="E155" s="97" t="s">
        <v>172</v>
      </c>
      <c r="F155" s="107">
        <v>43677</v>
      </c>
      <c r="G155" s="94">
        <v>15045003.739174999</v>
      </c>
      <c r="H155" s="96">
        <v>-7.1619999999999999</v>
      </c>
      <c r="I155" s="94">
        <v>-1077.524350141</v>
      </c>
      <c r="J155" s="95">
        <f t="shared" si="2"/>
        <v>-1.151094577489151E-2</v>
      </c>
      <c r="K155" s="95">
        <f>I155/'סכום נכסי הקרן'!$C$42</f>
        <v>-1.8544094633865367E-5</v>
      </c>
    </row>
    <row r="156" spans="2:11">
      <c r="B156" s="87" t="s">
        <v>2672</v>
      </c>
      <c r="C156" s="84" t="s">
        <v>2673</v>
      </c>
      <c r="D156" s="97" t="s">
        <v>1838</v>
      </c>
      <c r="E156" s="97" t="s">
        <v>172</v>
      </c>
      <c r="F156" s="107">
        <v>43713</v>
      </c>
      <c r="G156" s="94">
        <v>4266535.68</v>
      </c>
      <c r="H156" s="96">
        <v>-6.9678000000000004</v>
      </c>
      <c r="I156" s="94">
        <v>-297.28571999999997</v>
      </c>
      <c r="J156" s="95">
        <f t="shared" si="2"/>
        <v>-3.1758352394744374E-3</v>
      </c>
      <c r="K156" s="95">
        <f>I156/'סכום נכסי הקרן'!$C$42</f>
        <v>-5.1162598081940412E-6</v>
      </c>
    </row>
    <row r="157" spans="2:11">
      <c r="B157" s="87" t="s">
        <v>2674</v>
      </c>
      <c r="C157" s="84" t="s">
        <v>2675</v>
      </c>
      <c r="D157" s="97" t="s">
        <v>1838</v>
      </c>
      <c r="E157" s="97" t="s">
        <v>172</v>
      </c>
      <c r="F157" s="107">
        <v>43713</v>
      </c>
      <c r="G157" s="94">
        <v>11323171.01</v>
      </c>
      <c r="H157" s="96">
        <v>-7.0385999999999997</v>
      </c>
      <c r="I157" s="94">
        <v>-796.99570999999992</v>
      </c>
      <c r="J157" s="95">
        <f t="shared" si="2"/>
        <v>-8.5141225805529762E-3</v>
      </c>
      <c r="K157" s="95">
        <f>I157/'סכום נכסי הקרן'!$C$42</f>
        <v>-1.3716222623730711E-5</v>
      </c>
    </row>
    <row r="158" spans="2:11">
      <c r="B158" s="87" t="s">
        <v>2676</v>
      </c>
      <c r="C158" s="84" t="s">
        <v>2677</v>
      </c>
      <c r="D158" s="97" t="s">
        <v>1838</v>
      </c>
      <c r="E158" s="97" t="s">
        <v>172</v>
      </c>
      <c r="F158" s="107">
        <v>43713</v>
      </c>
      <c r="G158" s="94">
        <v>126089136</v>
      </c>
      <c r="H158" s="96">
        <v>-7.0058999999999996</v>
      </c>
      <c r="I158" s="94">
        <v>-8833.7074300000004</v>
      </c>
      <c r="J158" s="95">
        <f t="shared" si="2"/>
        <v>-9.436847269825531E-2</v>
      </c>
      <c r="K158" s="95">
        <f>I158/'סכום נכסי הקרן'!$C$42</f>
        <v>-1.5202728971123834E-4</v>
      </c>
    </row>
    <row r="159" spans="2:11">
      <c r="B159" s="87" t="s">
        <v>2678</v>
      </c>
      <c r="C159" s="84" t="s">
        <v>2679</v>
      </c>
      <c r="D159" s="97" t="s">
        <v>1838</v>
      </c>
      <c r="E159" s="97" t="s">
        <v>172</v>
      </c>
      <c r="F159" s="107">
        <v>43663</v>
      </c>
      <c r="G159" s="94">
        <v>35954962.560000002</v>
      </c>
      <c r="H159" s="96">
        <v>-5.4375</v>
      </c>
      <c r="I159" s="94">
        <v>-1955.0484199999999</v>
      </c>
      <c r="J159" s="95">
        <f t="shared" si="2"/>
        <v>-2.0885334375007385E-2</v>
      </c>
      <c r="K159" s="95">
        <f>I159/'סכום נכסי הקרן'!$C$42</f>
        <v>-3.3646202899753351E-5</v>
      </c>
    </row>
    <row r="160" spans="2:11">
      <c r="B160" s="87" t="s">
        <v>2680</v>
      </c>
      <c r="C160" s="84" t="s">
        <v>2681</v>
      </c>
      <c r="D160" s="97" t="s">
        <v>1838</v>
      </c>
      <c r="E160" s="97" t="s">
        <v>172</v>
      </c>
      <c r="F160" s="107">
        <v>43671</v>
      </c>
      <c r="G160" s="94">
        <v>23972509.440000001</v>
      </c>
      <c r="H160" s="96">
        <v>-4.7931999999999997</v>
      </c>
      <c r="I160" s="94">
        <v>-1149.0471699999998</v>
      </c>
      <c r="J160" s="95">
        <f t="shared" si="2"/>
        <v>-1.2275007673777181E-2</v>
      </c>
      <c r="K160" s="95">
        <f>I160/'סכום נכסי הקרן'!$C$42</f>
        <v>-1.9774995763638111E-5</v>
      </c>
    </row>
    <row r="161" spans="2:11">
      <c r="B161" s="87" t="s">
        <v>2682</v>
      </c>
      <c r="C161" s="84" t="s">
        <v>2683</v>
      </c>
      <c r="D161" s="97" t="s">
        <v>1838</v>
      </c>
      <c r="E161" s="97" t="s">
        <v>171</v>
      </c>
      <c r="F161" s="107">
        <v>43810</v>
      </c>
      <c r="G161" s="94">
        <v>41351783.707861997</v>
      </c>
      <c r="H161" s="96">
        <v>1.0920000000000001</v>
      </c>
      <c r="I161" s="94">
        <v>451.56921577700007</v>
      </c>
      <c r="J161" s="95">
        <f t="shared" si="2"/>
        <v>4.8240104789642538E-3</v>
      </c>
      <c r="K161" s="95">
        <f>I161/'סכום נכסי הקרן'!$C$42</f>
        <v>7.7714645335052349E-6</v>
      </c>
    </row>
    <row r="162" spans="2:11">
      <c r="B162" s="87" t="s">
        <v>2684</v>
      </c>
      <c r="C162" s="84" t="s">
        <v>2685</v>
      </c>
      <c r="D162" s="97" t="s">
        <v>1838</v>
      </c>
      <c r="E162" s="97" t="s">
        <v>171</v>
      </c>
      <c r="F162" s="107">
        <v>43761</v>
      </c>
      <c r="G162" s="94">
        <v>36553602.878696002</v>
      </c>
      <c r="H162" s="96">
        <v>0.3574</v>
      </c>
      <c r="I162" s="94">
        <v>130.63909353</v>
      </c>
      <c r="J162" s="95">
        <f t="shared" si="2"/>
        <v>1.3955875071482444E-3</v>
      </c>
      <c r="K162" s="95">
        <f>I162/'סכום נכסי הקרן'!$C$42</f>
        <v>2.2482867445043818E-6</v>
      </c>
    </row>
    <row r="163" spans="2:11">
      <c r="B163" s="87" t="s">
        <v>2686</v>
      </c>
      <c r="C163" s="84" t="s">
        <v>2687</v>
      </c>
      <c r="D163" s="97" t="s">
        <v>1838</v>
      </c>
      <c r="E163" s="97" t="s">
        <v>172</v>
      </c>
      <c r="F163" s="107">
        <v>43822</v>
      </c>
      <c r="G163" s="94">
        <v>26860634.934698001</v>
      </c>
      <c r="H163" s="96">
        <v>1.5645</v>
      </c>
      <c r="I163" s="94">
        <v>420.227955065</v>
      </c>
      <c r="J163" s="95">
        <f t="shared" si="2"/>
        <v>4.4891989709687618E-3</v>
      </c>
      <c r="K163" s="95">
        <f>I163/'סכום נכסי הקרן'!$C$42</f>
        <v>7.2320843287684025E-6</v>
      </c>
    </row>
    <row r="164" spans="2:11">
      <c r="B164" s="87" t="s">
        <v>2688</v>
      </c>
      <c r="C164" s="84" t="s">
        <v>2689</v>
      </c>
      <c r="D164" s="97" t="s">
        <v>1838</v>
      </c>
      <c r="E164" s="97" t="s">
        <v>172</v>
      </c>
      <c r="F164" s="107">
        <v>43815</v>
      </c>
      <c r="G164" s="94">
        <v>91194000</v>
      </c>
      <c r="H164" s="96">
        <v>-1.1882999999999999</v>
      </c>
      <c r="I164" s="94">
        <v>-1083.67722</v>
      </c>
      <c r="J164" s="95">
        <f t="shared" si="2"/>
        <v>-1.1576675473990789E-2</v>
      </c>
      <c r="K164" s="95">
        <f>I164/'סכום נכסי הקרן'!$C$42</f>
        <v>-1.8649984956362694E-5</v>
      </c>
    </row>
    <row r="165" spans="2:11">
      <c r="B165" s="87" t="s">
        <v>2690</v>
      </c>
      <c r="C165" s="84" t="s">
        <v>2691</v>
      </c>
      <c r="D165" s="97" t="s">
        <v>1838</v>
      </c>
      <c r="E165" s="97" t="s">
        <v>169</v>
      </c>
      <c r="F165" s="107">
        <v>43773</v>
      </c>
      <c r="G165" s="94">
        <v>25766650</v>
      </c>
      <c r="H165" s="96">
        <v>-0.50660000000000005</v>
      </c>
      <c r="I165" s="94">
        <v>-130.52284</v>
      </c>
      <c r="J165" s="95">
        <f t="shared" si="2"/>
        <v>-1.394345597320597E-3</v>
      </c>
      <c r="K165" s="95">
        <f>I165/'סכום נכסי הקרן'!$C$42</f>
        <v>-2.2462860319807543E-6</v>
      </c>
    </row>
    <row r="166" spans="2:11">
      <c r="B166" s="87" t="s">
        <v>2692</v>
      </c>
      <c r="C166" s="84" t="s">
        <v>2693</v>
      </c>
      <c r="D166" s="97" t="s">
        <v>1838</v>
      </c>
      <c r="E166" s="97" t="s">
        <v>171</v>
      </c>
      <c r="F166" s="107">
        <v>43741</v>
      </c>
      <c r="G166" s="94">
        <v>43425159.402433999</v>
      </c>
      <c r="H166" s="96">
        <v>-1.8286</v>
      </c>
      <c r="I166" s="94">
        <v>-794.08260711900004</v>
      </c>
      <c r="J166" s="95">
        <f t="shared" si="2"/>
        <v>-8.48300256985857E-3</v>
      </c>
      <c r="K166" s="95">
        <f>I166/'סכום נכסי הקרן'!$C$42</f>
        <v>-1.3666088391964739E-5</v>
      </c>
    </row>
    <row r="167" spans="2:11">
      <c r="B167" s="87" t="s">
        <v>2694</v>
      </c>
      <c r="C167" s="84" t="s">
        <v>2695</v>
      </c>
      <c r="D167" s="97" t="s">
        <v>1838</v>
      </c>
      <c r="E167" s="97" t="s">
        <v>171</v>
      </c>
      <c r="F167" s="107">
        <v>43745</v>
      </c>
      <c r="G167" s="94">
        <v>21735335.106201995</v>
      </c>
      <c r="H167" s="96">
        <v>-1.7223999999999999</v>
      </c>
      <c r="I167" s="94">
        <v>-374.3705127450001</v>
      </c>
      <c r="J167" s="95">
        <f t="shared" si="2"/>
        <v>-3.9993144204695918E-3</v>
      </c>
      <c r="K167" s="95">
        <f>I167/'סכום נכסי הקרן'!$C$42</f>
        <v>-6.4428819780857259E-6</v>
      </c>
    </row>
    <row r="168" spans="2:11">
      <c r="B168" s="87" t="s">
        <v>2696</v>
      </c>
      <c r="C168" s="84" t="s">
        <v>2697</v>
      </c>
      <c r="D168" s="97" t="s">
        <v>1838</v>
      </c>
      <c r="E168" s="97" t="s">
        <v>171</v>
      </c>
      <c r="F168" s="107">
        <v>43741</v>
      </c>
      <c r="G168" s="94">
        <v>36106868.877117999</v>
      </c>
      <c r="H168" s="96">
        <v>-1.6813</v>
      </c>
      <c r="I168" s="94">
        <v>-607.050179867</v>
      </c>
      <c r="J168" s="95">
        <f t="shared" si="2"/>
        <v>-6.4849779981053729E-3</v>
      </c>
      <c r="K168" s="95">
        <f>I168/'סכום נכסי הקרן'!$C$42</f>
        <v>-1.0447277577982877E-5</v>
      </c>
    </row>
    <row r="169" spans="2:11">
      <c r="B169" s="87" t="s">
        <v>2698</v>
      </c>
      <c r="C169" s="84" t="s">
        <v>2638</v>
      </c>
      <c r="D169" s="97" t="s">
        <v>1838</v>
      </c>
      <c r="E169" s="97" t="s">
        <v>171</v>
      </c>
      <c r="F169" s="107">
        <v>43794</v>
      </c>
      <c r="G169" s="94">
        <v>15540520.798616</v>
      </c>
      <c r="H169" s="96">
        <v>-1.5382</v>
      </c>
      <c r="I169" s="94">
        <v>-239.05199749099998</v>
      </c>
      <c r="J169" s="95">
        <f t="shared" si="2"/>
        <v>-2.5537377230856317E-3</v>
      </c>
      <c r="K169" s="95">
        <f>I169/'סכום נכסי הקרן'!$C$42</f>
        <v>-4.1140628175201488E-6</v>
      </c>
    </row>
    <row r="170" spans="2:11">
      <c r="B170" s="87" t="s">
        <v>2699</v>
      </c>
      <c r="C170" s="84" t="s">
        <v>2700</v>
      </c>
      <c r="D170" s="97" t="s">
        <v>1838</v>
      </c>
      <c r="E170" s="97" t="s">
        <v>171</v>
      </c>
      <c r="F170" s="107">
        <v>43754</v>
      </c>
      <c r="G170" s="94">
        <v>16338282.695467001</v>
      </c>
      <c r="H170" s="96">
        <v>-1.1773</v>
      </c>
      <c r="I170" s="94">
        <v>-192.34342998899999</v>
      </c>
      <c r="J170" s="95">
        <f t="shared" si="2"/>
        <v>-2.0547607972574346E-3</v>
      </c>
      <c r="K170" s="95">
        <f>I170/'סכום נכסי הקרן'!$C$42</f>
        <v>-3.3102126809955927E-6</v>
      </c>
    </row>
    <row r="171" spans="2:11">
      <c r="B171" s="87" t="s">
        <v>2701</v>
      </c>
      <c r="C171" s="84" t="s">
        <v>2702</v>
      </c>
      <c r="D171" s="97" t="s">
        <v>1838</v>
      </c>
      <c r="E171" s="97" t="s">
        <v>171</v>
      </c>
      <c r="F171" s="107">
        <v>43754</v>
      </c>
      <c r="G171" s="94">
        <v>16342696.459364999</v>
      </c>
      <c r="H171" s="96">
        <v>-1.1499999999999999</v>
      </c>
      <c r="I171" s="94">
        <v>-187.934056583</v>
      </c>
      <c r="J171" s="95">
        <f t="shared" si="2"/>
        <v>-2.0076564713356376E-3</v>
      </c>
      <c r="K171" s="95">
        <f>I171/'סכום נכסי הקרן'!$C$42</f>
        <v>-3.234327771567594E-6</v>
      </c>
    </row>
    <row r="172" spans="2:11">
      <c r="B172" s="87" t="s">
        <v>2703</v>
      </c>
      <c r="C172" s="84" t="s">
        <v>2704</v>
      </c>
      <c r="D172" s="97" t="s">
        <v>1838</v>
      </c>
      <c r="E172" s="97" t="s">
        <v>171</v>
      </c>
      <c r="F172" s="107">
        <v>43741</v>
      </c>
      <c r="G172" s="94">
        <v>11524550.4</v>
      </c>
      <c r="H172" s="96">
        <v>-1.5249999999999999</v>
      </c>
      <c r="I172" s="94">
        <v>-175.75003000000001</v>
      </c>
      <c r="J172" s="95">
        <f t="shared" si="2"/>
        <v>-1.877497306674164E-3</v>
      </c>
      <c r="K172" s="95">
        <f>I172/'סכום נכסי הקרן'!$C$42</f>
        <v>-3.0246417983948139E-6</v>
      </c>
    </row>
    <row r="173" spans="2:11">
      <c r="B173" s="87" t="s">
        <v>2705</v>
      </c>
      <c r="C173" s="84" t="s">
        <v>2706</v>
      </c>
      <c r="D173" s="97" t="s">
        <v>1838</v>
      </c>
      <c r="E173" s="97" t="s">
        <v>171</v>
      </c>
      <c r="F173" s="107">
        <v>43745</v>
      </c>
      <c r="G173" s="94">
        <v>21819687.038472999</v>
      </c>
      <c r="H173" s="96">
        <v>-1.45</v>
      </c>
      <c r="I173" s="94">
        <v>-316.39332861600002</v>
      </c>
      <c r="J173" s="95">
        <f t="shared" si="2"/>
        <v>-3.379957444822136E-3</v>
      </c>
      <c r="K173" s="95">
        <f>I173/'סכום נכסי הקרן'!$C$42</f>
        <v>-5.445099989258719E-6</v>
      </c>
    </row>
    <row r="174" spans="2:11">
      <c r="B174" s="87" t="s">
        <v>2707</v>
      </c>
      <c r="C174" s="84" t="s">
        <v>2708</v>
      </c>
      <c r="D174" s="97" t="s">
        <v>1838</v>
      </c>
      <c r="E174" s="97" t="s">
        <v>171</v>
      </c>
      <c r="F174" s="107">
        <v>43745</v>
      </c>
      <c r="G174" s="94">
        <v>21819687.038472999</v>
      </c>
      <c r="H174" s="96">
        <v>-1.45</v>
      </c>
      <c r="I174" s="94">
        <v>-316.39332861600002</v>
      </c>
      <c r="J174" s="95">
        <f t="shared" si="2"/>
        <v>-3.379957444822136E-3</v>
      </c>
      <c r="K174" s="95">
        <f>I174/'סכום נכסי הקרן'!$C$42</f>
        <v>-5.445099989258719E-6</v>
      </c>
    </row>
    <row r="175" spans="2:11">
      <c r="B175" s="87" t="s">
        <v>2709</v>
      </c>
      <c r="C175" s="84" t="s">
        <v>2710</v>
      </c>
      <c r="D175" s="97" t="s">
        <v>1838</v>
      </c>
      <c r="E175" s="97" t="s">
        <v>171</v>
      </c>
      <c r="F175" s="107">
        <v>43753</v>
      </c>
      <c r="G175" s="94">
        <v>27284907.58052</v>
      </c>
      <c r="H175" s="96">
        <v>-1.2925</v>
      </c>
      <c r="I175" s="94">
        <v>-352.65481423299997</v>
      </c>
      <c r="J175" s="95">
        <f t="shared" si="2"/>
        <v>-3.7673305882686622E-3</v>
      </c>
      <c r="K175" s="95">
        <f>I175/'סכום נכסי הקרן'!$C$42</f>
        <v>-6.0691568105808572E-6</v>
      </c>
    </row>
    <row r="176" spans="2:11">
      <c r="B176" s="87" t="s">
        <v>2711</v>
      </c>
      <c r="C176" s="84" t="s">
        <v>2712</v>
      </c>
      <c r="D176" s="97" t="s">
        <v>1838</v>
      </c>
      <c r="E176" s="97" t="s">
        <v>171</v>
      </c>
      <c r="F176" s="107">
        <v>43753</v>
      </c>
      <c r="G176" s="94">
        <v>22716430.766548</v>
      </c>
      <c r="H176" s="96">
        <v>-1.1338999999999999</v>
      </c>
      <c r="I176" s="94">
        <v>-257.57638545000003</v>
      </c>
      <c r="J176" s="95">
        <f t="shared" si="2"/>
        <v>-2.7516295157687391E-3</v>
      </c>
      <c r="K176" s="95">
        <f>I176/'סכום נכסי הקרן'!$C$42</f>
        <v>-4.4328658248964387E-6</v>
      </c>
    </row>
    <row r="177" spans="2:11">
      <c r="B177" s="87" t="s">
        <v>2713</v>
      </c>
      <c r="C177" s="84" t="s">
        <v>2650</v>
      </c>
      <c r="D177" s="97" t="s">
        <v>1838</v>
      </c>
      <c r="E177" s="97" t="s">
        <v>171</v>
      </c>
      <c r="F177" s="107">
        <v>43822</v>
      </c>
      <c r="G177" s="94">
        <v>18194317.841412999</v>
      </c>
      <c r="H177" s="96">
        <v>-1.0169999999999999</v>
      </c>
      <c r="I177" s="94">
        <v>-185.02731207600002</v>
      </c>
      <c r="J177" s="95">
        <f t="shared" si="2"/>
        <v>-1.9766043856939883E-3</v>
      </c>
      <c r="K177" s="95">
        <f>I177/'סכום נכסי הקרן'!$C$42</f>
        <v>-3.1843029668314201E-6</v>
      </c>
    </row>
    <row r="178" spans="2:11">
      <c r="B178" s="87" t="s">
        <v>2714</v>
      </c>
      <c r="C178" s="84" t="s">
        <v>2715</v>
      </c>
      <c r="D178" s="97" t="s">
        <v>1838</v>
      </c>
      <c r="E178" s="97" t="s">
        <v>171</v>
      </c>
      <c r="F178" s="107">
        <v>43761</v>
      </c>
      <c r="G178" s="94">
        <v>1468641.02</v>
      </c>
      <c r="H178" s="96">
        <v>-0.4224</v>
      </c>
      <c r="I178" s="94">
        <v>-6.2034700000000003</v>
      </c>
      <c r="J178" s="95">
        <f t="shared" si="2"/>
        <v>-6.6270248813237619E-5</v>
      </c>
      <c r="K178" s="95">
        <f>I178/'סכום נכסי הקרן'!$C$42</f>
        <v>-1.0676114625464517E-7</v>
      </c>
    </row>
    <row r="179" spans="2:11">
      <c r="B179" s="87" t="s">
        <v>2716</v>
      </c>
      <c r="C179" s="84" t="s">
        <v>2717</v>
      </c>
      <c r="D179" s="97" t="s">
        <v>1838</v>
      </c>
      <c r="E179" s="97" t="s">
        <v>171</v>
      </c>
      <c r="F179" s="107">
        <v>43766</v>
      </c>
      <c r="G179" s="94">
        <v>20420561.155184001</v>
      </c>
      <c r="H179" s="96">
        <v>-0.64859999999999995</v>
      </c>
      <c r="I179" s="94">
        <v>-132.438899453</v>
      </c>
      <c r="J179" s="95">
        <f t="shared" si="2"/>
        <v>-1.4148144214934013E-3</v>
      </c>
      <c r="K179" s="95">
        <f>I179/'סכום נכסי הקרן'!$C$42</f>
        <v>-2.2792612383562715E-6</v>
      </c>
    </row>
    <row r="180" spans="2:11">
      <c r="B180" s="87" t="s">
        <v>2718</v>
      </c>
      <c r="C180" s="84" t="s">
        <v>2719</v>
      </c>
      <c r="D180" s="97" t="s">
        <v>1838</v>
      </c>
      <c r="E180" s="97" t="s">
        <v>171</v>
      </c>
      <c r="F180" s="107">
        <v>43775</v>
      </c>
      <c r="G180" s="94">
        <v>4842115.2</v>
      </c>
      <c r="H180" s="96">
        <v>-0.68659999999999999</v>
      </c>
      <c r="I180" s="94">
        <v>-33.245359999999998</v>
      </c>
      <c r="J180" s="95">
        <f t="shared" ref="J180:J199" si="3">I180/$I$11</f>
        <v>-3.5515256446563896E-4</v>
      </c>
      <c r="K180" s="95">
        <f>I180/'סכום נכסי הקרן'!$C$42</f>
        <v>-5.7214957777636229E-7</v>
      </c>
    </row>
    <row r="181" spans="2:11">
      <c r="B181" s="87" t="s">
        <v>2720</v>
      </c>
      <c r="C181" s="84" t="s">
        <v>2721</v>
      </c>
      <c r="D181" s="97" t="s">
        <v>1838</v>
      </c>
      <c r="E181" s="97" t="s">
        <v>171</v>
      </c>
      <c r="F181" s="107">
        <v>43766</v>
      </c>
      <c r="G181" s="94">
        <v>31018291.199999999</v>
      </c>
      <c r="H181" s="96">
        <v>-0.59379999999999999</v>
      </c>
      <c r="I181" s="94">
        <v>-184.18464</v>
      </c>
      <c r="J181" s="95">
        <f t="shared" si="3"/>
        <v>-1.9676023129597785E-3</v>
      </c>
      <c r="K181" s="95">
        <f>I181/'סכום נכסי הקרן'!$C$42</f>
        <v>-3.1698006581637643E-6</v>
      </c>
    </row>
    <row r="182" spans="2:11">
      <c r="B182" s="87" t="s">
        <v>2722</v>
      </c>
      <c r="C182" s="84" t="s">
        <v>2723</v>
      </c>
      <c r="D182" s="97" t="s">
        <v>1838</v>
      </c>
      <c r="E182" s="97" t="s">
        <v>171</v>
      </c>
      <c r="F182" s="107">
        <v>43790</v>
      </c>
      <c r="G182" s="94">
        <v>103181783.04000001</v>
      </c>
      <c r="H182" s="96">
        <v>-0.7581</v>
      </c>
      <c r="I182" s="94">
        <v>-782.24981000000002</v>
      </c>
      <c r="J182" s="95">
        <f t="shared" si="3"/>
        <v>-8.3565955090953697E-3</v>
      </c>
      <c r="K182" s="95">
        <f>I182/'סכום נכסי הקרן'!$C$42</f>
        <v>-1.3462447045456557E-5</v>
      </c>
    </row>
    <row r="183" spans="2:11">
      <c r="B183" s="87" t="s">
        <v>2724</v>
      </c>
      <c r="C183" s="84" t="s">
        <v>2725</v>
      </c>
      <c r="D183" s="97" t="s">
        <v>1838</v>
      </c>
      <c r="E183" s="97" t="s">
        <v>171</v>
      </c>
      <c r="F183" s="107">
        <v>43774</v>
      </c>
      <c r="G183" s="94">
        <v>34914240</v>
      </c>
      <c r="H183" s="96">
        <v>-0.5403</v>
      </c>
      <c r="I183" s="94">
        <v>-188.65454</v>
      </c>
      <c r="J183" s="95">
        <f t="shared" si="3"/>
        <v>-2.0153532306188132E-3</v>
      </c>
      <c r="K183" s="95">
        <f>I183/'סכום נכסי הקרן'!$C$42</f>
        <v>-3.2467272246892153E-6</v>
      </c>
    </row>
    <row r="184" spans="2:11">
      <c r="B184" s="87" t="s">
        <v>2726</v>
      </c>
      <c r="C184" s="84" t="s">
        <v>2727</v>
      </c>
      <c r="D184" s="97" t="s">
        <v>1838</v>
      </c>
      <c r="E184" s="97" t="s">
        <v>171</v>
      </c>
      <c r="F184" s="107">
        <v>43760</v>
      </c>
      <c r="G184" s="94">
        <v>33037022.775931001</v>
      </c>
      <c r="H184" s="96">
        <v>-0.34300000000000003</v>
      </c>
      <c r="I184" s="94">
        <v>-113.31238205</v>
      </c>
      <c r="J184" s="95">
        <f t="shared" si="3"/>
        <v>-1.2104902179061298E-3</v>
      </c>
      <c r="K184" s="95">
        <f>I184/'סכום נכסי הקרן'!$C$42</f>
        <v>-1.9500956388121935E-6</v>
      </c>
    </row>
    <row r="185" spans="2:11">
      <c r="B185" s="87" t="s">
        <v>2728</v>
      </c>
      <c r="C185" s="84" t="s">
        <v>2729</v>
      </c>
      <c r="D185" s="97" t="s">
        <v>1838</v>
      </c>
      <c r="E185" s="97" t="s">
        <v>171</v>
      </c>
      <c r="F185" s="107">
        <v>43809</v>
      </c>
      <c r="G185" s="94">
        <v>77604480</v>
      </c>
      <c r="H185" s="96">
        <v>-1.2023999999999999</v>
      </c>
      <c r="I185" s="94">
        <v>-933.09368999999992</v>
      </c>
      <c r="J185" s="95">
        <f t="shared" si="3"/>
        <v>-9.9680261212453675E-3</v>
      </c>
      <c r="K185" s="95">
        <f>I185/'סכום נכסי הקרן'!$C$42</f>
        <v>-1.6058456300647303E-5</v>
      </c>
    </row>
    <row r="186" spans="2:11">
      <c r="B186" s="87" t="s">
        <v>2730</v>
      </c>
      <c r="C186" s="84" t="s">
        <v>2731</v>
      </c>
      <c r="D186" s="97" t="s">
        <v>1838</v>
      </c>
      <c r="E186" s="97" t="s">
        <v>171</v>
      </c>
      <c r="F186" s="107">
        <v>43804</v>
      </c>
      <c r="G186" s="94">
        <v>103256246.02</v>
      </c>
      <c r="H186" s="96">
        <v>-1.0103</v>
      </c>
      <c r="I186" s="94">
        <v>-1043.23125</v>
      </c>
      <c r="J186" s="95">
        <f t="shared" si="3"/>
        <v>-1.1144600442533759E-2</v>
      </c>
      <c r="K186" s="95">
        <f>I186/'סכום נכסי הקרן'!$C$42</f>
        <v>-1.7953913544946022E-5</v>
      </c>
    </row>
    <row r="187" spans="2:11">
      <c r="B187" s="87" t="s">
        <v>2732</v>
      </c>
      <c r="C187" s="84" t="s">
        <v>2733</v>
      </c>
      <c r="D187" s="97" t="s">
        <v>1838</v>
      </c>
      <c r="E187" s="97" t="s">
        <v>171</v>
      </c>
      <c r="F187" s="107">
        <v>43804</v>
      </c>
      <c r="G187" s="94">
        <v>64056199.68</v>
      </c>
      <c r="H187" s="96">
        <v>-1.0004999999999999</v>
      </c>
      <c r="I187" s="94">
        <v>-640.90410999999995</v>
      </c>
      <c r="J187" s="95">
        <f t="shared" si="3"/>
        <v>-6.84663177788022E-3</v>
      </c>
      <c r="K187" s="95">
        <f>I187/'סכום נכסי הקרן'!$C$42</f>
        <v>-1.1029900591590381E-5</v>
      </c>
    </row>
    <row r="188" spans="2:11">
      <c r="B188" s="87" t="s">
        <v>2734</v>
      </c>
      <c r="C188" s="84" t="s">
        <v>2735</v>
      </c>
      <c r="D188" s="97" t="s">
        <v>1838</v>
      </c>
      <c r="E188" s="97" t="s">
        <v>171</v>
      </c>
      <c r="F188" s="107">
        <v>43804</v>
      </c>
      <c r="G188" s="94">
        <v>15529881.6</v>
      </c>
      <c r="H188" s="96">
        <v>-0.99339999999999995</v>
      </c>
      <c r="I188" s="94">
        <v>-154.27529000000001</v>
      </c>
      <c r="J188" s="95">
        <f t="shared" si="3"/>
        <v>-1.648087579054044E-3</v>
      </c>
      <c r="K188" s="95">
        <f>I188/'סכום נכסי הקרן'!$C$42</f>
        <v>-2.6550635046462378E-6</v>
      </c>
    </row>
    <row r="189" spans="2:11">
      <c r="B189" s="87" t="s">
        <v>2736</v>
      </c>
      <c r="C189" s="84" t="s">
        <v>2737</v>
      </c>
      <c r="D189" s="97" t="s">
        <v>1838</v>
      </c>
      <c r="E189" s="97" t="s">
        <v>171</v>
      </c>
      <c r="F189" s="107">
        <v>43762</v>
      </c>
      <c r="G189" s="94">
        <v>33377177.337983001</v>
      </c>
      <c r="H189" s="96">
        <v>-0.3286</v>
      </c>
      <c r="I189" s="94">
        <v>-109.67864421</v>
      </c>
      <c r="J189" s="95">
        <f t="shared" si="3"/>
        <v>-1.1716718290400796E-3</v>
      </c>
      <c r="K189" s="95">
        <f>I189/'סכום נכסי הקרן'!$C$42</f>
        <v>-1.8875593459007621E-6</v>
      </c>
    </row>
    <row r="190" spans="2:11">
      <c r="B190" s="87" t="s">
        <v>2738</v>
      </c>
      <c r="C190" s="84" t="s">
        <v>2739</v>
      </c>
      <c r="D190" s="97" t="s">
        <v>1838</v>
      </c>
      <c r="E190" s="97" t="s">
        <v>171</v>
      </c>
      <c r="F190" s="107">
        <v>43760</v>
      </c>
      <c r="G190" s="94">
        <v>22873194.090532999</v>
      </c>
      <c r="H190" s="96">
        <v>-0.2762</v>
      </c>
      <c r="I190" s="94">
        <v>-63.181180554000001</v>
      </c>
      <c r="J190" s="95">
        <f t="shared" si="3"/>
        <v>-6.7495007723542954E-4</v>
      </c>
      <c r="K190" s="95">
        <f>I190/'סכום נכסי הקרן'!$C$42</f>
        <v>-1.0873422870855725E-6</v>
      </c>
    </row>
    <row r="191" spans="2:11">
      <c r="B191" s="87" t="s">
        <v>2740</v>
      </c>
      <c r="C191" s="84" t="s">
        <v>2741</v>
      </c>
      <c r="D191" s="97" t="s">
        <v>1838</v>
      </c>
      <c r="E191" s="97" t="s">
        <v>171</v>
      </c>
      <c r="F191" s="107">
        <v>43760</v>
      </c>
      <c r="G191" s="94">
        <v>27550469.041710995</v>
      </c>
      <c r="H191" s="96">
        <v>-0.27179999999999999</v>
      </c>
      <c r="I191" s="94">
        <v>-74.875573803999998</v>
      </c>
      <c r="J191" s="95">
        <f t="shared" si="3"/>
        <v>-7.9987860117402296E-4</v>
      </c>
      <c r="K191" s="95">
        <f>I191/'סכום נכסי הקרן'!$C$42</f>
        <v>-1.28860171577993E-6</v>
      </c>
    </row>
    <row r="192" spans="2:11">
      <c r="B192" s="87" t="s">
        <v>2742</v>
      </c>
      <c r="C192" s="84" t="s">
        <v>2743</v>
      </c>
      <c r="D192" s="97" t="s">
        <v>1838</v>
      </c>
      <c r="E192" s="97" t="s">
        <v>171</v>
      </c>
      <c r="F192" s="107">
        <v>43768</v>
      </c>
      <c r="G192" s="94">
        <v>3884889.6</v>
      </c>
      <c r="H192" s="96">
        <v>-0.39810000000000001</v>
      </c>
      <c r="I192" s="94">
        <v>-15.464379999999998</v>
      </c>
      <c r="J192" s="95">
        <f t="shared" si="3"/>
        <v>-1.6520242869594846E-4</v>
      </c>
      <c r="K192" s="95">
        <f>I192/'סכום נכסי הקרן'!$C$42</f>
        <v>-2.6614055277407796E-7</v>
      </c>
    </row>
    <row r="193" spans="2:11">
      <c r="B193" s="87" t="s">
        <v>2744</v>
      </c>
      <c r="C193" s="84" t="s">
        <v>2745</v>
      </c>
      <c r="D193" s="97" t="s">
        <v>1838</v>
      </c>
      <c r="E193" s="97" t="s">
        <v>171</v>
      </c>
      <c r="F193" s="107">
        <v>43768</v>
      </c>
      <c r="G193" s="94">
        <v>12138390.179312</v>
      </c>
      <c r="H193" s="96">
        <v>-0.30780000000000002</v>
      </c>
      <c r="I193" s="94">
        <v>-37.359914562999997</v>
      </c>
      <c r="J193" s="95">
        <f t="shared" si="3"/>
        <v>-3.9910740822979871E-4</v>
      </c>
      <c r="K193" s="95">
        <f>I193/'סכום נכסי הקרן'!$C$42</f>
        <v>-6.4296068212169811E-7</v>
      </c>
    </row>
    <row r="194" spans="2:11">
      <c r="B194" s="87" t="s">
        <v>2746</v>
      </c>
      <c r="C194" s="84" t="s">
        <v>2747</v>
      </c>
      <c r="D194" s="97" t="s">
        <v>1838</v>
      </c>
      <c r="E194" s="97" t="s">
        <v>171</v>
      </c>
      <c r="F194" s="107">
        <v>43762</v>
      </c>
      <c r="G194" s="94">
        <v>7738756.2800000003</v>
      </c>
      <c r="H194" s="96">
        <v>-0.21190000000000001</v>
      </c>
      <c r="I194" s="94">
        <v>-16.401990000000001</v>
      </c>
      <c r="J194" s="95">
        <f t="shared" si="3"/>
        <v>-1.7521870152225052E-4</v>
      </c>
      <c r="K194" s="95">
        <f>I194/'סכום נכסי הקרן'!$C$42</f>
        <v>-2.8227673435306813E-7</v>
      </c>
    </row>
    <row r="195" spans="2:11">
      <c r="B195" s="87" t="s">
        <v>2748</v>
      </c>
      <c r="C195" s="84" t="s">
        <v>2749</v>
      </c>
      <c r="D195" s="97" t="s">
        <v>1838</v>
      </c>
      <c r="E195" s="97" t="s">
        <v>172</v>
      </c>
      <c r="F195" s="107">
        <v>43741</v>
      </c>
      <c r="G195" s="94">
        <v>91977206.400000006</v>
      </c>
      <c r="H195" s="96">
        <v>-6.9724000000000004</v>
      </c>
      <c r="I195" s="94">
        <v>-6412.9747900000002</v>
      </c>
      <c r="J195" s="95">
        <f t="shared" si="3"/>
        <v>-6.850834048787538E-2</v>
      </c>
      <c r="K195" s="95">
        <f>I195/'סכום נכסי הקרן'!$C$42</f>
        <v>-1.103667043578098E-4</v>
      </c>
    </row>
    <row r="196" spans="2:11">
      <c r="B196" s="87" t="s">
        <v>2750</v>
      </c>
      <c r="C196" s="84" t="s">
        <v>2751</v>
      </c>
      <c r="D196" s="97" t="s">
        <v>1838</v>
      </c>
      <c r="E196" s="97" t="s">
        <v>172</v>
      </c>
      <c r="F196" s="107">
        <v>43741</v>
      </c>
      <c r="G196" s="94">
        <v>39503837.310000002</v>
      </c>
      <c r="H196" s="96">
        <v>-6.9474999999999998</v>
      </c>
      <c r="I196" s="94">
        <v>-2744.5165699999998</v>
      </c>
      <c r="J196" s="95">
        <f t="shared" si="3"/>
        <v>-2.9319041756622255E-2</v>
      </c>
      <c r="K196" s="95">
        <f>I196/'סכום נכסי הקרן'!$C$42</f>
        <v>-4.7232876910514124E-5</v>
      </c>
    </row>
    <row r="197" spans="2:11">
      <c r="B197" s="87" t="s">
        <v>2752</v>
      </c>
      <c r="C197" s="84" t="s">
        <v>2753</v>
      </c>
      <c r="D197" s="97" t="s">
        <v>1838</v>
      </c>
      <c r="E197" s="97" t="s">
        <v>172</v>
      </c>
      <c r="F197" s="107">
        <v>43768</v>
      </c>
      <c r="G197" s="94">
        <v>8955532.8000000007</v>
      </c>
      <c r="H197" s="96">
        <v>-2.2328999999999999</v>
      </c>
      <c r="I197" s="94">
        <v>-199.96548000000001</v>
      </c>
      <c r="J197" s="95">
        <f t="shared" si="3"/>
        <v>-2.1361854113356705E-3</v>
      </c>
      <c r="K197" s="95">
        <f>I197/'סכום נכסי הקרן'!$C$42</f>
        <v>-3.4413874583354676E-6</v>
      </c>
    </row>
    <row r="198" spans="2:11">
      <c r="B198" s="87" t="s">
        <v>2754</v>
      </c>
      <c r="C198" s="84" t="s">
        <v>2755</v>
      </c>
      <c r="D198" s="97" t="s">
        <v>1838</v>
      </c>
      <c r="E198" s="97" t="s">
        <v>169</v>
      </c>
      <c r="F198" s="107">
        <v>43773</v>
      </c>
      <c r="G198" s="94">
        <v>37851404.229999997</v>
      </c>
      <c r="H198" s="96">
        <v>0.59589999999999999</v>
      </c>
      <c r="I198" s="94">
        <v>225.56682999999998</v>
      </c>
      <c r="J198" s="95">
        <f t="shared" si="3"/>
        <v>2.4096787681915557E-3</v>
      </c>
      <c r="K198" s="95">
        <f>I198/'סכום נכסי הקרן'!$C$42</f>
        <v>3.8819843293876942E-6</v>
      </c>
    </row>
    <row r="199" spans="2:11">
      <c r="B199" s="87" t="s">
        <v>2756</v>
      </c>
      <c r="C199" s="84" t="s">
        <v>2757</v>
      </c>
      <c r="D199" s="97" t="s">
        <v>1838</v>
      </c>
      <c r="E199" s="97" t="s">
        <v>169</v>
      </c>
      <c r="F199" s="107">
        <v>43773</v>
      </c>
      <c r="G199" s="94">
        <v>7289748.8200000003</v>
      </c>
      <c r="H199" s="96">
        <v>0.57750000000000001</v>
      </c>
      <c r="I199" s="94">
        <v>42.098080000000003</v>
      </c>
      <c r="J199" s="95">
        <f t="shared" si="3"/>
        <v>4.4972414409348034E-4</v>
      </c>
      <c r="K199" s="95">
        <f>I199/'סכום נכסי הקרן'!$C$42</f>
        <v>7.2450407206285393E-7</v>
      </c>
    </row>
    <row r="200" spans="2:11">
      <c r="B200" s="83"/>
      <c r="C200" s="84"/>
      <c r="D200" s="84"/>
      <c r="E200" s="84"/>
      <c r="F200" s="84"/>
      <c r="G200" s="94"/>
      <c r="H200" s="96"/>
      <c r="I200" s="84"/>
      <c r="J200" s="95"/>
      <c r="K200" s="84"/>
    </row>
    <row r="201" spans="2:11">
      <c r="B201" s="102" t="s">
        <v>236</v>
      </c>
      <c r="C201" s="82"/>
      <c r="D201" s="82"/>
      <c r="E201" s="82"/>
      <c r="F201" s="82"/>
      <c r="G201" s="91"/>
      <c r="H201" s="93"/>
      <c r="I201" s="91">
        <v>168.47922275099998</v>
      </c>
      <c r="J201" s="92">
        <f t="shared" ref="J201:J203" si="4">I201/$I$11</f>
        <v>1.799824938553689E-3</v>
      </c>
      <c r="K201" s="92">
        <f>I201/'סכום נכסי הקרן'!$C$42</f>
        <v>2.8995118765768915E-6</v>
      </c>
    </row>
    <row r="202" spans="2:11">
      <c r="B202" s="87" t="s">
        <v>2758</v>
      </c>
      <c r="C202" s="84" t="s">
        <v>2759</v>
      </c>
      <c r="D202" s="97" t="s">
        <v>1838</v>
      </c>
      <c r="E202" s="97" t="s">
        <v>170</v>
      </c>
      <c r="F202" s="107">
        <v>43614</v>
      </c>
      <c r="G202" s="94">
        <v>82012.100000000006</v>
      </c>
      <c r="H202" s="96">
        <v>0.25469999999999998</v>
      </c>
      <c r="I202" s="94">
        <v>0.20885283400000001</v>
      </c>
      <c r="J202" s="95">
        <f t="shared" si="4"/>
        <v>2.2311269780509642E-6</v>
      </c>
      <c r="K202" s="95">
        <f>I202/'סכום נכסי הקרן'!$C$42</f>
        <v>3.5943380005659946E-9</v>
      </c>
    </row>
    <row r="203" spans="2:11">
      <c r="B203" s="87" t="s">
        <v>2758</v>
      </c>
      <c r="C203" s="84" t="s">
        <v>2760</v>
      </c>
      <c r="D203" s="97" t="s">
        <v>1838</v>
      </c>
      <c r="E203" s="97" t="s">
        <v>170</v>
      </c>
      <c r="F203" s="107">
        <v>43626</v>
      </c>
      <c r="G203" s="94">
        <v>16402420</v>
      </c>
      <c r="H203" s="96">
        <v>1.0259</v>
      </c>
      <c r="I203" s="94">
        <v>168.27036991700001</v>
      </c>
      <c r="J203" s="95">
        <f t="shared" si="4"/>
        <v>1.7975938115756382E-3</v>
      </c>
      <c r="K203" s="95">
        <f>I203/'סכום נכסי הקרן'!$C$42</f>
        <v>2.8959175385763263E-6</v>
      </c>
    </row>
    <row r="204" spans="2:11">
      <c r="C204" s="1"/>
      <c r="D204" s="1"/>
    </row>
    <row r="205" spans="2:11">
      <c r="C205" s="1"/>
      <c r="D205" s="1"/>
    </row>
    <row r="206" spans="2:11">
      <c r="C206" s="1"/>
      <c r="D206" s="1"/>
    </row>
    <row r="207" spans="2:11">
      <c r="B207" s="99" t="s">
        <v>265</v>
      </c>
      <c r="C207" s="1"/>
      <c r="D207" s="1"/>
    </row>
    <row r="208" spans="2:11">
      <c r="B208" s="99" t="s">
        <v>120</v>
      </c>
      <c r="C208" s="1"/>
      <c r="D208" s="1"/>
    </row>
    <row r="209" spans="2:4">
      <c r="B209" s="99" t="s">
        <v>247</v>
      </c>
      <c r="C209" s="1"/>
      <c r="D209" s="1"/>
    </row>
    <row r="210" spans="2:4">
      <c r="B210" s="99" t="s">
        <v>255</v>
      </c>
      <c r="C210" s="1"/>
      <c r="D210" s="1"/>
    </row>
    <row r="211" spans="2:4">
      <c r="C211" s="1"/>
      <c r="D211" s="1"/>
    </row>
    <row r="212" spans="2:4">
      <c r="C212" s="1"/>
      <c r="D212" s="1"/>
    </row>
    <row r="213" spans="2:4">
      <c r="C213" s="1"/>
      <c r="D213" s="1"/>
    </row>
    <row r="214" spans="2:4">
      <c r="C214" s="1"/>
      <c r="D214" s="1"/>
    </row>
    <row r="215" spans="2:4">
      <c r="C215" s="1"/>
      <c r="D215" s="1"/>
    </row>
    <row r="216" spans="2:4">
      <c r="C216" s="1"/>
      <c r="D216" s="1"/>
    </row>
    <row r="217" spans="2:4">
      <c r="C217" s="1"/>
      <c r="D217" s="1"/>
    </row>
    <row r="218" spans="2:4">
      <c r="C218" s="1"/>
      <c r="D218" s="1"/>
    </row>
    <row r="219" spans="2:4">
      <c r="C219" s="1"/>
      <c r="D219" s="1"/>
    </row>
    <row r="220" spans="2:4">
      <c r="C220" s="1"/>
      <c r="D220" s="1"/>
    </row>
    <row r="221" spans="2:4">
      <c r="C221" s="1"/>
      <c r="D221" s="1"/>
    </row>
    <row r="222" spans="2:4">
      <c r="C222" s="1"/>
      <c r="D222" s="1"/>
    </row>
    <row r="223" spans="2:4">
      <c r="C223" s="1"/>
      <c r="D223" s="1"/>
    </row>
    <row r="224" spans="2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D1:XFD40 D41:AF44 AH41:XFD44 C5:C1048576 A1:B1048576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185</v>
      </c>
      <c r="C1" s="78" t="s" vm="1">
        <v>273</v>
      </c>
    </row>
    <row r="2" spans="2:78">
      <c r="B2" s="57" t="s">
        <v>184</v>
      </c>
      <c r="C2" s="78" t="s">
        <v>274</v>
      </c>
    </row>
    <row r="3" spans="2:78">
      <c r="B3" s="57" t="s">
        <v>186</v>
      </c>
      <c r="C3" s="78" t="s">
        <v>275</v>
      </c>
    </row>
    <row r="4" spans="2:78">
      <c r="B4" s="57" t="s">
        <v>187</v>
      </c>
      <c r="C4" s="78">
        <v>2102</v>
      </c>
    </row>
    <row r="6" spans="2:78" ht="26.25" customHeight="1">
      <c r="B6" s="181" t="s">
        <v>216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3"/>
    </row>
    <row r="7" spans="2:78" ht="26.25" customHeight="1">
      <c r="B7" s="181" t="s">
        <v>108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3"/>
    </row>
    <row r="8" spans="2:78" s="3" customFormat="1" ht="63">
      <c r="B8" s="23" t="s">
        <v>124</v>
      </c>
      <c r="C8" s="31" t="s">
        <v>49</v>
      </c>
      <c r="D8" s="31" t="s">
        <v>55</v>
      </c>
      <c r="E8" s="31" t="s">
        <v>15</v>
      </c>
      <c r="F8" s="31" t="s">
        <v>71</v>
      </c>
      <c r="G8" s="31" t="s">
        <v>110</v>
      </c>
      <c r="H8" s="31" t="s">
        <v>18</v>
      </c>
      <c r="I8" s="31" t="s">
        <v>109</v>
      </c>
      <c r="J8" s="31" t="s">
        <v>17</v>
      </c>
      <c r="K8" s="31" t="s">
        <v>19</v>
      </c>
      <c r="L8" s="31" t="s">
        <v>249</v>
      </c>
      <c r="M8" s="31" t="s">
        <v>248</v>
      </c>
      <c r="N8" s="31" t="s">
        <v>118</v>
      </c>
      <c r="O8" s="31" t="s">
        <v>64</v>
      </c>
      <c r="P8" s="31" t="s">
        <v>188</v>
      </c>
      <c r="Q8" s="32" t="s">
        <v>190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256</v>
      </c>
      <c r="M9" s="17"/>
      <c r="N9" s="17" t="s">
        <v>252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121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91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362"/>
  <sheetViews>
    <sheetView rightToLeft="1" topLeftCell="A216" zoomScale="80" zoomScaleNormal="80" workbookViewId="0">
      <pane xSplit="28410" topLeftCell="AD1"/>
      <selection activeCell="A10" sqref="A10:XFD362"/>
      <selection pane="topRight" activeCell="AD89" sqref="AD89"/>
    </sheetView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48.42578125" style="2" bestFit="1" customWidth="1"/>
    <col min="4" max="4" width="11.28515625" style="2" bestFit="1" customWidth="1"/>
    <col min="5" max="5" width="12.42578125" style="2" bestFit="1" customWidth="1"/>
    <col min="6" max="6" width="7.28515625" style="1" bestFit="1" customWidth="1"/>
    <col min="7" max="7" width="12.28515625" style="1" bestFit="1" customWidth="1"/>
    <col min="8" max="8" width="11.140625" style="1" bestFit="1" customWidth="1"/>
    <col min="9" max="9" width="6.85546875" style="1" bestFit="1" customWidth="1"/>
    <col min="10" max="10" width="12.28515625" style="1" bestFit="1" customWidth="1"/>
    <col min="11" max="11" width="9" style="1" customWidth="1"/>
    <col min="12" max="12" width="8.140625" style="1" bestFit="1" customWidth="1"/>
    <col min="13" max="13" width="17.85546875" style="1" bestFit="1" customWidth="1"/>
    <col min="14" max="14" width="9.28515625" style="1" customWidth="1"/>
    <col min="15" max="15" width="14.28515625" style="1" bestFit="1" customWidth="1"/>
    <col min="16" max="16" width="11.42578125" style="1" bestFit="1" customWidth="1"/>
    <col min="17" max="17" width="13" style="1" bestFit="1" customWidth="1"/>
    <col min="18" max="16384" width="9.140625" style="1"/>
  </cols>
  <sheetData>
    <row r="1" spans="2:17">
      <c r="B1" s="57" t="s">
        <v>185</v>
      </c>
      <c r="C1" s="78" t="s" vm="1">
        <v>273</v>
      </c>
    </row>
    <row r="2" spans="2:17">
      <c r="B2" s="57" t="s">
        <v>184</v>
      </c>
      <c r="C2" s="78" t="s">
        <v>274</v>
      </c>
    </row>
    <row r="3" spans="2:17">
      <c r="B3" s="57" t="s">
        <v>186</v>
      </c>
      <c r="C3" s="78" t="s">
        <v>275</v>
      </c>
    </row>
    <row r="4" spans="2:17">
      <c r="B4" s="57" t="s">
        <v>187</v>
      </c>
      <c r="C4" s="78">
        <v>2102</v>
      </c>
    </row>
    <row r="6" spans="2:17" ht="26.25" customHeight="1">
      <c r="B6" s="181" t="s">
        <v>217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3"/>
    </row>
    <row r="7" spans="2:17" s="3" customFormat="1" ht="63">
      <c r="B7" s="23" t="s">
        <v>124</v>
      </c>
      <c r="C7" s="31" t="s">
        <v>231</v>
      </c>
      <c r="D7" s="31" t="s">
        <v>49</v>
      </c>
      <c r="E7" s="31" t="s">
        <v>125</v>
      </c>
      <c r="F7" s="31" t="s">
        <v>15</v>
      </c>
      <c r="G7" s="31" t="s">
        <v>110</v>
      </c>
      <c r="H7" s="31" t="s">
        <v>71</v>
      </c>
      <c r="I7" s="31" t="s">
        <v>18</v>
      </c>
      <c r="J7" s="31" t="s">
        <v>109</v>
      </c>
      <c r="K7" s="14" t="s">
        <v>38</v>
      </c>
      <c r="L7" s="71" t="s">
        <v>19</v>
      </c>
      <c r="M7" s="31" t="s">
        <v>249</v>
      </c>
      <c r="N7" s="31" t="s">
        <v>248</v>
      </c>
      <c r="O7" s="31" t="s">
        <v>118</v>
      </c>
      <c r="P7" s="31" t="s">
        <v>188</v>
      </c>
      <c r="Q7" s="32" t="s">
        <v>190</v>
      </c>
    </row>
    <row r="8" spans="2:17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256</v>
      </c>
      <c r="N8" s="17"/>
      <c r="O8" s="17" t="s">
        <v>252</v>
      </c>
      <c r="P8" s="33" t="s">
        <v>20</v>
      </c>
      <c r="Q8" s="18" t="s">
        <v>20</v>
      </c>
    </row>
    <row r="9" spans="2:17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121</v>
      </c>
    </row>
    <row r="10" spans="2:17" s="135" customFormat="1" ht="18" customHeight="1">
      <c r="B10" s="79" t="s">
        <v>43</v>
      </c>
      <c r="C10" s="80"/>
      <c r="D10" s="80"/>
      <c r="E10" s="80"/>
      <c r="F10" s="80"/>
      <c r="G10" s="80"/>
      <c r="H10" s="80"/>
      <c r="I10" s="88">
        <v>5.19521634099236</v>
      </c>
      <c r="J10" s="80"/>
      <c r="K10" s="80"/>
      <c r="L10" s="103">
        <v>2.661621288071829E-2</v>
      </c>
      <c r="M10" s="88"/>
      <c r="N10" s="90"/>
      <c r="O10" s="88">
        <f>O11+O231</f>
        <v>4941168.6001699995</v>
      </c>
      <c r="P10" s="89">
        <f>O10/$O$10</f>
        <v>1</v>
      </c>
      <c r="Q10" s="89">
        <f>O10/'סכום נכסי הקרן'!$C$42</f>
        <v>8.5037055646534868E-2</v>
      </c>
    </row>
    <row r="11" spans="2:17" s="132" customFormat="1" ht="21.75" customHeight="1">
      <c r="B11" s="81" t="s">
        <v>41</v>
      </c>
      <c r="C11" s="82"/>
      <c r="D11" s="82"/>
      <c r="E11" s="82"/>
      <c r="F11" s="82"/>
      <c r="G11" s="82"/>
      <c r="H11" s="82"/>
      <c r="I11" s="91">
        <v>5.7515241658623983</v>
      </c>
      <c r="J11" s="82"/>
      <c r="K11" s="82"/>
      <c r="L11" s="104">
        <v>1.765405022598876E-2</v>
      </c>
      <c r="M11" s="91"/>
      <c r="N11" s="93"/>
      <c r="O11" s="91">
        <f>O12+O16+O37</f>
        <v>2974302.4061299996</v>
      </c>
      <c r="P11" s="92">
        <f t="shared" ref="P11:P14" si="0">O11/$O$10</f>
        <v>0.60194311241022402</v>
      </c>
      <c r="Q11" s="92">
        <f>O11/'סכום נכסי הקרן'!$C$42</f>
        <v>5.1187469946076612E-2</v>
      </c>
    </row>
    <row r="12" spans="2:17" s="132" customFormat="1">
      <c r="B12" s="102" t="s">
        <v>91</v>
      </c>
      <c r="C12" s="82"/>
      <c r="D12" s="82"/>
      <c r="E12" s="82"/>
      <c r="F12" s="82"/>
      <c r="G12" s="82"/>
      <c r="H12" s="82"/>
      <c r="I12" s="91">
        <v>2.6827918113842117</v>
      </c>
      <c r="J12" s="82"/>
      <c r="K12" s="82"/>
      <c r="L12" s="104">
        <v>2.3019786104412864E-2</v>
      </c>
      <c r="M12" s="91"/>
      <c r="N12" s="93"/>
      <c r="O12" s="91">
        <v>270201.98248000001</v>
      </c>
      <c r="P12" s="92">
        <f t="shared" si="0"/>
        <v>5.468382165115835E-2</v>
      </c>
      <c r="Q12" s="92">
        <f>O12/'סכום נכסי הקרן'!$C$42</f>
        <v>4.65015118471474E-3</v>
      </c>
    </row>
    <row r="13" spans="2:17" s="132" customFormat="1">
      <c r="B13" s="87" t="s">
        <v>2824</v>
      </c>
      <c r="C13" s="97" t="s">
        <v>2825</v>
      </c>
      <c r="D13" s="84" t="s">
        <v>2826</v>
      </c>
      <c r="E13" s="84"/>
      <c r="F13" s="84" t="s">
        <v>2827</v>
      </c>
      <c r="G13" s="107"/>
      <c r="H13" s="84" t="s">
        <v>2781</v>
      </c>
      <c r="I13" s="94">
        <v>3.2600000000000002</v>
      </c>
      <c r="J13" s="97" t="s">
        <v>170</v>
      </c>
      <c r="K13" s="84"/>
      <c r="L13" s="98">
        <v>1.9299999999999998E-2</v>
      </c>
      <c r="M13" s="151">
        <v>94455684.139999613</v>
      </c>
      <c r="N13" s="96">
        <f>O13/M13*100000</f>
        <v>108.22726803197109</v>
      </c>
      <c r="O13" s="94">
        <v>102226.80644562939</v>
      </c>
      <c r="P13" s="95">
        <f t="shared" si="0"/>
        <v>2.0688791400907128E-2</v>
      </c>
      <c r="Q13" s="95">
        <f>O13/'סכום נכסי הקרן'!$C$42</f>
        <v>1.7593139056184914E-3</v>
      </c>
    </row>
    <row r="14" spans="2:17" s="132" customFormat="1">
      <c r="B14" s="87" t="s">
        <v>2828</v>
      </c>
      <c r="C14" s="97" t="s">
        <v>2825</v>
      </c>
      <c r="D14" s="84" t="s">
        <v>2829</v>
      </c>
      <c r="E14" s="84"/>
      <c r="F14" s="84" t="s">
        <v>2827</v>
      </c>
      <c r="G14" s="107"/>
      <c r="H14" s="84" t="s">
        <v>2781</v>
      </c>
      <c r="I14" s="94">
        <v>2.36</v>
      </c>
      <c r="J14" s="97" t="s">
        <v>170</v>
      </c>
      <c r="K14" s="84"/>
      <c r="L14" s="98">
        <v>2.5099999999999997E-2</v>
      </c>
      <c r="M14" s="151">
        <v>155205965.26999977</v>
      </c>
      <c r="N14" s="96">
        <f>O14/M14*100000</f>
        <v>108.22726803197109</v>
      </c>
      <c r="O14" s="94">
        <v>167975.17603437061</v>
      </c>
      <c r="P14" s="95">
        <f t="shared" si="0"/>
        <v>3.3995030250251218E-2</v>
      </c>
      <c r="Q14" s="95">
        <f>O14/'סכום נכסי הקרן'!$C$42</f>
        <v>2.890837279096249E-3</v>
      </c>
    </row>
    <row r="15" spans="2:17" s="132" customFormat="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94"/>
      <c r="N15" s="96"/>
      <c r="O15" s="84"/>
      <c r="P15" s="95"/>
      <c r="Q15" s="84"/>
    </row>
    <row r="16" spans="2:17" s="132" customFormat="1">
      <c r="B16" s="102" t="s">
        <v>39</v>
      </c>
      <c r="C16" s="82"/>
      <c r="D16" s="82"/>
      <c r="E16" s="82"/>
      <c r="F16" s="82"/>
      <c r="G16" s="82"/>
      <c r="H16" s="82"/>
      <c r="I16" s="91">
        <v>8.2071037544576857</v>
      </c>
      <c r="J16" s="82"/>
      <c r="K16" s="82"/>
      <c r="L16" s="104">
        <v>1.8605593450300294E-2</v>
      </c>
      <c r="M16" s="91"/>
      <c r="N16" s="93"/>
      <c r="O16" s="91">
        <f>SUM(O17:O35)</f>
        <v>675405.66271999991</v>
      </c>
      <c r="P16" s="92">
        <f t="shared" ref="P16:P35" si="1">O16/$O$10</f>
        <v>0.13668945898684023</v>
      </c>
      <c r="Q16" s="92">
        <f>O16/'סכום נכסי הקרן'!$C$42</f>
        <v>1.1623669130158677E-2</v>
      </c>
    </row>
    <row r="17" spans="2:17" s="132" customFormat="1">
      <c r="B17" s="152" t="s">
        <v>3134</v>
      </c>
      <c r="C17" s="97" t="s">
        <v>2825</v>
      </c>
      <c r="D17" s="84">
        <v>6028</v>
      </c>
      <c r="E17" s="84"/>
      <c r="F17" s="84" t="s">
        <v>942</v>
      </c>
      <c r="G17" s="107">
        <v>43100</v>
      </c>
      <c r="H17" s="84"/>
      <c r="I17" s="94">
        <v>10.079999999999998</v>
      </c>
      <c r="J17" s="97" t="s">
        <v>170</v>
      </c>
      <c r="K17" s="98">
        <v>2.3799999999999998E-2</v>
      </c>
      <c r="L17" s="98">
        <v>2.3799999999999998E-2</v>
      </c>
      <c r="M17" s="94">
        <v>16839491.399999999</v>
      </c>
      <c r="N17" s="96">
        <v>102.2</v>
      </c>
      <c r="O17" s="94">
        <v>17209.960210000001</v>
      </c>
      <c r="P17" s="95">
        <f t="shared" si="1"/>
        <v>3.4829736854977782E-3</v>
      </c>
      <c r="Q17" s="95">
        <f>O17/'סכום נכסי הקרן'!$C$42</f>
        <v>2.9618182710909119E-4</v>
      </c>
    </row>
    <row r="18" spans="2:17" s="132" customFormat="1">
      <c r="B18" s="152" t="s">
        <v>3134</v>
      </c>
      <c r="C18" s="97" t="s">
        <v>2825</v>
      </c>
      <c r="D18" s="84">
        <v>6869</v>
      </c>
      <c r="E18" s="84"/>
      <c r="F18" s="84" t="s">
        <v>942</v>
      </c>
      <c r="G18" s="107">
        <v>43555</v>
      </c>
      <c r="H18" s="84"/>
      <c r="I18" s="94">
        <v>4.96</v>
      </c>
      <c r="J18" s="97" t="s">
        <v>170</v>
      </c>
      <c r="K18" s="98">
        <v>3.3399999999999999E-2</v>
      </c>
      <c r="L18" s="98">
        <v>3.3399999999999999E-2</v>
      </c>
      <c r="M18" s="94">
        <v>4454592.7699999996</v>
      </c>
      <c r="N18" s="96">
        <v>112.15</v>
      </c>
      <c r="O18" s="94">
        <v>4995.8257899999999</v>
      </c>
      <c r="P18" s="95">
        <f t="shared" si="1"/>
        <v>1.0110615917514169E-3</v>
      </c>
      <c r="Q18" s="95">
        <f>O18/'סכום נכסי הקרן'!$C$42</f>
        <v>8.5977700839839349E-5</v>
      </c>
    </row>
    <row r="19" spans="2:17" s="132" customFormat="1">
      <c r="B19" s="152" t="s">
        <v>3134</v>
      </c>
      <c r="C19" s="97" t="s">
        <v>2825</v>
      </c>
      <c r="D19" s="84">
        <v>6870</v>
      </c>
      <c r="E19" s="84"/>
      <c r="F19" s="84" t="s">
        <v>942</v>
      </c>
      <c r="G19" s="107">
        <v>43555</v>
      </c>
      <c r="H19" s="84"/>
      <c r="I19" s="94">
        <v>6.8599999999999985</v>
      </c>
      <c r="J19" s="97" t="s">
        <v>170</v>
      </c>
      <c r="K19" s="98">
        <v>1.4799999999999997E-2</v>
      </c>
      <c r="L19" s="98">
        <v>1.4799999999999997E-2</v>
      </c>
      <c r="M19" s="94">
        <v>42260211.030000001</v>
      </c>
      <c r="N19" s="96">
        <v>101.23</v>
      </c>
      <c r="O19" s="94">
        <f>42780.01163-0.1534</f>
        <v>42779.858229999998</v>
      </c>
      <c r="P19" s="95">
        <f t="shared" si="1"/>
        <v>8.6578422417175095E-3</v>
      </c>
      <c r="Q19" s="95">
        <f>O19/'סכום נכסי הקרן'!$C$42</f>
        <v>7.3623741248785197E-4</v>
      </c>
    </row>
    <row r="20" spans="2:17" s="132" customFormat="1">
      <c r="B20" s="152" t="s">
        <v>3134</v>
      </c>
      <c r="C20" s="97" t="s">
        <v>2825</v>
      </c>
      <c r="D20" s="84">
        <v>6868</v>
      </c>
      <c r="E20" s="84"/>
      <c r="F20" s="84" t="s">
        <v>942</v>
      </c>
      <c r="G20" s="107">
        <v>43555</v>
      </c>
      <c r="H20" s="84"/>
      <c r="I20" s="94">
        <v>6.94</v>
      </c>
      <c r="J20" s="97" t="s">
        <v>170</v>
      </c>
      <c r="K20" s="98">
        <v>1.7299999999999999E-2</v>
      </c>
      <c r="L20" s="98">
        <v>1.7299999999999999E-2</v>
      </c>
      <c r="M20" s="94">
        <v>7820645.3399999999</v>
      </c>
      <c r="N20" s="96">
        <v>110.11</v>
      </c>
      <c r="O20" s="94">
        <v>8611.3115399999988</v>
      </c>
      <c r="P20" s="95">
        <f t="shared" si="1"/>
        <v>1.7427682066351125E-3</v>
      </c>
      <c r="Q20" s="95">
        <f>O20/'סכום נכסי הקרן'!$C$42</f>
        <v>1.4819987696664181E-4</v>
      </c>
    </row>
    <row r="21" spans="2:17" s="132" customFormat="1">
      <c r="B21" s="152" t="s">
        <v>3134</v>
      </c>
      <c r="C21" s="97" t="s">
        <v>2825</v>
      </c>
      <c r="D21" s="84">
        <v>6867</v>
      </c>
      <c r="E21" s="84"/>
      <c r="F21" s="84" t="s">
        <v>942</v>
      </c>
      <c r="G21" s="107">
        <v>43555</v>
      </c>
      <c r="H21" s="84"/>
      <c r="I21" s="94">
        <v>6.9099999999999993</v>
      </c>
      <c r="J21" s="97" t="s">
        <v>170</v>
      </c>
      <c r="K21" s="98">
        <v>9.1999999999999998E-3</v>
      </c>
      <c r="L21" s="98">
        <v>9.1999999999999998E-3</v>
      </c>
      <c r="M21" s="94">
        <v>19515118.609999999</v>
      </c>
      <c r="N21" s="96">
        <v>107.99</v>
      </c>
      <c r="O21" s="94">
        <v>21074.374179999999</v>
      </c>
      <c r="P21" s="95">
        <f t="shared" si="1"/>
        <v>4.2650587108634466E-3</v>
      </c>
      <c r="Q21" s="95">
        <f>O21/'סכום נכסי הקרן'!$C$42</f>
        <v>3.6268803493143313E-4</v>
      </c>
    </row>
    <row r="22" spans="2:17" s="132" customFormat="1">
      <c r="B22" s="152" t="s">
        <v>3134</v>
      </c>
      <c r="C22" s="97" t="s">
        <v>2825</v>
      </c>
      <c r="D22" s="84">
        <v>6866</v>
      </c>
      <c r="E22" s="84"/>
      <c r="F22" s="84" t="s">
        <v>942</v>
      </c>
      <c r="G22" s="107">
        <v>43555</v>
      </c>
      <c r="H22" s="84"/>
      <c r="I22" s="94">
        <v>7.5000000000000009</v>
      </c>
      <c r="J22" s="97" t="s">
        <v>170</v>
      </c>
      <c r="K22" s="98">
        <v>3.6000000000000003E-3</v>
      </c>
      <c r="L22" s="98">
        <v>3.6000000000000003E-3</v>
      </c>
      <c r="M22" s="94">
        <v>27176260.359999999</v>
      </c>
      <c r="N22" s="96">
        <v>106.96</v>
      </c>
      <c r="O22" s="94">
        <f>29067.72474-0.14843</f>
        <v>29067.57631</v>
      </c>
      <c r="P22" s="95">
        <f t="shared" si="1"/>
        <v>5.8827331471749287E-3</v>
      </c>
      <c r="Q22" s="95">
        <f>O22/'סכום נכסי הקרן'!$C$42</f>
        <v>5.0025030599002958E-4</v>
      </c>
    </row>
    <row r="23" spans="2:17" s="132" customFormat="1">
      <c r="B23" s="152" t="s">
        <v>3134</v>
      </c>
      <c r="C23" s="97" t="s">
        <v>2825</v>
      </c>
      <c r="D23" s="84">
        <v>6865</v>
      </c>
      <c r="E23" s="84"/>
      <c r="F23" s="84" t="s">
        <v>942</v>
      </c>
      <c r="G23" s="107">
        <v>43555</v>
      </c>
      <c r="H23" s="84"/>
      <c r="I23" s="94">
        <v>4.99</v>
      </c>
      <c r="J23" s="97" t="s">
        <v>170</v>
      </c>
      <c r="K23" s="98">
        <v>1.6899999999999998E-2</v>
      </c>
      <c r="L23" s="98">
        <v>1.6899999999999998E-2</v>
      </c>
      <c r="M23" s="94">
        <v>19141349.52</v>
      </c>
      <c r="N23" s="96">
        <v>116.95</v>
      </c>
      <c r="O23" s="94">
        <f>22385.81045-0.28585</f>
        <v>22385.524600000001</v>
      </c>
      <c r="P23" s="95">
        <f t="shared" si="1"/>
        <v>4.5304110042368988E-3</v>
      </c>
      <c r="Q23" s="95">
        <f>O23/'סכום נכסי הקרן'!$C$42</f>
        <v>3.852528126689671E-4</v>
      </c>
    </row>
    <row r="24" spans="2:17" s="132" customFormat="1">
      <c r="B24" s="152" t="s">
        <v>3134</v>
      </c>
      <c r="C24" s="97" t="s">
        <v>2825</v>
      </c>
      <c r="D24" s="84">
        <v>5212</v>
      </c>
      <c r="E24" s="84"/>
      <c r="F24" s="84" t="s">
        <v>942</v>
      </c>
      <c r="G24" s="107">
        <v>42643</v>
      </c>
      <c r="H24" s="84"/>
      <c r="I24" s="94">
        <v>8.67</v>
      </c>
      <c r="J24" s="97" t="s">
        <v>170</v>
      </c>
      <c r="K24" s="98">
        <v>1.95E-2</v>
      </c>
      <c r="L24" s="98">
        <v>1.95E-2</v>
      </c>
      <c r="M24" s="94">
        <v>44721868.939999998</v>
      </c>
      <c r="N24" s="96">
        <v>99.33</v>
      </c>
      <c r="O24" s="94">
        <f>44422.23242-9.14562</f>
        <v>44413.086799999997</v>
      </c>
      <c r="P24" s="95">
        <f t="shared" si="1"/>
        <v>8.9883771216533632E-3</v>
      </c>
      <c r="Q24" s="95">
        <f>O24/'סכום נכסי הקרן'!$C$42</f>
        <v>7.6434512546607789E-4</v>
      </c>
    </row>
    <row r="25" spans="2:17" s="132" customFormat="1">
      <c r="B25" s="152" t="s">
        <v>3134</v>
      </c>
      <c r="C25" s="97" t="s">
        <v>2825</v>
      </c>
      <c r="D25" s="84">
        <v>5211</v>
      </c>
      <c r="E25" s="84"/>
      <c r="F25" s="84" t="s">
        <v>942</v>
      </c>
      <c r="G25" s="107">
        <v>42643</v>
      </c>
      <c r="H25" s="84"/>
      <c r="I25" s="94">
        <v>5.8000000000000007</v>
      </c>
      <c r="J25" s="97" t="s">
        <v>170</v>
      </c>
      <c r="K25" s="98">
        <v>2.7400000000000001E-2</v>
      </c>
      <c r="L25" s="98">
        <v>2.7400000000000001E-2</v>
      </c>
      <c r="M25" s="94">
        <v>42477392.469999999</v>
      </c>
      <c r="N25" s="96">
        <v>106.57</v>
      </c>
      <c r="O25" s="94">
        <v>45268.157159999995</v>
      </c>
      <c r="P25" s="95">
        <f t="shared" si="1"/>
        <v>9.161427351101226E-3</v>
      </c>
      <c r="Q25" s="95">
        <f>O25/'סכום נכסי הקרן'!$C$42</f>
        <v>7.7906080745728152E-4</v>
      </c>
    </row>
    <row r="26" spans="2:17" s="132" customFormat="1">
      <c r="B26" s="152" t="s">
        <v>3134</v>
      </c>
      <c r="C26" s="97" t="s">
        <v>2825</v>
      </c>
      <c r="D26" s="84">
        <v>6027</v>
      </c>
      <c r="E26" s="84"/>
      <c r="F26" s="84" t="s">
        <v>942</v>
      </c>
      <c r="G26" s="107">
        <v>43100</v>
      </c>
      <c r="H26" s="84"/>
      <c r="I26" s="94">
        <v>10.26</v>
      </c>
      <c r="J26" s="97" t="s">
        <v>170</v>
      </c>
      <c r="K26" s="98">
        <v>1.9199999999999998E-2</v>
      </c>
      <c r="L26" s="98">
        <v>1.9199999999999998E-2</v>
      </c>
      <c r="M26" s="94">
        <v>63735164.950000003</v>
      </c>
      <c r="N26" s="96">
        <v>101.09</v>
      </c>
      <c r="O26" s="94">
        <v>64429.878250000002</v>
      </c>
      <c r="P26" s="95">
        <f t="shared" si="1"/>
        <v>1.3039400891478042E-2</v>
      </c>
      <c r="Q26" s="95">
        <f>O26/'סכום נכסי הקרן'!$C$42</f>
        <v>1.1088322592060947E-3</v>
      </c>
    </row>
    <row r="27" spans="2:17" s="132" customFormat="1">
      <c r="B27" s="152" t="s">
        <v>3134</v>
      </c>
      <c r="C27" s="97" t="s">
        <v>2825</v>
      </c>
      <c r="D27" s="84">
        <v>5025</v>
      </c>
      <c r="E27" s="84"/>
      <c r="F27" s="84" t="s">
        <v>942</v>
      </c>
      <c r="G27" s="107">
        <v>42551</v>
      </c>
      <c r="H27" s="84"/>
      <c r="I27" s="94">
        <v>9.6399999999999988</v>
      </c>
      <c r="J27" s="97" t="s">
        <v>170</v>
      </c>
      <c r="K27" s="98">
        <v>2.2099999999999998E-2</v>
      </c>
      <c r="L27" s="98">
        <v>2.2099999999999998E-2</v>
      </c>
      <c r="M27" s="94">
        <v>43728025.810000002</v>
      </c>
      <c r="N27" s="96">
        <v>97.77</v>
      </c>
      <c r="O27" s="94">
        <f>42752.89083-0.76977</f>
        <v>42752.121059999998</v>
      </c>
      <c r="P27" s="95">
        <f t="shared" si="1"/>
        <v>8.6522287578952722E-3</v>
      </c>
      <c r="Q27" s="95">
        <f>O27/'סכום נכסי הקרן'!$C$42</f>
        <v>7.3576005835168949E-4</v>
      </c>
    </row>
    <row r="28" spans="2:17" s="132" customFormat="1">
      <c r="B28" s="152" t="s">
        <v>3134</v>
      </c>
      <c r="C28" s="97" t="s">
        <v>2825</v>
      </c>
      <c r="D28" s="84">
        <v>5024</v>
      </c>
      <c r="E28" s="84"/>
      <c r="F28" s="84" t="s">
        <v>942</v>
      </c>
      <c r="G28" s="107">
        <v>42551</v>
      </c>
      <c r="H28" s="84"/>
      <c r="I28" s="94">
        <v>7</v>
      </c>
      <c r="J28" s="97" t="s">
        <v>170</v>
      </c>
      <c r="K28" s="98">
        <v>2.8799999999999999E-2</v>
      </c>
      <c r="L28" s="98">
        <v>2.8799999999999999E-2</v>
      </c>
      <c r="M28" s="94">
        <v>33844217.170000002</v>
      </c>
      <c r="N28" s="96">
        <v>110.56</v>
      </c>
      <c r="O28" s="94">
        <f>37418.1665-1.72379</f>
        <v>37416.442710000003</v>
      </c>
      <c r="P28" s="95">
        <f t="shared" si="1"/>
        <v>7.572387371827932E-3</v>
      </c>
      <c r="Q28" s="95">
        <f>O28/'סכום נכסי הקרן'!$C$42</f>
        <v>6.439335263152497E-4</v>
      </c>
    </row>
    <row r="29" spans="2:17" s="132" customFormat="1">
      <c r="B29" s="152" t="s">
        <v>3134</v>
      </c>
      <c r="C29" s="97" t="s">
        <v>2825</v>
      </c>
      <c r="D29" s="84">
        <v>6026</v>
      </c>
      <c r="E29" s="84"/>
      <c r="F29" s="84" t="s">
        <v>942</v>
      </c>
      <c r="G29" s="107">
        <v>43100</v>
      </c>
      <c r="H29" s="84"/>
      <c r="I29" s="94">
        <v>7.7399999999999993</v>
      </c>
      <c r="J29" s="97" t="s">
        <v>170</v>
      </c>
      <c r="K29" s="98">
        <v>2.69E-2</v>
      </c>
      <c r="L29" s="98">
        <v>2.69E-2</v>
      </c>
      <c r="M29" s="94">
        <v>85595145.069999993</v>
      </c>
      <c r="N29" s="96">
        <v>108.59</v>
      </c>
      <c r="O29" s="94">
        <v>92947.768030000007</v>
      </c>
      <c r="P29" s="95">
        <f t="shared" si="1"/>
        <v>1.8810887778005016E-2</v>
      </c>
      <c r="Q29" s="95">
        <f>O29/'סכום נכסי הקרן'!$C$42</f>
        <v>1.5996225107389353E-3</v>
      </c>
    </row>
    <row r="30" spans="2:17" s="132" customFormat="1">
      <c r="B30" s="152" t="s">
        <v>3134</v>
      </c>
      <c r="C30" s="97" t="s">
        <v>2825</v>
      </c>
      <c r="D30" s="84">
        <v>5023</v>
      </c>
      <c r="E30" s="84"/>
      <c r="F30" s="84" t="s">
        <v>942</v>
      </c>
      <c r="G30" s="107">
        <v>42551</v>
      </c>
      <c r="H30" s="84"/>
      <c r="I30" s="94">
        <v>9.77</v>
      </c>
      <c r="J30" s="97" t="s">
        <v>170</v>
      </c>
      <c r="K30" s="98">
        <v>1.29E-2</v>
      </c>
      <c r="L30" s="98">
        <v>1.29E-2</v>
      </c>
      <c r="M30" s="94">
        <v>39218639.670000002</v>
      </c>
      <c r="N30" s="96">
        <v>102.01</v>
      </c>
      <c r="O30" s="94">
        <f>40006.9163-3.81924</f>
        <v>40003.09706</v>
      </c>
      <c r="P30" s="95">
        <f t="shared" si="1"/>
        <v>8.0958777764886837E-3</v>
      </c>
      <c r="Q30" s="95">
        <f>O30/'סכום נכסי הקרן'!$C$42</f>
        <v>6.8844960898681317E-4</v>
      </c>
    </row>
    <row r="31" spans="2:17" s="132" customFormat="1">
      <c r="B31" s="152" t="s">
        <v>3134</v>
      </c>
      <c r="C31" s="97" t="s">
        <v>2825</v>
      </c>
      <c r="D31" s="84">
        <v>5210</v>
      </c>
      <c r="E31" s="84"/>
      <c r="F31" s="84" t="s">
        <v>942</v>
      </c>
      <c r="G31" s="107">
        <v>42643</v>
      </c>
      <c r="H31" s="84"/>
      <c r="I31" s="94">
        <v>8.93</v>
      </c>
      <c r="J31" s="97" t="s">
        <v>170</v>
      </c>
      <c r="K31" s="98">
        <v>5.4999999999999997E-3</v>
      </c>
      <c r="L31" s="98">
        <v>5.4999999999999997E-3</v>
      </c>
      <c r="M31" s="94">
        <v>32495740.780000001</v>
      </c>
      <c r="N31" s="96">
        <v>108.05</v>
      </c>
      <c r="O31" s="94">
        <f>35111.6331-1.70814</f>
        <v>35109.924959999997</v>
      </c>
      <c r="P31" s="95">
        <f t="shared" si="1"/>
        <v>7.1055913693760719E-3</v>
      </c>
      <c r="Q31" s="95">
        <f>O31/'סכום נכסי הקרן'!$C$42</f>
        <v>6.0423856867917092E-4</v>
      </c>
    </row>
    <row r="32" spans="2:17" s="132" customFormat="1">
      <c r="B32" s="152" t="s">
        <v>3134</v>
      </c>
      <c r="C32" s="97" t="s">
        <v>2825</v>
      </c>
      <c r="D32" s="84">
        <v>6025</v>
      </c>
      <c r="E32" s="84"/>
      <c r="F32" s="84" t="s">
        <v>942</v>
      </c>
      <c r="G32" s="107">
        <v>43100</v>
      </c>
      <c r="H32" s="84"/>
      <c r="I32" s="94">
        <v>10.380000000000003</v>
      </c>
      <c r="J32" s="97" t="s">
        <v>170</v>
      </c>
      <c r="K32" s="98">
        <v>1.34E-2</v>
      </c>
      <c r="L32" s="98">
        <v>1.34E-2</v>
      </c>
      <c r="M32" s="94">
        <v>35571586.170000002</v>
      </c>
      <c r="N32" s="96">
        <v>106.94</v>
      </c>
      <c r="O32" s="94">
        <v>38040.24987</v>
      </c>
      <c r="P32" s="95">
        <f t="shared" si="1"/>
        <v>7.6986342600597023E-3</v>
      </c>
      <c r="Q32" s="95">
        <f>O32/'סכום נכסי הקרן'!$C$42</f>
        <v>6.546691899750167E-4</v>
      </c>
    </row>
    <row r="33" spans="2:17" s="132" customFormat="1">
      <c r="B33" s="152" t="s">
        <v>3134</v>
      </c>
      <c r="C33" s="97" t="s">
        <v>2825</v>
      </c>
      <c r="D33" s="84">
        <v>5022</v>
      </c>
      <c r="E33" s="84"/>
      <c r="F33" s="84" t="s">
        <v>942</v>
      </c>
      <c r="G33" s="107">
        <v>42551</v>
      </c>
      <c r="H33" s="84"/>
      <c r="I33" s="94">
        <v>8.14</v>
      </c>
      <c r="J33" s="97" t="s">
        <v>170</v>
      </c>
      <c r="K33" s="98">
        <v>1.9099999999999999E-2</v>
      </c>
      <c r="L33" s="98">
        <v>1.9099999999999999E-2</v>
      </c>
      <c r="M33" s="94">
        <v>28886430.719999999</v>
      </c>
      <c r="N33" s="96">
        <v>108.04</v>
      </c>
      <c r="O33" s="94">
        <f>31208.89139-3.12101</f>
        <v>31205.770380000002</v>
      </c>
      <c r="P33" s="95">
        <f t="shared" si="1"/>
        <v>6.3154635886997212E-3</v>
      </c>
      <c r="Q33" s="95">
        <f>O33/'סכום נכסי הקרן'!$C$42</f>
        <v>5.3704842862592288E-4</v>
      </c>
    </row>
    <row r="34" spans="2:17" s="132" customFormat="1">
      <c r="B34" s="152" t="s">
        <v>3134</v>
      </c>
      <c r="C34" s="97" t="s">
        <v>2825</v>
      </c>
      <c r="D34" s="84">
        <v>6024</v>
      </c>
      <c r="E34" s="84"/>
      <c r="F34" s="84" t="s">
        <v>942</v>
      </c>
      <c r="G34" s="107">
        <v>43100</v>
      </c>
      <c r="H34" s="84"/>
      <c r="I34" s="94">
        <v>8.870000000000001</v>
      </c>
      <c r="J34" s="97" t="s">
        <v>170</v>
      </c>
      <c r="K34" s="98">
        <v>1.4000000000000002E-2</v>
      </c>
      <c r="L34" s="98">
        <v>1.4000000000000002E-2</v>
      </c>
      <c r="M34" s="94">
        <v>27638808.719999999</v>
      </c>
      <c r="N34" s="96">
        <v>113.48</v>
      </c>
      <c r="O34" s="94">
        <v>31364.523109999998</v>
      </c>
      <c r="P34" s="95">
        <f t="shared" si="1"/>
        <v>6.3475921685653292E-3</v>
      </c>
      <c r="Q34" s="95">
        <f>O34/'סכום נכסי הקרן'!$C$42</f>
        <v>5.3978054845979875E-4</v>
      </c>
    </row>
    <row r="35" spans="2:17" s="132" customFormat="1">
      <c r="B35" s="152" t="s">
        <v>3134</v>
      </c>
      <c r="C35" s="97" t="s">
        <v>2825</v>
      </c>
      <c r="D35" s="84">
        <v>5209</v>
      </c>
      <c r="E35" s="84"/>
      <c r="F35" s="84" t="s">
        <v>942</v>
      </c>
      <c r="G35" s="107">
        <v>42643</v>
      </c>
      <c r="H35" s="84"/>
      <c r="I35" s="94">
        <v>6.9399999999999995</v>
      </c>
      <c r="J35" s="97" t="s">
        <v>170</v>
      </c>
      <c r="K35" s="98">
        <v>1.5599999999999998E-2</v>
      </c>
      <c r="L35" s="98">
        <v>1.5599999999999998E-2</v>
      </c>
      <c r="M35" s="94">
        <v>24220092.809999999</v>
      </c>
      <c r="N35" s="96">
        <v>108.73</v>
      </c>
      <c r="O35" s="94">
        <f>26334.51471-4.30224</f>
        <v>26330.212469999999</v>
      </c>
      <c r="P35" s="95">
        <f t="shared" si="1"/>
        <v>5.328741963812794E-3</v>
      </c>
      <c r="Q35" s="95">
        <f>O35/'סכום נכסי הקרן'!$C$42</f>
        <v>4.5314052690277406E-4</v>
      </c>
    </row>
    <row r="36" spans="2:17" s="132" customFormat="1"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94"/>
      <c r="N36" s="96"/>
      <c r="O36" s="84"/>
      <c r="P36" s="95"/>
      <c r="Q36" s="84"/>
    </row>
    <row r="37" spans="2:17" s="132" customFormat="1">
      <c r="B37" s="102" t="s">
        <v>40</v>
      </c>
      <c r="C37" s="82"/>
      <c r="D37" s="82"/>
      <c r="E37" s="82"/>
      <c r="F37" s="82"/>
      <c r="G37" s="82"/>
      <c r="H37" s="82"/>
      <c r="I37" s="91">
        <v>5.340816623768462</v>
      </c>
      <c r="J37" s="82"/>
      <c r="K37" s="82"/>
      <c r="L37" s="104">
        <v>1.6625838976610983E-2</v>
      </c>
      <c r="M37" s="91"/>
      <c r="N37" s="93"/>
      <c r="O37" s="91">
        <f>SUM(O38:O229)</f>
        <v>2028694.7609299996</v>
      </c>
      <c r="P37" s="92">
        <f t="shared" ref="P37:P98" si="2">O37/$O$10</f>
        <v>0.4105698317722255</v>
      </c>
      <c r="Q37" s="92">
        <f>O37/'סכום נכסי הקרן'!$C$42</f>
        <v>3.4913649631203199E-2</v>
      </c>
    </row>
    <row r="38" spans="2:17" s="132" customFormat="1">
      <c r="B38" s="87" t="s">
        <v>3062</v>
      </c>
      <c r="C38" s="97" t="s">
        <v>2830</v>
      </c>
      <c r="D38" s="84">
        <v>90148620</v>
      </c>
      <c r="E38" s="84"/>
      <c r="F38" s="84" t="s">
        <v>428</v>
      </c>
      <c r="G38" s="107">
        <v>42368</v>
      </c>
      <c r="H38" s="84" t="s">
        <v>361</v>
      </c>
      <c r="I38" s="94">
        <v>9.35</v>
      </c>
      <c r="J38" s="97" t="s">
        <v>170</v>
      </c>
      <c r="K38" s="98">
        <v>3.1699999999999999E-2</v>
      </c>
      <c r="L38" s="98">
        <v>6.9999999999999993E-3</v>
      </c>
      <c r="M38" s="94">
        <v>3774882.67</v>
      </c>
      <c r="N38" s="96">
        <v>126.98</v>
      </c>
      <c r="O38" s="94">
        <v>4793.3462800000007</v>
      </c>
      <c r="P38" s="95">
        <f t="shared" si="2"/>
        <v>9.7008353040920056E-4</v>
      </c>
      <c r="Q38" s="95">
        <f>O38/'סכום נכסי הקרן'!$C$42</f>
        <v>8.2493047157194177E-5</v>
      </c>
    </row>
    <row r="39" spans="2:17" s="132" customFormat="1">
      <c r="B39" s="87" t="s">
        <v>3062</v>
      </c>
      <c r="C39" s="97" t="s">
        <v>2830</v>
      </c>
      <c r="D39" s="84">
        <v>90148621</v>
      </c>
      <c r="E39" s="84"/>
      <c r="F39" s="84" t="s">
        <v>428</v>
      </c>
      <c r="G39" s="107">
        <v>42388</v>
      </c>
      <c r="H39" s="84" t="s">
        <v>361</v>
      </c>
      <c r="I39" s="94">
        <v>9.3399999999999981</v>
      </c>
      <c r="J39" s="97" t="s">
        <v>170</v>
      </c>
      <c r="K39" s="98">
        <v>3.1899999999999998E-2</v>
      </c>
      <c r="L39" s="98">
        <v>7.000000000000001E-3</v>
      </c>
      <c r="M39" s="94">
        <v>5284835.7300000004</v>
      </c>
      <c r="N39" s="96">
        <v>127.29</v>
      </c>
      <c r="O39" s="94">
        <v>6727.06729</v>
      </c>
      <c r="P39" s="95">
        <f t="shared" si="2"/>
        <v>1.3614324534015206E-3</v>
      </c>
      <c r="Q39" s="95">
        <f>O39/'סכום נכסי הקרן'!$C$42</f>
        <v>1.1577220729890359E-4</v>
      </c>
    </row>
    <row r="40" spans="2:17" s="132" customFormat="1">
      <c r="B40" s="87" t="s">
        <v>3062</v>
      </c>
      <c r="C40" s="97" t="s">
        <v>2830</v>
      </c>
      <c r="D40" s="84">
        <v>90148622</v>
      </c>
      <c r="E40" s="84"/>
      <c r="F40" s="84" t="s">
        <v>428</v>
      </c>
      <c r="G40" s="107">
        <v>42509</v>
      </c>
      <c r="H40" s="84" t="s">
        <v>361</v>
      </c>
      <c r="I40" s="94">
        <v>9.4500000000000011</v>
      </c>
      <c r="J40" s="97" t="s">
        <v>170</v>
      </c>
      <c r="K40" s="98">
        <v>2.7400000000000001E-2</v>
      </c>
      <c r="L40" s="98">
        <v>8.4000000000000012E-3</v>
      </c>
      <c r="M40" s="94">
        <v>5284835.7300000004</v>
      </c>
      <c r="N40" s="96">
        <v>121.79</v>
      </c>
      <c r="O40" s="94">
        <v>6436.4011700000001</v>
      </c>
      <c r="P40" s="95">
        <f t="shared" si="2"/>
        <v>1.3026070735126418E-3</v>
      </c>
      <c r="Q40" s="95">
        <f>O40/'סכום נכסי הקרן'!$C$42</f>
        <v>1.1076987019586445E-4</v>
      </c>
    </row>
    <row r="41" spans="2:17" s="132" customFormat="1">
      <c r="B41" s="87" t="s">
        <v>3062</v>
      </c>
      <c r="C41" s="97" t="s">
        <v>2830</v>
      </c>
      <c r="D41" s="84">
        <v>90148623</v>
      </c>
      <c r="E41" s="84"/>
      <c r="F41" s="84" t="s">
        <v>428</v>
      </c>
      <c r="G41" s="107">
        <v>42723</v>
      </c>
      <c r="H41" s="84" t="s">
        <v>361</v>
      </c>
      <c r="I41" s="94">
        <v>9.2800000000000011</v>
      </c>
      <c r="J41" s="97" t="s">
        <v>170</v>
      </c>
      <c r="K41" s="98">
        <v>3.15E-2</v>
      </c>
      <c r="L41" s="98">
        <v>1.0899999999999998E-2</v>
      </c>
      <c r="M41" s="94">
        <v>754976.53</v>
      </c>
      <c r="N41" s="96">
        <v>122.67</v>
      </c>
      <c r="O41" s="94">
        <v>926.12973</v>
      </c>
      <c r="P41" s="95">
        <f t="shared" si="2"/>
        <v>1.8743131533057518E-4</v>
      </c>
      <c r="Q41" s="95">
        <f>O41/'סכום נכסי הקרן'!$C$42</f>
        <v>1.5938607191669345E-5</v>
      </c>
    </row>
    <row r="42" spans="2:17" s="132" customFormat="1">
      <c r="B42" s="87" t="s">
        <v>3062</v>
      </c>
      <c r="C42" s="97" t="s">
        <v>2830</v>
      </c>
      <c r="D42" s="84">
        <v>90148624</v>
      </c>
      <c r="E42" s="84"/>
      <c r="F42" s="84" t="s">
        <v>428</v>
      </c>
      <c r="G42" s="107">
        <v>42918</v>
      </c>
      <c r="H42" s="84" t="s">
        <v>361</v>
      </c>
      <c r="I42" s="94">
        <v>9.2099999999999991</v>
      </c>
      <c r="J42" s="97" t="s">
        <v>170</v>
      </c>
      <c r="K42" s="98">
        <v>3.1899999999999998E-2</v>
      </c>
      <c r="L42" s="98">
        <v>1.3600000000000001E-2</v>
      </c>
      <c r="M42" s="94">
        <v>3774882.67</v>
      </c>
      <c r="N42" s="96">
        <v>119.28</v>
      </c>
      <c r="O42" s="94">
        <v>4502.6800800000001</v>
      </c>
      <c r="P42" s="95">
        <f t="shared" si="2"/>
        <v>9.1125813432981959E-4</v>
      </c>
      <c r="Q42" s="95">
        <f>O42/'סכום נכסי הקרן'!$C$42</f>
        <v>7.7490708677362404E-5</v>
      </c>
    </row>
    <row r="43" spans="2:17" s="132" customFormat="1">
      <c r="B43" s="87" t="s">
        <v>3063</v>
      </c>
      <c r="C43" s="97" t="s">
        <v>2830</v>
      </c>
      <c r="D43" s="84">
        <v>90150400</v>
      </c>
      <c r="E43" s="84"/>
      <c r="F43" s="84" t="s">
        <v>465</v>
      </c>
      <c r="G43" s="107">
        <v>42229</v>
      </c>
      <c r="H43" s="84" t="s">
        <v>168</v>
      </c>
      <c r="I43" s="94">
        <v>3.87</v>
      </c>
      <c r="J43" s="97" t="s">
        <v>169</v>
      </c>
      <c r="K43" s="98">
        <v>9.8519999999999996E-2</v>
      </c>
      <c r="L43" s="98">
        <v>2.7399999999999997E-2</v>
      </c>
      <c r="M43" s="94">
        <v>7128076.4100000001</v>
      </c>
      <c r="N43" s="96">
        <v>129.28</v>
      </c>
      <c r="O43" s="94">
        <v>31847.652340000001</v>
      </c>
      <c r="P43" s="95">
        <f t="shared" si="2"/>
        <v>6.4453684779961348E-3</v>
      </c>
      <c r="Q43" s="95">
        <f>O43/'סכום נכסי הקרן'!$C$42</f>
        <v>5.4809515792577897E-4</v>
      </c>
    </row>
    <row r="44" spans="2:17" s="132" customFormat="1">
      <c r="B44" s="87" t="s">
        <v>3063</v>
      </c>
      <c r="C44" s="97" t="s">
        <v>2830</v>
      </c>
      <c r="D44" s="84">
        <v>520300</v>
      </c>
      <c r="E44" s="84"/>
      <c r="F44" s="84" t="s">
        <v>465</v>
      </c>
      <c r="G44" s="107">
        <v>43277</v>
      </c>
      <c r="H44" s="84" t="s">
        <v>168</v>
      </c>
      <c r="I44" s="94">
        <v>3.87</v>
      </c>
      <c r="J44" s="97" t="s">
        <v>169</v>
      </c>
      <c r="K44" s="98">
        <v>9.8519999999999996E-2</v>
      </c>
      <c r="L44" s="98">
        <v>2.7399999999999997E-2</v>
      </c>
      <c r="M44" s="94">
        <v>14659131.57</v>
      </c>
      <c r="N44" s="96">
        <v>129.28</v>
      </c>
      <c r="O44" s="94">
        <v>65495.780200000001</v>
      </c>
      <c r="P44" s="95">
        <f t="shared" si="2"/>
        <v>1.325511948686524E-2</v>
      </c>
      <c r="Q44" s="95">
        <f>O44/'סכום נכסי הקרן'!$C$42</f>
        <v>1.127176333406028E-3</v>
      </c>
    </row>
    <row r="45" spans="2:17" s="132" customFormat="1">
      <c r="B45" s="87" t="s">
        <v>3063</v>
      </c>
      <c r="C45" s="97" t="s">
        <v>2830</v>
      </c>
      <c r="D45" s="84">
        <v>90150520</v>
      </c>
      <c r="E45" s="84"/>
      <c r="F45" s="84" t="s">
        <v>465</v>
      </c>
      <c r="G45" s="107">
        <v>41274</v>
      </c>
      <c r="H45" s="84" t="s">
        <v>168</v>
      </c>
      <c r="I45" s="94">
        <v>3.8600000000000003</v>
      </c>
      <c r="J45" s="97" t="s">
        <v>170</v>
      </c>
      <c r="K45" s="98">
        <v>3.8450999999999999E-2</v>
      </c>
      <c r="L45" s="98">
        <v>-1.9000000000000002E-3</v>
      </c>
      <c r="M45" s="94">
        <v>50619414.789999999</v>
      </c>
      <c r="N45" s="96">
        <v>149.77000000000001</v>
      </c>
      <c r="O45" s="94">
        <v>75812.728069999997</v>
      </c>
      <c r="P45" s="95">
        <f t="shared" si="2"/>
        <v>1.534307654820596E-2</v>
      </c>
      <c r="Q45" s="95">
        <f>O45/'סכום נכסי הקרן'!$C$42</f>
        <v>1.3047300542188343E-3</v>
      </c>
    </row>
    <row r="46" spans="2:17" s="132" customFormat="1">
      <c r="B46" s="87" t="s">
        <v>3064</v>
      </c>
      <c r="C46" s="97" t="s">
        <v>2825</v>
      </c>
      <c r="D46" s="84">
        <v>6686</v>
      </c>
      <c r="E46" s="84"/>
      <c r="F46" s="84" t="s">
        <v>2831</v>
      </c>
      <c r="G46" s="107">
        <v>43471</v>
      </c>
      <c r="H46" s="84" t="s">
        <v>2781</v>
      </c>
      <c r="I46" s="94">
        <v>1</v>
      </c>
      <c r="J46" s="97" t="s">
        <v>170</v>
      </c>
      <c r="K46" s="98">
        <v>2.2970000000000001E-2</v>
      </c>
      <c r="L46" s="98">
        <v>1.2500000000000001E-2</v>
      </c>
      <c r="M46" s="94">
        <v>49569998</v>
      </c>
      <c r="N46" s="96">
        <v>102.17</v>
      </c>
      <c r="O46" s="94">
        <v>50645.667359999999</v>
      </c>
      <c r="P46" s="95">
        <f t="shared" si="2"/>
        <v>1.0249734720296238E-2</v>
      </c>
      <c r="Q46" s="95">
        <f>O46/'סכום נכסי הקרן'!$C$42</f>
        <v>8.7160726177205156E-4</v>
      </c>
    </row>
    <row r="47" spans="2:17" s="132" customFormat="1">
      <c r="B47" s="87" t="s">
        <v>3065</v>
      </c>
      <c r="C47" s="97" t="s">
        <v>2825</v>
      </c>
      <c r="D47" s="84">
        <v>14811160</v>
      </c>
      <c r="E47" s="84"/>
      <c r="F47" s="84" t="s">
        <v>2831</v>
      </c>
      <c r="G47" s="107">
        <v>42201</v>
      </c>
      <c r="H47" s="84" t="s">
        <v>2781</v>
      </c>
      <c r="I47" s="94">
        <v>6.9499999999999984</v>
      </c>
      <c r="J47" s="97" t="s">
        <v>170</v>
      </c>
      <c r="K47" s="98">
        <v>4.2030000000000005E-2</v>
      </c>
      <c r="L47" s="98">
        <v>9.5999999999999992E-3</v>
      </c>
      <c r="M47" s="94">
        <v>2571687.54</v>
      </c>
      <c r="N47" s="96">
        <v>126.38</v>
      </c>
      <c r="O47" s="94">
        <v>3250.0986699999999</v>
      </c>
      <c r="P47" s="95">
        <f t="shared" si="2"/>
        <v>6.5775911186033626E-4</v>
      </c>
      <c r="Q47" s="95">
        <f>O47/'סכום נכסי הקרן'!$C$42</f>
        <v>5.5933898197282767E-5</v>
      </c>
    </row>
    <row r="48" spans="2:17" s="132" customFormat="1">
      <c r="B48" s="87" t="s">
        <v>3066</v>
      </c>
      <c r="C48" s="97" t="s">
        <v>2830</v>
      </c>
      <c r="D48" s="84">
        <v>14760843</v>
      </c>
      <c r="E48" s="84"/>
      <c r="F48" s="84" t="s">
        <v>2831</v>
      </c>
      <c r="G48" s="107">
        <v>40742</v>
      </c>
      <c r="H48" s="84" t="s">
        <v>2781</v>
      </c>
      <c r="I48" s="94">
        <v>4.96</v>
      </c>
      <c r="J48" s="97" t="s">
        <v>170</v>
      </c>
      <c r="K48" s="98">
        <v>4.4999999999999998E-2</v>
      </c>
      <c r="L48" s="98">
        <v>-1.9999999999999996E-3</v>
      </c>
      <c r="M48" s="94">
        <v>31533385.809999999</v>
      </c>
      <c r="N48" s="96">
        <v>130.94999999999999</v>
      </c>
      <c r="O48" s="94">
        <v>41292.968240000002</v>
      </c>
      <c r="P48" s="95">
        <f t="shared" si="2"/>
        <v>8.3569235501454713E-3</v>
      </c>
      <c r="Q48" s="95">
        <f>O48/'סכום נכסי הקרן'!$C$42</f>
        <v>7.1064817296755817E-4</v>
      </c>
    </row>
    <row r="49" spans="2:17" s="132" customFormat="1">
      <c r="B49" s="87" t="s">
        <v>3067</v>
      </c>
      <c r="C49" s="97" t="s">
        <v>2830</v>
      </c>
      <c r="D49" s="84">
        <v>11898602</v>
      </c>
      <c r="E49" s="84"/>
      <c r="F49" s="84" t="s">
        <v>541</v>
      </c>
      <c r="G49" s="107">
        <v>43431</v>
      </c>
      <c r="H49" s="84" t="s">
        <v>361</v>
      </c>
      <c r="I49" s="94">
        <v>10.25</v>
      </c>
      <c r="J49" s="97" t="s">
        <v>170</v>
      </c>
      <c r="K49" s="98">
        <v>3.9599999999999996E-2</v>
      </c>
      <c r="L49" s="98">
        <v>2.1899999999999996E-2</v>
      </c>
      <c r="M49" s="94">
        <v>2584839.21</v>
      </c>
      <c r="N49" s="96">
        <v>119.36</v>
      </c>
      <c r="O49" s="94">
        <v>3085.2640899999997</v>
      </c>
      <c r="P49" s="95">
        <f t="shared" si="2"/>
        <v>6.243996794389594E-4</v>
      </c>
      <c r="Q49" s="95">
        <f>O49/'סכום נכסי הקרן'!$C$42</f>
        <v>5.3097110286129326E-5</v>
      </c>
    </row>
    <row r="50" spans="2:17" s="132" customFormat="1">
      <c r="B50" s="87" t="s">
        <v>3067</v>
      </c>
      <c r="C50" s="97" t="s">
        <v>2830</v>
      </c>
      <c r="D50" s="84">
        <v>11898601</v>
      </c>
      <c r="E50" s="84"/>
      <c r="F50" s="84" t="s">
        <v>541</v>
      </c>
      <c r="G50" s="107">
        <v>43276</v>
      </c>
      <c r="H50" s="84" t="s">
        <v>361</v>
      </c>
      <c r="I50" s="94">
        <v>10.319999999999999</v>
      </c>
      <c r="J50" s="97" t="s">
        <v>170</v>
      </c>
      <c r="K50" s="98">
        <v>3.56E-2</v>
      </c>
      <c r="L50" s="98">
        <v>2.2799999999999997E-2</v>
      </c>
      <c r="M50" s="94">
        <v>2585603.09</v>
      </c>
      <c r="N50" s="96">
        <v>114.64</v>
      </c>
      <c r="O50" s="94">
        <v>2964.1352200000001</v>
      </c>
      <c r="P50" s="95">
        <f t="shared" si="2"/>
        <v>5.9988546432073169E-4</v>
      </c>
      <c r="Q50" s="95">
        <f>O50/'סכום נכסי הקרן'!$C$42</f>
        <v>5.1012493610989463E-5</v>
      </c>
    </row>
    <row r="51" spans="2:17" s="132" customFormat="1">
      <c r="B51" s="87" t="s">
        <v>3067</v>
      </c>
      <c r="C51" s="97" t="s">
        <v>2830</v>
      </c>
      <c r="D51" s="84">
        <v>11898600</v>
      </c>
      <c r="E51" s="84"/>
      <c r="F51" s="84" t="s">
        <v>541</v>
      </c>
      <c r="G51" s="107">
        <v>43222</v>
      </c>
      <c r="H51" s="84" t="s">
        <v>361</v>
      </c>
      <c r="I51" s="94">
        <v>10.33</v>
      </c>
      <c r="J51" s="97" t="s">
        <v>170</v>
      </c>
      <c r="K51" s="98">
        <v>3.5200000000000002E-2</v>
      </c>
      <c r="L51" s="98">
        <v>2.2800000000000001E-2</v>
      </c>
      <c r="M51" s="94">
        <v>12360653.93</v>
      </c>
      <c r="N51" s="96">
        <v>115.2</v>
      </c>
      <c r="O51" s="94">
        <v>14239.473109999999</v>
      </c>
      <c r="P51" s="95">
        <f t="shared" si="2"/>
        <v>2.8818027196056604E-3</v>
      </c>
      <c r="Q51" s="95">
        <f>O51/'סכום נכסי הקרן'!$C$42</f>
        <v>2.4506001822944206E-4</v>
      </c>
    </row>
    <row r="52" spans="2:17" s="132" customFormat="1">
      <c r="B52" s="87" t="s">
        <v>3067</v>
      </c>
      <c r="C52" s="97" t="s">
        <v>2830</v>
      </c>
      <c r="D52" s="84">
        <v>11898603</v>
      </c>
      <c r="E52" s="84"/>
      <c r="F52" s="84" t="s">
        <v>541</v>
      </c>
      <c r="G52" s="107">
        <v>43500</v>
      </c>
      <c r="H52" s="84" t="s">
        <v>361</v>
      </c>
      <c r="I52" s="94">
        <v>10.370000000000001</v>
      </c>
      <c r="J52" s="97" t="s">
        <v>170</v>
      </c>
      <c r="K52" s="98">
        <v>3.7499999999999999E-2</v>
      </c>
      <c r="L52" s="98">
        <v>1.9600000000000003E-2</v>
      </c>
      <c r="M52" s="94">
        <v>4862369.5599999996</v>
      </c>
      <c r="N52" s="96">
        <v>120.48</v>
      </c>
      <c r="O52" s="94">
        <v>5858.1831299999994</v>
      </c>
      <c r="P52" s="95">
        <f t="shared" si="2"/>
        <v>1.1855865695006745E-3</v>
      </c>
      <c r="Q52" s="95">
        <f>O52/'סכום נכסי הקרן'!$C$42</f>
        <v>1.0081879108441322E-4</v>
      </c>
    </row>
    <row r="53" spans="2:17" s="132" customFormat="1">
      <c r="B53" s="87" t="s">
        <v>3067</v>
      </c>
      <c r="C53" s="97" t="s">
        <v>2830</v>
      </c>
      <c r="D53" s="84">
        <v>11898604</v>
      </c>
      <c r="E53" s="84"/>
      <c r="F53" s="84" t="s">
        <v>541</v>
      </c>
      <c r="G53" s="107">
        <v>43585</v>
      </c>
      <c r="H53" s="84" t="s">
        <v>361</v>
      </c>
      <c r="I53" s="94">
        <v>10.459999999999999</v>
      </c>
      <c r="J53" s="97" t="s">
        <v>170</v>
      </c>
      <c r="K53" s="98">
        <v>3.3500000000000002E-2</v>
      </c>
      <c r="L53" s="98">
        <v>1.9799999999999998E-2</v>
      </c>
      <c r="M53" s="94">
        <v>4922818.74</v>
      </c>
      <c r="N53" s="96">
        <v>115.86</v>
      </c>
      <c r="O53" s="94">
        <v>5703.5779599999996</v>
      </c>
      <c r="P53" s="95">
        <f t="shared" si="2"/>
        <v>1.1542973781149199E-3</v>
      </c>
      <c r="Q53" s="95">
        <f>O53/'סכום נכסי הקרן'!$C$42</f>
        <v>9.8158050375407734E-5</v>
      </c>
    </row>
    <row r="54" spans="2:17" s="132" customFormat="1">
      <c r="B54" s="87" t="s">
        <v>3067</v>
      </c>
      <c r="C54" s="97" t="s">
        <v>2830</v>
      </c>
      <c r="D54" s="84">
        <v>11898606</v>
      </c>
      <c r="E54" s="84"/>
      <c r="F54" s="84" t="s">
        <v>541</v>
      </c>
      <c r="G54" s="107">
        <v>43677</v>
      </c>
      <c r="H54" s="84" t="s">
        <v>361</v>
      </c>
      <c r="I54" s="94">
        <v>10.399999999999999</v>
      </c>
      <c r="J54" s="97" t="s">
        <v>170</v>
      </c>
      <c r="K54" s="98">
        <v>3.2000000000000001E-2</v>
      </c>
      <c r="L54" s="98">
        <v>2.3300000000000001E-2</v>
      </c>
      <c r="M54" s="94">
        <v>4576674</v>
      </c>
      <c r="N54" s="96">
        <v>109.53</v>
      </c>
      <c r="O54" s="94">
        <v>5012.8308999999999</v>
      </c>
      <c r="P54" s="95">
        <f t="shared" si="2"/>
        <v>1.0145031075902845E-3</v>
      </c>
      <c r="Q54" s="95">
        <f>O54/'סכום נכסי הקרן'!$C$42</f>
        <v>8.6270357213737552E-5</v>
      </c>
    </row>
    <row r="55" spans="2:17" s="132" customFormat="1">
      <c r="B55" s="87" t="s">
        <v>3067</v>
      </c>
      <c r="C55" s="97" t="s">
        <v>2830</v>
      </c>
      <c r="D55" s="84">
        <v>11898607</v>
      </c>
      <c r="E55" s="84"/>
      <c r="F55" s="84" t="s">
        <v>541</v>
      </c>
      <c r="G55" s="107">
        <v>43708</v>
      </c>
      <c r="H55" s="84" t="s">
        <v>361</v>
      </c>
      <c r="I55" s="94">
        <v>10.57</v>
      </c>
      <c r="J55" s="97" t="s">
        <v>170</v>
      </c>
      <c r="K55" s="98">
        <v>2.6800000000000001E-2</v>
      </c>
      <c r="L55" s="98">
        <v>2.2099999999999998E-2</v>
      </c>
      <c r="M55" s="94">
        <v>326676.82</v>
      </c>
      <c r="N55" s="96">
        <v>105.17</v>
      </c>
      <c r="O55" s="94">
        <v>343.56602000000004</v>
      </c>
      <c r="P55" s="95">
        <f t="shared" si="2"/>
        <v>6.9531329084415326E-5</v>
      </c>
      <c r="Q55" s="95">
        <f>O55/'סכום נכסי הקרן'!$C$42</f>
        <v>5.9127395005289542E-6</v>
      </c>
    </row>
    <row r="56" spans="2:17" s="132" customFormat="1">
      <c r="B56" s="87" t="s">
        <v>3067</v>
      </c>
      <c r="C56" s="97" t="s">
        <v>2830</v>
      </c>
      <c r="D56" s="84">
        <v>11898608</v>
      </c>
      <c r="E56" s="84"/>
      <c r="F56" s="84" t="s">
        <v>541</v>
      </c>
      <c r="G56" s="107">
        <v>43769</v>
      </c>
      <c r="H56" s="84" t="s">
        <v>361</v>
      </c>
      <c r="I56" s="94">
        <v>10.46</v>
      </c>
      <c r="J56" s="97" t="s">
        <v>170</v>
      </c>
      <c r="K56" s="98">
        <v>2.7300000000000001E-2</v>
      </c>
      <c r="L56" s="98">
        <v>2.5699999999999997E-2</v>
      </c>
      <c r="M56" s="94">
        <v>4825250.34</v>
      </c>
      <c r="N56" s="96">
        <v>101.92</v>
      </c>
      <c r="O56" s="94">
        <v>4917.8951200000001</v>
      </c>
      <c r="P56" s="95">
        <f t="shared" si="2"/>
        <v>9.9528988341559556E-4</v>
      </c>
      <c r="Q56" s="95">
        <f>O56/'סכום נכסי הקרן'!$C$42</f>
        <v>8.4636521200445196E-5</v>
      </c>
    </row>
    <row r="57" spans="2:17" s="132" customFormat="1">
      <c r="B57" s="87" t="s">
        <v>3067</v>
      </c>
      <c r="C57" s="97" t="s">
        <v>2830</v>
      </c>
      <c r="D57" s="84">
        <v>11898557</v>
      </c>
      <c r="E57" s="84"/>
      <c r="F57" s="84" t="s">
        <v>541</v>
      </c>
      <c r="G57" s="107">
        <v>43708</v>
      </c>
      <c r="H57" s="84" t="s">
        <v>361</v>
      </c>
      <c r="I57" s="94">
        <v>0</v>
      </c>
      <c r="J57" s="97" t="s">
        <v>170</v>
      </c>
      <c r="K57" s="98">
        <v>3.2500000000000001E-2</v>
      </c>
      <c r="L57" s="98">
        <v>-3.6400000000000002E-2</v>
      </c>
      <c r="M57" s="94">
        <v>2351874.65</v>
      </c>
      <c r="N57" s="96">
        <v>101.15</v>
      </c>
      <c r="O57" s="94">
        <v>2378.92112</v>
      </c>
      <c r="P57" s="95">
        <f t="shared" si="2"/>
        <v>4.8144908876781775E-4</v>
      </c>
      <c r="Q57" s="95">
        <f>O57/'סכום נכסי הקרן'!$C$42</f>
        <v>4.0941012952522423E-5</v>
      </c>
    </row>
    <row r="58" spans="2:17" s="132" customFormat="1">
      <c r="B58" s="87" t="s">
        <v>3067</v>
      </c>
      <c r="C58" s="97" t="s">
        <v>2830</v>
      </c>
      <c r="D58" s="84">
        <v>11898558</v>
      </c>
      <c r="E58" s="84"/>
      <c r="F58" s="84" t="s">
        <v>541</v>
      </c>
      <c r="G58" s="107">
        <v>43799</v>
      </c>
      <c r="H58" s="84" t="s">
        <v>361</v>
      </c>
      <c r="I58" s="94">
        <v>0</v>
      </c>
      <c r="J58" s="97" t="s">
        <v>170</v>
      </c>
      <c r="K58" s="98">
        <v>3.2500000000000001E-2</v>
      </c>
      <c r="L58" s="98">
        <v>7.4999999999999997E-3</v>
      </c>
      <c r="M58" s="94">
        <v>1042395.21</v>
      </c>
      <c r="N58" s="96">
        <v>100.55</v>
      </c>
      <c r="O58" s="94">
        <v>1048.12843</v>
      </c>
      <c r="P58" s="95">
        <f t="shared" si="2"/>
        <v>2.1212156775300876E-4</v>
      </c>
      <c r="Q58" s="95">
        <f>O58/'סכום נכסי הקרן'!$C$42</f>
        <v>1.8038193560842819E-5</v>
      </c>
    </row>
    <row r="59" spans="2:17" s="132" customFormat="1">
      <c r="B59" s="87" t="s">
        <v>3067</v>
      </c>
      <c r="C59" s="97" t="s">
        <v>2830</v>
      </c>
      <c r="D59" s="84">
        <v>11898559</v>
      </c>
      <c r="E59" s="84"/>
      <c r="F59" s="84" t="s">
        <v>541</v>
      </c>
      <c r="G59" s="107">
        <v>43829</v>
      </c>
      <c r="H59" s="84" t="s">
        <v>361</v>
      </c>
      <c r="I59" s="94">
        <v>0</v>
      </c>
      <c r="J59" s="97" t="s">
        <v>170</v>
      </c>
      <c r="K59" s="98">
        <v>3.2500000000000001E-2</v>
      </c>
      <c r="L59" s="98">
        <v>2.8899999999999995E-2</v>
      </c>
      <c r="M59" s="94">
        <v>1583858.5</v>
      </c>
      <c r="N59" s="96">
        <v>100.01</v>
      </c>
      <c r="O59" s="94">
        <v>1584.0168600000002</v>
      </c>
      <c r="P59" s="95">
        <f t="shared" si="2"/>
        <v>3.2057535133399464E-4</v>
      </c>
      <c r="Q59" s="95">
        <f>O59/'סכום נכסי הקרן'!$C$42</f>
        <v>2.7260783990296368E-5</v>
      </c>
    </row>
    <row r="60" spans="2:17" s="132" customFormat="1">
      <c r="B60" s="87" t="s">
        <v>3070</v>
      </c>
      <c r="C60" s="97" t="s">
        <v>2825</v>
      </c>
      <c r="D60" s="84">
        <v>472710</v>
      </c>
      <c r="E60" s="84"/>
      <c r="F60" s="84" t="s">
        <v>1785</v>
      </c>
      <c r="G60" s="107">
        <v>42901</v>
      </c>
      <c r="H60" s="84" t="s">
        <v>2781</v>
      </c>
      <c r="I60" s="94">
        <v>2.31</v>
      </c>
      <c r="J60" s="97" t="s">
        <v>170</v>
      </c>
      <c r="K60" s="98">
        <v>0.04</v>
      </c>
      <c r="L60" s="98">
        <v>1.5399999999999999E-2</v>
      </c>
      <c r="M60" s="94">
        <v>43937591</v>
      </c>
      <c r="N60" s="96">
        <v>105.87</v>
      </c>
      <c r="O60" s="94">
        <v>46516.726609999998</v>
      </c>
      <c r="P60" s="95">
        <f t="shared" si="2"/>
        <v>9.414114427991711E-3</v>
      </c>
      <c r="Q60" s="95">
        <f>O60/'סכום נכסי הקרן'!$C$42</f>
        <v>8.0054857247597786E-4</v>
      </c>
    </row>
    <row r="61" spans="2:17" s="132" customFormat="1">
      <c r="B61" s="87" t="s">
        <v>3075</v>
      </c>
      <c r="C61" s="97" t="s">
        <v>2825</v>
      </c>
      <c r="D61" s="84">
        <v>4069</v>
      </c>
      <c r="E61" s="84"/>
      <c r="F61" s="84" t="s">
        <v>549</v>
      </c>
      <c r="G61" s="107">
        <v>42052</v>
      </c>
      <c r="H61" s="84" t="s">
        <v>168</v>
      </c>
      <c r="I61" s="94">
        <v>5.6499999999999986</v>
      </c>
      <c r="J61" s="97" t="s">
        <v>170</v>
      </c>
      <c r="K61" s="98">
        <v>2.9779E-2</v>
      </c>
      <c r="L61" s="98">
        <v>2E-3</v>
      </c>
      <c r="M61" s="94">
        <v>15411470.470000001</v>
      </c>
      <c r="N61" s="96">
        <v>118.86</v>
      </c>
      <c r="O61" s="94">
        <v>18318.073920000003</v>
      </c>
      <c r="P61" s="95">
        <f t="shared" si="2"/>
        <v>3.7072351506827299E-3</v>
      </c>
      <c r="Q61" s="95">
        <f>O61/'סכום נכסי הקרן'!$C$42</f>
        <v>3.1525236180339738E-4</v>
      </c>
    </row>
    <row r="62" spans="2:17" s="132" customFormat="1">
      <c r="B62" s="87" t="s">
        <v>3071</v>
      </c>
      <c r="C62" s="97" t="s">
        <v>2830</v>
      </c>
      <c r="D62" s="84">
        <v>11898420</v>
      </c>
      <c r="E62" s="84"/>
      <c r="F62" s="84" t="s">
        <v>541</v>
      </c>
      <c r="G62" s="107">
        <v>42033</v>
      </c>
      <c r="H62" s="84" t="s">
        <v>361</v>
      </c>
      <c r="I62" s="94">
        <v>5.6300000000000008</v>
      </c>
      <c r="J62" s="97" t="s">
        <v>170</v>
      </c>
      <c r="K62" s="98">
        <v>5.0999999999999997E-2</v>
      </c>
      <c r="L62" s="98">
        <v>6.9000000000000008E-3</v>
      </c>
      <c r="M62" s="94">
        <v>2076106.77</v>
      </c>
      <c r="N62" s="96">
        <v>127.73</v>
      </c>
      <c r="O62" s="94">
        <v>2651.81115</v>
      </c>
      <c r="P62" s="95">
        <f t="shared" si="2"/>
        <v>5.3667692090263121E-4</v>
      </c>
      <c r="Q62" s="95">
        <f>O62/'סכום נכסי הקרן'!$C$42</f>
        <v>4.5637425187008042E-5</v>
      </c>
    </row>
    <row r="63" spans="2:17" s="132" customFormat="1">
      <c r="B63" s="87" t="s">
        <v>3071</v>
      </c>
      <c r="C63" s="97" t="s">
        <v>2830</v>
      </c>
      <c r="D63" s="84">
        <v>11898421</v>
      </c>
      <c r="E63" s="84"/>
      <c r="F63" s="84" t="s">
        <v>541</v>
      </c>
      <c r="G63" s="107">
        <v>42054</v>
      </c>
      <c r="H63" s="84" t="s">
        <v>361</v>
      </c>
      <c r="I63" s="94">
        <v>5.6300000000000008</v>
      </c>
      <c r="J63" s="97" t="s">
        <v>170</v>
      </c>
      <c r="K63" s="98">
        <v>5.0999999999999997E-2</v>
      </c>
      <c r="L63" s="98">
        <v>6.8999999999999999E-3</v>
      </c>
      <c r="M63" s="94">
        <v>4055489.07</v>
      </c>
      <c r="N63" s="96">
        <v>128.88999999999999</v>
      </c>
      <c r="O63" s="94">
        <v>5227.1198800000002</v>
      </c>
      <c r="P63" s="95">
        <f t="shared" si="2"/>
        <v>1.0578711845250863E-3</v>
      </c>
      <c r="Q63" s="95">
        <f>O63/'סכום נכסי הקרן'!$C$42</f>
        <v>8.9958250785325512E-5</v>
      </c>
    </row>
    <row r="64" spans="2:17" s="132" customFormat="1">
      <c r="B64" s="87" t="s">
        <v>3071</v>
      </c>
      <c r="C64" s="97" t="s">
        <v>2830</v>
      </c>
      <c r="D64" s="84">
        <v>11898422</v>
      </c>
      <c r="E64" s="84"/>
      <c r="F64" s="84" t="s">
        <v>541</v>
      </c>
      <c r="G64" s="107">
        <v>42565</v>
      </c>
      <c r="H64" s="84" t="s">
        <v>361</v>
      </c>
      <c r="I64" s="94">
        <v>5.63</v>
      </c>
      <c r="J64" s="97" t="s">
        <v>170</v>
      </c>
      <c r="K64" s="98">
        <v>5.0999999999999997E-2</v>
      </c>
      <c r="L64" s="98">
        <v>6.8999999999999999E-3</v>
      </c>
      <c r="M64" s="94">
        <v>4950085.1100000003</v>
      </c>
      <c r="N64" s="96">
        <v>129.4</v>
      </c>
      <c r="O64" s="94">
        <v>6405.4104500000003</v>
      </c>
      <c r="P64" s="95">
        <f t="shared" si="2"/>
        <v>1.2963351320939794E-3</v>
      </c>
      <c r="Q64" s="95">
        <f>O64/'סכום נכסי הקרן'!$C$42</f>
        <v>1.1023652276443387E-4</v>
      </c>
    </row>
    <row r="65" spans="2:17" s="132" customFormat="1">
      <c r="B65" s="87" t="s">
        <v>3071</v>
      </c>
      <c r="C65" s="97" t="s">
        <v>2830</v>
      </c>
      <c r="D65" s="84">
        <v>11896110</v>
      </c>
      <c r="E65" s="84"/>
      <c r="F65" s="84" t="s">
        <v>541</v>
      </c>
      <c r="G65" s="107">
        <v>41367</v>
      </c>
      <c r="H65" s="84" t="s">
        <v>361</v>
      </c>
      <c r="I65" s="94">
        <v>5.67</v>
      </c>
      <c r="J65" s="97" t="s">
        <v>170</v>
      </c>
      <c r="K65" s="98">
        <v>5.0999999999999997E-2</v>
      </c>
      <c r="L65" s="98">
        <v>3.5999999999999999E-3</v>
      </c>
      <c r="M65" s="94">
        <v>25099127.239999998</v>
      </c>
      <c r="N65" s="96">
        <v>137.33000000000001</v>
      </c>
      <c r="O65" s="94">
        <v>34468.633070000003</v>
      </c>
      <c r="P65" s="95">
        <f t="shared" si="2"/>
        <v>6.9758058991984447E-3</v>
      </c>
      <c r="Q65" s="95">
        <f>O65/'סכום נכסי הקרן'!$C$42</f>
        <v>5.9320199442956432E-4</v>
      </c>
    </row>
    <row r="66" spans="2:17" s="132" customFormat="1">
      <c r="B66" s="87" t="s">
        <v>3071</v>
      </c>
      <c r="C66" s="97" t="s">
        <v>2830</v>
      </c>
      <c r="D66" s="84">
        <v>11898200</v>
      </c>
      <c r="E66" s="84"/>
      <c r="F66" s="84" t="s">
        <v>541</v>
      </c>
      <c r="G66" s="107">
        <v>41207</v>
      </c>
      <c r="H66" s="84" t="s">
        <v>361</v>
      </c>
      <c r="I66" s="94">
        <v>5.67</v>
      </c>
      <c r="J66" s="97" t="s">
        <v>170</v>
      </c>
      <c r="K66" s="98">
        <v>5.0999999999999997E-2</v>
      </c>
      <c r="L66" s="98">
        <v>3.6000000000000003E-3</v>
      </c>
      <c r="M66" s="94">
        <v>356767.12</v>
      </c>
      <c r="N66" s="96">
        <v>131.63</v>
      </c>
      <c r="O66" s="94">
        <v>469.61255</v>
      </c>
      <c r="P66" s="95">
        <f t="shared" si="2"/>
        <v>9.5040786502173418E-5</v>
      </c>
      <c r="Q66" s="95">
        <f>O66/'סכום נכסי הקרן'!$C$42</f>
        <v>8.0819886504757606E-6</v>
      </c>
    </row>
    <row r="67" spans="2:17" s="132" customFormat="1">
      <c r="B67" s="87" t="s">
        <v>3071</v>
      </c>
      <c r="C67" s="97" t="s">
        <v>2830</v>
      </c>
      <c r="D67" s="84">
        <v>11898230</v>
      </c>
      <c r="E67" s="84"/>
      <c r="F67" s="84" t="s">
        <v>541</v>
      </c>
      <c r="G67" s="107">
        <v>41239</v>
      </c>
      <c r="H67" s="84" t="s">
        <v>361</v>
      </c>
      <c r="I67" s="94">
        <v>5.63</v>
      </c>
      <c r="J67" s="97" t="s">
        <v>170</v>
      </c>
      <c r="K67" s="98">
        <v>5.0999999999999997E-2</v>
      </c>
      <c r="L67" s="98">
        <v>6.8999999999999999E-3</v>
      </c>
      <c r="M67" s="94">
        <v>3146247.7</v>
      </c>
      <c r="N67" s="96">
        <v>129.43</v>
      </c>
      <c r="O67" s="94">
        <v>4072.1885600000001</v>
      </c>
      <c r="P67" s="95">
        <f t="shared" si="2"/>
        <v>8.2413471174812725E-4</v>
      </c>
      <c r="Q67" s="95">
        <f>O67/'סכום נכסי הקרן'!$C$42</f>
        <v>7.0081989343166468E-5</v>
      </c>
    </row>
    <row r="68" spans="2:17" s="132" customFormat="1">
      <c r="B68" s="87" t="s">
        <v>3071</v>
      </c>
      <c r="C68" s="97" t="s">
        <v>2830</v>
      </c>
      <c r="D68" s="84">
        <v>11898120</v>
      </c>
      <c r="E68" s="84"/>
      <c r="F68" s="84" t="s">
        <v>541</v>
      </c>
      <c r="G68" s="107">
        <v>41269</v>
      </c>
      <c r="H68" s="84" t="s">
        <v>361</v>
      </c>
      <c r="I68" s="94">
        <v>5.67</v>
      </c>
      <c r="J68" s="97" t="s">
        <v>170</v>
      </c>
      <c r="K68" s="98">
        <v>5.0999999999999997E-2</v>
      </c>
      <c r="L68" s="98">
        <v>3.5999999999999999E-3</v>
      </c>
      <c r="M68" s="94">
        <v>856582.28</v>
      </c>
      <c r="N68" s="96">
        <v>132.5</v>
      </c>
      <c r="O68" s="94">
        <v>1134.97156</v>
      </c>
      <c r="P68" s="95">
        <f t="shared" si="2"/>
        <v>2.2969699110468556E-4</v>
      </c>
      <c r="Q68" s="95">
        <f>O68/'סכום נכסי הקרן'!$C$42</f>
        <v>1.9532755814410768E-5</v>
      </c>
    </row>
    <row r="69" spans="2:17" s="132" customFormat="1">
      <c r="B69" s="87" t="s">
        <v>3071</v>
      </c>
      <c r="C69" s="97" t="s">
        <v>2830</v>
      </c>
      <c r="D69" s="84">
        <v>11898130</v>
      </c>
      <c r="E69" s="84"/>
      <c r="F69" s="84" t="s">
        <v>541</v>
      </c>
      <c r="G69" s="107">
        <v>41298</v>
      </c>
      <c r="H69" s="84" t="s">
        <v>361</v>
      </c>
      <c r="I69" s="94">
        <v>5.63</v>
      </c>
      <c r="J69" s="97" t="s">
        <v>170</v>
      </c>
      <c r="K69" s="98">
        <v>5.0999999999999997E-2</v>
      </c>
      <c r="L69" s="98">
        <v>6.8999999999999999E-3</v>
      </c>
      <c r="M69" s="94">
        <v>1733284.52</v>
      </c>
      <c r="N69" s="96">
        <v>129.79</v>
      </c>
      <c r="O69" s="94">
        <v>2249.63</v>
      </c>
      <c r="P69" s="95">
        <f t="shared" si="2"/>
        <v>4.5528298708985608E-4</v>
      </c>
      <c r="Q69" s="95">
        <f>O69/'סכום נכסי הקרן'!$C$42</f>
        <v>3.8715924708080701E-5</v>
      </c>
    </row>
    <row r="70" spans="2:17" s="132" customFormat="1">
      <c r="B70" s="87" t="s">
        <v>3071</v>
      </c>
      <c r="C70" s="97" t="s">
        <v>2830</v>
      </c>
      <c r="D70" s="84">
        <v>11898140</v>
      </c>
      <c r="E70" s="84"/>
      <c r="F70" s="84" t="s">
        <v>541</v>
      </c>
      <c r="G70" s="107">
        <v>41330</v>
      </c>
      <c r="H70" s="84" t="s">
        <v>361</v>
      </c>
      <c r="I70" s="94">
        <v>5.63</v>
      </c>
      <c r="J70" s="97" t="s">
        <v>170</v>
      </c>
      <c r="K70" s="98">
        <v>5.0999999999999997E-2</v>
      </c>
      <c r="L70" s="98">
        <v>6.9000000000000008E-3</v>
      </c>
      <c r="M70" s="94">
        <v>2686886.51</v>
      </c>
      <c r="N70" s="96">
        <v>130.02000000000001</v>
      </c>
      <c r="O70" s="94">
        <v>3493.48981</v>
      </c>
      <c r="P70" s="95">
        <f t="shared" si="2"/>
        <v>7.0701692103358055E-4</v>
      </c>
      <c r="Q70" s="95">
        <f>O70/'סכום נכסי הקרן'!$C$42</f>
        <v>6.0122637256974327E-5</v>
      </c>
    </row>
    <row r="71" spans="2:17" s="132" customFormat="1">
      <c r="B71" s="87" t="s">
        <v>3071</v>
      </c>
      <c r="C71" s="97" t="s">
        <v>2830</v>
      </c>
      <c r="D71" s="84">
        <v>11898150</v>
      </c>
      <c r="E71" s="84"/>
      <c r="F71" s="84" t="s">
        <v>541</v>
      </c>
      <c r="G71" s="107">
        <v>41389</v>
      </c>
      <c r="H71" s="84" t="s">
        <v>361</v>
      </c>
      <c r="I71" s="94">
        <v>5.6700000000000008</v>
      </c>
      <c r="J71" s="97" t="s">
        <v>170</v>
      </c>
      <c r="K71" s="98">
        <v>5.0999999999999997E-2</v>
      </c>
      <c r="L71" s="98">
        <v>3.5999999999999999E-3</v>
      </c>
      <c r="M71" s="94">
        <v>1176090.57</v>
      </c>
      <c r="N71" s="96">
        <v>132.21</v>
      </c>
      <c r="O71" s="94">
        <v>1554.9094</v>
      </c>
      <c r="P71" s="95">
        <f t="shared" si="2"/>
        <v>3.1468454647479621E-4</v>
      </c>
      <c r="Q71" s="95">
        <f>O71/'סכום נכסי הקרן'!$C$42</f>
        <v>2.6759847289681832E-5</v>
      </c>
    </row>
    <row r="72" spans="2:17" s="132" customFormat="1">
      <c r="B72" s="87" t="s">
        <v>3071</v>
      </c>
      <c r="C72" s="97" t="s">
        <v>2830</v>
      </c>
      <c r="D72" s="84">
        <v>11898160</v>
      </c>
      <c r="E72" s="84"/>
      <c r="F72" s="84" t="s">
        <v>541</v>
      </c>
      <c r="G72" s="107">
        <v>41422</v>
      </c>
      <c r="H72" s="84" t="s">
        <v>361</v>
      </c>
      <c r="I72" s="94">
        <v>5.67</v>
      </c>
      <c r="J72" s="97" t="s">
        <v>170</v>
      </c>
      <c r="K72" s="98">
        <v>5.0999999999999997E-2</v>
      </c>
      <c r="L72" s="98">
        <v>3.6000000000000003E-3</v>
      </c>
      <c r="M72" s="94">
        <v>430748.57</v>
      </c>
      <c r="N72" s="96">
        <v>131.68</v>
      </c>
      <c r="O72" s="94">
        <v>567.20974999999999</v>
      </c>
      <c r="P72" s="95">
        <f t="shared" si="2"/>
        <v>1.1479263224907672E-4</v>
      </c>
      <c r="Q72" s="95">
        <f>O72/'סכום נכסי הקרן'!$C$42</f>
        <v>9.7616274563769495E-6</v>
      </c>
    </row>
    <row r="73" spans="2:17" s="132" customFormat="1">
      <c r="B73" s="87" t="s">
        <v>3071</v>
      </c>
      <c r="C73" s="97" t="s">
        <v>2830</v>
      </c>
      <c r="D73" s="84">
        <v>11898270</v>
      </c>
      <c r="E73" s="84"/>
      <c r="F73" s="84" t="s">
        <v>541</v>
      </c>
      <c r="G73" s="107">
        <v>41450</v>
      </c>
      <c r="H73" s="84" t="s">
        <v>361</v>
      </c>
      <c r="I73" s="94">
        <v>5.67</v>
      </c>
      <c r="J73" s="97" t="s">
        <v>170</v>
      </c>
      <c r="K73" s="98">
        <v>5.0999999999999997E-2</v>
      </c>
      <c r="L73" s="98">
        <v>3.5999999999999999E-3</v>
      </c>
      <c r="M73" s="94">
        <v>709625.17</v>
      </c>
      <c r="N73" s="96">
        <v>131.55000000000001</v>
      </c>
      <c r="O73" s="94">
        <v>933.51189999999997</v>
      </c>
      <c r="P73" s="95">
        <f t="shared" si="2"/>
        <v>1.8892532830551111E-4</v>
      </c>
      <c r="Q73" s="95">
        <f>O73/'סכום נכסי הקרן'!$C$42</f>
        <v>1.6065653656155617E-5</v>
      </c>
    </row>
    <row r="74" spans="2:17" s="132" customFormat="1">
      <c r="B74" s="87" t="s">
        <v>3071</v>
      </c>
      <c r="C74" s="97" t="s">
        <v>2830</v>
      </c>
      <c r="D74" s="84">
        <v>11898280</v>
      </c>
      <c r="E74" s="84"/>
      <c r="F74" s="84" t="s">
        <v>541</v>
      </c>
      <c r="G74" s="107">
        <v>41480</v>
      </c>
      <c r="H74" s="84" t="s">
        <v>361</v>
      </c>
      <c r="I74" s="94">
        <v>5.6599999999999993</v>
      </c>
      <c r="J74" s="97" t="s">
        <v>170</v>
      </c>
      <c r="K74" s="98">
        <v>5.0999999999999997E-2</v>
      </c>
      <c r="L74" s="98">
        <v>4.0000000000000001E-3</v>
      </c>
      <c r="M74" s="94">
        <v>623190.66</v>
      </c>
      <c r="N74" s="96">
        <v>130.24</v>
      </c>
      <c r="O74" s="94">
        <v>811.64350999999999</v>
      </c>
      <c r="P74" s="95">
        <f t="shared" si="2"/>
        <v>1.6426144818698873E-4</v>
      </c>
      <c r="Q74" s="95">
        <f>O74/'סכום נכסי הקרן'!$C$42</f>
        <v>1.3968309910057363E-5</v>
      </c>
    </row>
    <row r="75" spans="2:17" s="132" customFormat="1">
      <c r="B75" s="87" t="s">
        <v>3072</v>
      </c>
      <c r="C75" s="97" t="s">
        <v>2830</v>
      </c>
      <c r="D75" s="84">
        <v>11898290</v>
      </c>
      <c r="E75" s="84"/>
      <c r="F75" s="84" t="s">
        <v>541</v>
      </c>
      <c r="G75" s="107">
        <v>41512</v>
      </c>
      <c r="H75" s="84" t="s">
        <v>361</v>
      </c>
      <c r="I75" s="94">
        <v>5.4899999999999993</v>
      </c>
      <c r="J75" s="97" t="s">
        <v>170</v>
      </c>
      <c r="K75" s="98">
        <v>5.0999999999999997E-2</v>
      </c>
      <c r="L75" s="98">
        <v>1.9600000000000003E-2</v>
      </c>
      <c r="M75" s="94">
        <v>1942909.77</v>
      </c>
      <c r="N75" s="96">
        <v>119.14</v>
      </c>
      <c r="O75" s="94">
        <v>2314.7826700000001</v>
      </c>
      <c r="P75" s="95">
        <f t="shared" si="2"/>
        <v>4.6846866749706954E-4</v>
      </c>
      <c r="Q75" s="95">
        <f>O75/'סכום נכסי הקרן'!$C$42</f>
        <v>3.9837196146606341E-5</v>
      </c>
    </row>
    <row r="76" spans="2:17" s="132" customFormat="1">
      <c r="B76" s="87" t="s">
        <v>3071</v>
      </c>
      <c r="C76" s="97" t="s">
        <v>2830</v>
      </c>
      <c r="D76" s="84">
        <v>11896120</v>
      </c>
      <c r="E76" s="84"/>
      <c r="F76" s="84" t="s">
        <v>541</v>
      </c>
      <c r="G76" s="107">
        <v>41445</v>
      </c>
      <c r="H76" s="84" t="s">
        <v>361</v>
      </c>
      <c r="I76" s="94">
        <v>5.63</v>
      </c>
      <c r="J76" s="97" t="s">
        <v>170</v>
      </c>
      <c r="K76" s="98">
        <v>5.1879999999999996E-2</v>
      </c>
      <c r="L76" s="98">
        <v>6.9000000000000008E-3</v>
      </c>
      <c r="M76" s="94">
        <v>977791.11</v>
      </c>
      <c r="N76" s="96">
        <v>132.36000000000001</v>
      </c>
      <c r="O76" s="94">
        <v>1294.20433</v>
      </c>
      <c r="P76" s="95">
        <f t="shared" si="2"/>
        <v>2.6192272207741977E-4</v>
      </c>
      <c r="Q76" s="95">
        <f>O76/'סכום נכסי הקרן'!$C$42</f>
        <v>2.2273137092389431E-5</v>
      </c>
    </row>
    <row r="77" spans="2:17" s="132" customFormat="1">
      <c r="B77" s="87" t="s">
        <v>3071</v>
      </c>
      <c r="C77" s="97" t="s">
        <v>2830</v>
      </c>
      <c r="D77" s="84">
        <v>11898300</v>
      </c>
      <c r="E77" s="84"/>
      <c r="F77" s="84" t="s">
        <v>541</v>
      </c>
      <c r="G77" s="107">
        <v>41547</v>
      </c>
      <c r="H77" s="84" t="s">
        <v>361</v>
      </c>
      <c r="I77" s="94">
        <v>5.4899999999999993</v>
      </c>
      <c r="J77" s="97" t="s">
        <v>170</v>
      </c>
      <c r="K77" s="98">
        <v>5.0999999999999997E-2</v>
      </c>
      <c r="L77" s="98">
        <v>1.9599999999999999E-2</v>
      </c>
      <c r="M77" s="94">
        <v>1421644.16</v>
      </c>
      <c r="N77" s="96">
        <v>118.91</v>
      </c>
      <c r="O77" s="94">
        <v>1690.4770700000001</v>
      </c>
      <c r="P77" s="95">
        <f t="shared" si="2"/>
        <v>3.4212090434271758E-4</v>
      </c>
      <c r="Q77" s="95">
        <f>O77/'סכום נכסי הקרן'!$C$42</f>
        <v>2.9092954380434506E-5</v>
      </c>
    </row>
    <row r="78" spans="2:17" s="132" customFormat="1">
      <c r="B78" s="87" t="s">
        <v>3071</v>
      </c>
      <c r="C78" s="97" t="s">
        <v>2830</v>
      </c>
      <c r="D78" s="84">
        <v>11898310</v>
      </c>
      <c r="E78" s="84"/>
      <c r="F78" s="84" t="s">
        <v>541</v>
      </c>
      <c r="G78" s="107">
        <v>41571</v>
      </c>
      <c r="H78" s="84" t="s">
        <v>361</v>
      </c>
      <c r="I78" s="94">
        <v>5.65</v>
      </c>
      <c r="J78" s="97" t="s">
        <v>170</v>
      </c>
      <c r="K78" s="98">
        <v>5.0999999999999997E-2</v>
      </c>
      <c r="L78" s="98">
        <v>4.6999999999999993E-3</v>
      </c>
      <c r="M78" s="94">
        <v>693186.91</v>
      </c>
      <c r="N78" s="96">
        <v>129.09</v>
      </c>
      <c r="O78" s="94">
        <v>894.83497999999997</v>
      </c>
      <c r="P78" s="95">
        <f t="shared" si="2"/>
        <v>1.8109784393295414E-4</v>
      </c>
      <c r="Q78" s="95">
        <f>O78/'סכום נכסי הקרן'!$C$42</f>
        <v>1.5400027431994107E-5</v>
      </c>
    </row>
    <row r="79" spans="2:17" s="132" customFormat="1">
      <c r="B79" s="87" t="s">
        <v>3071</v>
      </c>
      <c r="C79" s="97" t="s">
        <v>2830</v>
      </c>
      <c r="D79" s="84">
        <v>11898320</v>
      </c>
      <c r="E79" s="84"/>
      <c r="F79" s="84" t="s">
        <v>541</v>
      </c>
      <c r="G79" s="107">
        <v>41597</v>
      </c>
      <c r="H79" s="84" t="s">
        <v>361</v>
      </c>
      <c r="I79" s="94">
        <v>5.6499999999999995</v>
      </c>
      <c r="J79" s="97" t="s">
        <v>170</v>
      </c>
      <c r="K79" s="98">
        <v>5.0999999999999997E-2</v>
      </c>
      <c r="L79" s="98">
        <v>4.899999999999999E-3</v>
      </c>
      <c r="M79" s="94">
        <v>179022.12</v>
      </c>
      <c r="N79" s="96">
        <v>128.53</v>
      </c>
      <c r="O79" s="94">
        <v>230.09714000000002</v>
      </c>
      <c r="P79" s="95">
        <f t="shared" si="2"/>
        <v>4.6567352506871271E-5</v>
      </c>
      <c r="Q79" s="95">
        <f>O79/'סכום נכסי הקרן'!$C$42</f>
        <v>3.9599505464386167E-6</v>
      </c>
    </row>
    <row r="80" spans="2:17" s="132" customFormat="1">
      <c r="B80" s="87" t="s">
        <v>3071</v>
      </c>
      <c r="C80" s="97" t="s">
        <v>2830</v>
      </c>
      <c r="D80" s="84">
        <v>11898330</v>
      </c>
      <c r="E80" s="84"/>
      <c r="F80" s="84" t="s">
        <v>541</v>
      </c>
      <c r="G80" s="107">
        <v>41630</v>
      </c>
      <c r="H80" s="84" t="s">
        <v>361</v>
      </c>
      <c r="I80" s="94">
        <v>5.6300000000000008</v>
      </c>
      <c r="J80" s="97" t="s">
        <v>170</v>
      </c>
      <c r="K80" s="98">
        <v>5.0999999999999997E-2</v>
      </c>
      <c r="L80" s="98">
        <v>6.9000000000000008E-3</v>
      </c>
      <c r="M80" s="94">
        <v>2036693.77</v>
      </c>
      <c r="N80" s="96">
        <v>127.6</v>
      </c>
      <c r="O80" s="94">
        <v>2598.82134</v>
      </c>
      <c r="P80" s="95">
        <f t="shared" si="2"/>
        <v>5.2595277560668304E-4</v>
      </c>
      <c r="Q80" s="95">
        <f>O80/'סכום נכסי הקרן'!$C$42</f>
        <v>4.4725475446714974E-5</v>
      </c>
    </row>
    <row r="81" spans="2:17" s="132" customFormat="1">
      <c r="B81" s="87" t="s">
        <v>3071</v>
      </c>
      <c r="C81" s="97" t="s">
        <v>2830</v>
      </c>
      <c r="D81" s="84">
        <v>11898340</v>
      </c>
      <c r="E81" s="84"/>
      <c r="F81" s="84" t="s">
        <v>541</v>
      </c>
      <c r="G81" s="107">
        <v>41666</v>
      </c>
      <c r="H81" s="84" t="s">
        <v>361</v>
      </c>
      <c r="I81" s="94">
        <v>5.6300000000000008</v>
      </c>
      <c r="J81" s="97" t="s">
        <v>170</v>
      </c>
      <c r="K81" s="98">
        <v>5.0999999999999997E-2</v>
      </c>
      <c r="L81" s="98">
        <v>6.9000000000000008E-3</v>
      </c>
      <c r="M81" s="94">
        <v>393936.88</v>
      </c>
      <c r="N81" s="96">
        <v>127.47</v>
      </c>
      <c r="O81" s="94">
        <v>502.15134</v>
      </c>
      <c r="P81" s="95">
        <f t="shared" si="2"/>
        <v>1.0162602830082009E-4</v>
      </c>
      <c r="Q81" s="95">
        <f>O81/'סכום נכסי הקרן'!$C$42</f>
        <v>8.6419782237531663E-6</v>
      </c>
    </row>
    <row r="82" spans="2:17" s="132" customFormat="1">
      <c r="B82" s="87" t="s">
        <v>3071</v>
      </c>
      <c r="C82" s="97" t="s">
        <v>2830</v>
      </c>
      <c r="D82" s="84">
        <v>11898350</v>
      </c>
      <c r="E82" s="84"/>
      <c r="F82" s="84" t="s">
        <v>541</v>
      </c>
      <c r="G82" s="107">
        <v>41696</v>
      </c>
      <c r="H82" s="84" t="s">
        <v>361</v>
      </c>
      <c r="I82" s="94">
        <v>5.63</v>
      </c>
      <c r="J82" s="97" t="s">
        <v>170</v>
      </c>
      <c r="K82" s="98">
        <v>5.0999999999999997E-2</v>
      </c>
      <c r="L82" s="98">
        <v>6.9000000000000008E-3</v>
      </c>
      <c r="M82" s="94">
        <v>379164.1</v>
      </c>
      <c r="N82" s="96">
        <v>128.24</v>
      </c>
      <c r="O82" s="94">
        <v>486.24003999999996</v>
      </c>
      <c r="P82" s="95">
        <f t="shared" si="2"/>
        <v>9.8405879124074215E-5</v>
      </c>
      <c r="Q82" s="95">
        <f>O82/'סכום נכסי הקרן'!$C$42</f>
        <v>8.3681462190200819E-6</v>
      </c>
    </row>
    <row r="83" spans="2:17" s="132" customFormat="1">
      <c r="B83" s="87" t="s">
        <v>3071</v>
      </c>
      <c r="C83" s="97" t="s">
        <v>2830</v>
      </c>
      <c r="D83" s="84">
        <v>11898360</v>
      </c>
      <c r="E83" s="84"/>
      <c r="F83" s="84" t="s">
        <v>541</v>
      </c>
      <c r="G83" s="107">
        <v>41725</v>
      </c>
      <c r="H83" s="84" t="s">
        <v>361</v>
      </c>
      <c r="I83" s="94">
        <v>5.6300000000000008</v>
      </c>
      <c r="J83" s="97" t="s">
        <v>170</v>
      </c>
      <c r="K83" s="98">
        <v>5.0999999999999997E-2</v>
      </c>
      <c r="L83" s="98">
        <v>6.8999999999999999E-3</v>
      </c>
      <c r="M83" s="94">
        <v>755116.89</v>
      </c>
      <c r="N83" s="96">
        <v>128.49</v>
      </c>
      <c r="O83" s="94">
        <v>970.24969999999996</v>
      </c>
      <c r="P83" s="95">
        <f t="shared" si="2"/>
        <v>1.963603711005973E-4</v>
      </c>
      <c r="Q83" s="95">
        <f>O83/'סכום נכסי הקרן'!$C$42</f>
        <v>1.6697907804055729E-5</v>
      </c>
    </row>
    <row r="84" spans="2:17" s="132" customFormat="1">
      <c r="B84" s="87" t="s">
        <v>3071</v>
      </c>
      <c r="C84" s="97" t="s">
        <v>2830</v>
      </c>
      <c r="D84" s="84">
        <v>11898380</v>
      </c>
      <c r="E84" s="84"/>
      <c r="F84" s="84" t="s">
        <v>541</v>
      </c>
      <c r="G84" s="107">
        <v>41787</v>
      </c>
      <c r="H84" s="84" t="s">
        <v>361</v>
      </c>
      <c r="I84" s="94">
        <v>5.6300000000000008</v>
      </c>
      <c r="J84" s="97" t="s">
        <v>170</v>
      </c>
      <c r="K84" s="98">
        <v>5.0999999999999997E-2</v>
      </c>
      <c r="L84" s="98">
        <v>6.8999999999999999E-3</v>
      </c>
      <c r="M84" s="94">
        <v>475396.68</v>
      </c>
      <c r="N84" s="96">
        <v>127.98</v>
      </c>
      <c r="O84" s="94">
        <v>608.41268000000002</v>
      </c>
      <c r="P84" s="95">
        <f t="shared" si="2"/>
        <v>1.2313133374543579E-4</v>
      </c>
      <c r="Q84" s="95">
        <f>O84/'סכום נכסי הקרן'!$C$42</f>
        <v>1.0470726079542679E-5</v>
      </c>
    </row>
    <row r="85" spans="2:17" s="132" customFormat="1">
      <c r="B85" s="87" t="s">
        <v>3071</v>
      </c>
      <c r="C85" s="97" t="s">
        <v>2830</v>
      </c>
      <c r="D85" s="84">
        <v>11898390</v>
      </c>
      <c r="E85" s="84"/>
      <c r="F85" s="84" t="s">
        <v>541</v>
      </c>
      <c r="G85" s="107">
        <v>41815</v>
      </c>
      <c r="H85" s="84" t="s">
        <v>361</v>
      </c>
      <c r="I85" s="94">
        <v>5.63</v>
      </c>
      <c r="J85" s="97" t="s">
        <v>170</v>
      </c>
      <c r="K85" s="98">
        <v>5.0999999999999997E-2</v>
      </c>
      <c r="L85" s="98">
        <v>6.8999999999999999E-3</v>
      </c>
      <c r="M85" s="94">
        <v>267293.63</v>
      </c>
      <c r="N85" s="96">
        <v>127.86</v>
      </c>
      <c r="O85" s="94">
        <v>341.76164</v>
      </c>
      <c r="P85" s="95">
        <f t="shared" si="2"/>
        <v>6.9166156359902749E-5</v>
      </c>
      <c r="Q85" s="95">
        <f>O85/'סכום נכסי הקרן'!$C$42</f>
        <v>5.8816862872339817E-6</v>
      </c>
    </row>
    <row r="86" spans="2:17" s="132" customFormat="1">
      <c r="B86" s="87" t="s">
        <v>3071</v>
      </c>
      <c r="C86" s="97" t="s">
        <v>2830</v>
      </c>
      <c r="D86" s="84">
        <v>11898400</v>
      </c>
      <c r="E86" s="84"/>
      <c r="F86" s="84" t="s">
        <v>541</v>
      </c>
      <c r="G86" s="107">
        <v>41836</v>
      </c>
      <c r="H86" s="84" t="s">
        <v>361</v>
      </c>
      <c r="I86" s="94">
        <v>5.63</v>
      </c>
      <c r="J86" s="97" t="s">
        <v>170</v>
      </c>
      <c r="K86" s="98">
        <v>5.0999999999999997E-2</v>
      </c>
      <c r="L86" s="98">
        <v>6.8999999999999999E-3</v>
      </c>
      <c r="M86" s="94">
        <v>794632.62</v>
      </c>
      <c r="N86" s="96">
        <v>127.48</v>
      </c>
      <c r="O86" s="94">
        <v>1012.99765</v>
      </c>
      <c r="P86" s="95">
        <f t="shared" si="2"/>
        <v>2.0501175571405276E-4</v>
      </c>
      <c r="Q86" s="95">
        <f>O86/'סכום נכסי הקרן'!$C$42</f>
        <v>1.7433596078849715E-5</v>
      </c>
    </row>
    <row r="87" spans="2:17" s="132" customFormat="1">
      <c r="B87" s="87" t="s">
        <v>3071</v>
      </c>
      <c r="C87" s="97" t="s">
        <v>2830</v>
      </c>
      <c r="D87" s="84">
        <v>11896130</v>
      </c>
      <c r="E87" s="84"/>
      <c r="F87" s="84" t="s">
        <v>541</v>
      </c>
      <c r="G87" s="107">
        <v>40903</v>
      </c>
      <c r="H87" s="84" t="s">
        <v>361</v>
      </c>
      <c r="I87" s="94">
        <v>5.66</v>
      </c>
      <c r="J87" s="97" t="s">
        <v>170</v>
      </c>
      <c r="K87" s="98">
        <v>5.2619999999999993E-2</v>
      </c>
      <c r="L87" s="98">
        <v>3.5999999999999999E-3</v>
      </c>
      <c r="M87" s="94">
        <v>1003227.62</v>
      </c>
      <c r="N87" s="96">
        <v>135.46</v>
      </c>
      <c r="O87" s="94">
        <v>1358.97219</v>
      </c>
      <c r="P87" s="95">
        <f t="shared" si="2"/>
        <v>2.7503052414630112E-4</v>
      </c>
      <c r="Q87" s="95">
        <f>O87/'סכום נכסי הקרן'!$C$42</f>
        <v>2.3387785986324658E-5</v>
      </c>
    </row>
    <row r="88" spans="2:17" s="132" customFormat="1">
      <c r="B88" s="87" t="s">
        <v>3071</v>
      </c>
      <c r="C88" s="97" t="s">
        <v>2830</v>
      </c>
      <c r="D88" s="84">
        <v>11898410</v>
      </c>
      <c r="E88" s="84"/>
      <c r="F88" s="84" t="s">
        <v>541</v>
      </c>
      <c r="G88" s="107">
        <v>41911</v>
      </c>
      <c r="H88" s="84" t="s">
        <v>361</v>
      </c>
      <c r="I88" s="94">
        <v>5.63</v>
      </c>
      <c r="J88" s="97" t="s">
        <v>170</v>
      </c>
      <c r="K88" s="98">
        <v>5.0999999999999997E-2</v>
      </c>
      <c r="L88" s="98">
        <v>6.8999999999999999E-3</v>
      </c>
      <c r="M88" s="94">
        <v>311892.21000000002</v>
      </c>
      <c r="N88" s="96">
        <v>127.48</v>
      </c>
      <c r="O88" s="94">
        <v>397.60019</v>
      </c>
      <c r="P88" s="95">
        <f t="shared" si="2"/>
        <v>8.0466833288449349E-5</v>
      </c>
      <c r="Q88" s="95">
        <f>O88/'סכום נכסי הקרן'!$C$42</f>
        <v>6.8426625800503111E-6</v>
      </c>
    </row>
    <row r="89" spans="2:17" s="132" customFormat="1">
      <c r="B89" s="87" t="s">
        <v>3071</v>
      </c>
      <c r="C89" s="97" t="s">
        <v>2830</v>
      </c>
      <c r="D89" s="84">
        <v>11896140</v>
      </c>
      <c r="E89" s="84"/>
      <c r="F89" s="84" t="s">
        <v>541</v>
      </c>
      <c r="G89" s="107">
        <v>40933</v>
      </c>
      <c r="H89" s="84" t="s">
        <v>361</v>
      </c>
      <c r="I89" s="94">
        <v>5.62</v>
      </c>
      <c r="J89" s="97" t="s">
        <v>170</v>
      </c>
      <c r="K89" s="98">
        <v>5.1330999999999995E-2</v>
      </c>
      <c r="L89" s="98">
        <v>6.9000000000000008E-3</v>
      </c>
      <c r="M89" s="94">
        <v>3699456.64</v>
      </c>
      <c r="N89" s="96">
        <v>132.12</v>
      </c>
      <c r="O89" s="94">
        <v>4887.7219999999998</v>
      </c>
      <c r="P89" s="95">
        <f t="shared" si="2"/>
        <v>9.8918340892715931E-4</v>
      </c>
      <c r="Q89" s="95">
        <f>O89/'סכום נכסי הקרן'!$C$42</f>
        <v>8.4117244589567886E-5</v>
      </c>
    </row>
    <row r="90" spans="2:17" s="132" customFormat="1">
      <c r="B90" s="87" t="s">
        <v>3071</v>
      </c>
      <c r="C90" s="97" t="s">
        <v>2830</v>
      </c>
      <c r="D90" s="84">
        <v>11896150</v>
      </c>
      <c r="E90" s="84"/>
      <c r="F90" s="84" t="s">
        <v>541</v>
      </c>
      <c r="G90" s="107">
        <v>40993</v>
      </c>
      <c r="H90" s="84" t="s">
        <v>361</v>
      </c>
      <c r="I90" s="94">
        <v>5.62</v>
      </c>
      <c r="J90" s="97" t="s">
        <v>170</v>
      </c>
      <c r="K90" s="98">
        <v>5.1451999999999998E-2</v>
      </c>
      <c r="L90" s="98">
        <v>6.9000000000000008E-3</v>
      </c>
      <c r="M90" s="94">
        <v>2152987.62</v>
      </c>
      <c r="N90" s="96">
        <v>132.19999999999999</v>
      </c>
      <c r="O90" s="94">
        <v>2846.2497799999996</v>
      </c>
      <c r="P90" s="95">
        <f t="shared" si="2"/>
        <v>5.7602765870042873E-4</v>
      </c>
      <c r="Q90" s="95">
        <f>O90/'סכום נכסי הקרן'!$C$42</f>
        <v>4.8983696066851546E-5</v>
      </c>
    </row>
    <row r="91" spans="2:17" s="132" customFormat="1">
      <c r="B91" s="87" t="s">
        <v>3071</v>
      </c>
      <c r="C91" s="97" t="s">
        <v>2830</v>
      </c>
      <c r="D91" s="84">
        <v>11896160</v>
      </c>
      <c r="E91" s="84"/>
      <c r="F91" s="84" t="s">
        <v>541</v>
      </c>
      <c r="G91" s="107">
        <v>41053</v>
      </c>
      <c r="H91" s="84" t="s">
        <v>361</v>
      </c>
      <c r="I91" s="94">
        <v>5.63</v>
      </c>
      <c r="J91" s="97" t="s">
        <v>170</v>
      </c>
      <c r="K91" s="98">
        <v>5.0999999999999997E-2</v>
      </c>
      <c r="L91" s="98">
        <v>6.8999999999999999E-3</v>
      </c>
      <c r="M91" s="94">
        <v>1516513.89</v>
      </c>
      <c r="N91" s="96">
        <v>130.30000000000001</v>
      </c>
      <c r="O91" s="94">
        <v>1976.01765</v>
      </c>
      <c r="P91" s="95">
        <f t="shared" si="2"/>
        <v>3.9990897091267348E-4</v>
      </c>
      <c r="Q91" s="95">
        <f>O91/'סכום נכסי הקרן'!$C$42</f>
        <v>3.4007081413049508E-5</v>
      </c>
    </row>
    <row r="92" spans="2:17" s="132" customFormat="1">
      <c r="B92" s="87" t="s">
        <v>3071</v>
      </c>
      <c r="C92" s="97" t="s">
        <v>2830</v>
      </c>
      <c r="D92" s="84">
        <v>11898170</v>
      </c>
      <c r="E92" s="84"/>
      <c r="F92" s="84" t="s">
        <v>541</v>
      </c>
      <c r="G92" s="107">
        <v>41085</v>
      </c>
      <c r="H92" s="84" t="s">
        <v>361</v>
      </c>
      <c r="I92" s="94">
        <v>5.63</v>
      </c>
      <c r="J92" s="97" t="s">
        <v>170</v>
      </c>
      <c r="K92" s="98">
        <v>5.0999999999999997E-2</v>
      </c>
      <c r="L92" s="98">
        <v>6.8999999999999999E-3</v>
      </c>
      <c r="M92" s="94">
        <v>2790490.56</v>
      </c>
      <c r="N92" s="96">
        <v>130.30000000000001</v>
      </c>
      <c r="O92" s="94">
        <v>3636.0093099999999</v>
      </c>
      <c r="P92" s="95">
        <f t="shared" si="2"/>
        <v>7.3586019911866683E-4</v>
      </c>
      <c r="Q92" s="95">
        <f>O92/'סכום נכסי הקרן'!$C$42</f>
        <v>6.2575384700524288E-5</v>
      </c>
    </row>
    <row r="93" spans="2:17" s="132" customFormat="1">
      <c r="B93" s="87" t="s">
        <v>3071</v>
      </c>
      <c r="C93" s="97" t="s">
        <v>2830</v>
      </c>
      <c r="D93" s="84">
        <v>11898180</v>
      </c>
      <c r="E93" s="84"/>
      <c r="F93" s="84" t="s">
        <v>541</v>
      </c>
      <c r="G93" s="107">
        <v>41115</v>
      </c>
      <c r="H93" s="84" t="s">
        <v>361</v>
      </c>
      <c r="I93" s="94">
        <v>5.5200000000000005</v>
      </c>
      <c r="J93" s="97" t="s">
        <v>170</v>
      </c>
      <c r="K93" s="98">
        <v>5.0999999999999997E-2</v>
      </c>
      <c r="L93" s="98">
        <v>1.6399999999999998E-2</v>
      </c>
      <c r="M93" s="94">
        <v>1237443.96</v>
      </c>
      <c r="N93" s="96">
        <v>124.04</v>
      </c>
      <c r="O93" s="94">
        <v>1534.9256</v>
      </c>
      <c r="P93" s="95">
        <f t="shared" si="2"/>
        <v>3.1064019955667803E-4</v>
      </c>
      <c r="Q93" s="95">
        <f>O93/'סכום נכסי הקרן'!$C$42</f>
        <v>2.6415927935751923E-5</v>
      </c>
    </row>
    <row r="94" spans="2:17" s="132" customFormat="1">
      <c r="B94" s="87" t="s">
        <v>3071</v>
      </c>
      <c r="C94" s="97" t="s">
        <v>2830</v>
      </c>
      <c r="D94" s="84">
        <v>11898190</v>
      </c>
      <c r="E94" s="84"/>
      <c r="F94" s="84" t="s">
        <v>541</v>
      </c>
      <c r="G94" s="107">
        <v>41179</v>
      </c>
      <c r="H94" s="84" t="s">
        <v>361</v>
      </c>
      <c r="I94" s="94">
        <v>5.63</v>
      </c>
      <c r="J94" s="97" t="s">
        <v>170</v>
      </c>
      <c r="K94" s="98">
        <v>5.0999999999999997E-2</v>
      </c>
      <c r="L94" s="98">
        <v>6.9000000000000008E-3</v>
      </c>
      <c r="M94" s="94">
        <v>1560416.95</v>
      </c>
      <c r="N94" s="96">
        <v>129.19</v>
      </c>
      <c r="O94" s="94">
        <v>2015.90266</v>
      </c>
      <c r="P94" s="95">
        <f t="shared" si="2"/>
        <v>4.0798095007942925E-4</v>
      </c>
      <c r="Q94" s="95">
        <f>O94/'סכום נכסי הקרן'!$C$42</f>
        <v>3.4693498754630588E-5</v>
      </c>
    </row>
    <row r="95" spans="2:17" s="132" customFormat="1">
      <c r="B95" s="87" t="s">
        <v>3073</v>
      </c>
      <c r="C95" s="97" t="s">
        <v>2830</v>
      </c>
      <c r="D95" s="84">
        <v>90145563</v>
      </c>
      <c r="E95" s="84"/>
      <c r="F95" s="84" t="s">
        <v>549</v>
      </c>
      <c r="G95" s="107">
        <v>42122</v>
      </c>
      <c r="H95" s="84" t="s">
        <v>168</v>
      </c>
      <c r="I95" s="94">
        <v>5.8000000000000007</v>
      </c>
      <c r="J95" s="97" t="s">
        <v>170</v>
      </c>
      <c r="K95" s="98">
        <v>2.4799999999999999E-2</v>
      </c>
      <c r="L95" s="98">
        <v>9.0999999999999987E-3</v>
      </c>
      <c r="M95" s="94">
        <v>99426315.769999996</v>
      </c>
      <c r="N95" s="96">
        <v>111.44</v>
      </c>
      <c r="O95" s="94">
        <v>110800.68669</v>
      </c>
      <c r="P95" s="95">
        <f t="shared" si="2"/>
        <v>2.2423984214217652E-2</v>
      </c>
      <c r="Q95" s="95">
        <f>O95/'סכום נכסי הקרן'!$C$42</f>
        <v>1.9068695934414458E-3</v>
      </c>
    </row>
    <row r="96" spans="2:17" s="132" customFormat="1">
      <c r="B96" s="87" t="s">
        <v>3063</v>
      </c>
      <c r="C96" s="97" t="s">
        <v>2830</v>
      </c>
      <c r="D96" s="84">
        <v>90150300</v>
      </c>
      <c r="E96" s="84"/>
      <c r="F96" s="84" t="s">
        <v>549</v>
      </c>
      <c r="G96" s="107">
        <v>41455</v>
      </c>
      <c r="H96" s="84" t="s">
        <v>168</v>
      </c>
      <c r="I96" s="94">
        <v>4.01</v>
      </c>
      <c r="J96" s="97" t="s">
        <v>170</v>
      </c>
      <c r="K96" s="98">
        <v>4.7039999999999998E-2</v>
      </c>
      <c r="L96" s="98">
        <v>-2E-3</v>
      </c>
      <c r="M96" s="94">
        <v>18254903.57</v>
      </c>
      <c r="N96" s="96">
        <v>146.46</v>
      </c>
      <c r="O96" s="94">
        <v>26736.131940000003</v>
      </c>
      <c r="P96" s="95">
        <f t="shared" si="2"/>
        <v>5.4108924635925502E-3</v>
      </c>
      <c r="Q96" s="95">
        <f>O96/'סכום נכסי הקרן'!$C$42</f>
        <v>4.6012636352393583E-4</v>
      </c>
    </row>
    <row r="97" spans="2:17" s="132" customFormat="1">
      <c r="B97" s="87" t="s">
        <v>3081</v>
      </c>
      <c r="C97" s="97" t="s">
        <v>2825</v>
      </c>
      <c r="D97" s="84">
        <v>4100</v>
      </c>
      <c r="E97" s="84"/>
      <c r="F97" s="84" t="s">
        <v>549</v>
      </c>
      <c r="G97" s="107">
        <v>42052</v>
      </c>
      <c r="H97" s="84" t="s">
        <v>168</v>
      </c>
      <c r="I97" s="94">
        <v>5.64</v>
      </c>
      <c r="J97" s="97" t="s">
        <v>170</v>
      </c>
      <c r="K97" s="98">
        <v>2.9779E-2</v>
      </c>
      <c r="L97" s="98">
        <v>1.8E-3</v>
      </c>
      <c r="M97" s="94">
        <v>12789832.529999999</v>
      </c>
      <c r="N97" s="96">
        <v>119.02</v>
      </c>
      <c r="O97" s="94">
        <v>15222.45874</v>
      </c>
      <c r="P97" s="95">
        <f t="shared" si="2"/>
        <v>3.0807406044546376E-3</v>
      </c>
      <c r="Q97" s="95">
        <f>O97/'סכום נכסי הקרן'!$C$42</f>
        <v>2.6197711021354845E-4</v>
      </c>
    </row>
    <row r="98" spans="2:17" s="132" customFormat="1">
      <c r="B98" s="87" t="s">
        <v>3074</v>
      </c>
      <c r="C98" s="97" t="s">
        <v>2830</v>
      </c>
      <c r="D98" s="84">
        <v>95350502</v>
      </c>
      <c r="E98" s="84"/>
      <c r="F98" s="84" t="s">
        <v>549</v>
      </c>
      <c r="G98" s="107">
        <v>41767</v>
      </c>
      <c r="H98" s="84" t="s">
        <v>168</v>
      </c>
      <c r="I98" s="94">
        <v>6.25</v>
      </c>
      <c r="J98" s="97" t="s">
        <v>170</v>
      </c>
      <c r="K98" s="98">
        <v>5.3499999999999999E-2</v>
      </c>
      <c r="L98" s="98">
        <v>6.9000000000000008E-3</v>
      </c>
      <c r="M98" s="94">
        <v>630692.41</v>
      </c>
      <c r="N98" s="96">
        <v>134.38999999999999</v>
      </c>
      <c r="O98" s="94">
        <v>847.58751000000007</v>
      </c>
      <c r="P98" s="95">
        <f t="shared" si="2"/>
        <v>1.7153584072618754E-4</v>
      </c>
      <c r="Q98" s="95">
        <f>O98/'סכום נכסי הקרן'!$C$42</f>
        <v>1.4586902833207951E-5</v>
      </c>
    </row>
    <row r="99" spans="2:17" s="132" customFormat="1">
      <c r="B99" s="87" t="s">
        <v>3074</v>
      </c>
      <c r="C99" s="97" t="s">
        <v>2830</v>
      </c>
      <c r="D99" s="84">
        <v>95350101</v>
      </c>
      <c r="E99" s="84"/>
      <c r="F99" s="84" t="s">
        <v>549</v>
      </c>
      <c r="G99" s="107">
        <v>41269</v>
      </c>
      <c r="H99" s="84" t="s">
        <v>168</v>
      </c>
      <c r="I99" s="94">
        <v>6.34</v>
      </c>
      <c r="J99" s="97" t="s">
        <v>170</v>
      </c>
      <c r="K99" s="98">
        <v>5.3499999999999999E-2</v>
      </c>
      <c r="L99" s="98">
        <v>1E-3</v>
      </c>
      <c r="M99" s="94">
        <v>3132370.94</v>
      </c>
      <c r="N99" s="96">
        <v>141.56</v>
      </c>
      <c r="O99" s="94">
        <v>4434.1841900000009</v>
      </c>
      <c r="P99" s="95">
        <f t="shared" ref="P99:P165" si="3">O99/$O$10</f>
        <v>8.9739584879727525E-4</v>
      </c>
      <c r="Q99" s="95">
        <f>O99/'סכום נכסי הקרן'!$C$42</f>
        <v>7.6311900731143272E-5</v>
      </c>
    </row>
    <row r="100" spans="2:17" s="132" customFormat="1">
      <c r="B100" s="87" t="s">
        <v>3074</v>
      </c>
      <c r="C100" s="97" t="s">
        <v>2830</v>
      </c>
      <c r="D100" s="84">
        <v>95350102</v>
      </c>
      <c r="E100" s="84"/>
      <c r="F100" s="84" t="s">
        <v>549</v>
      </c>
      <c r="G100" s="107">
        <v>41767</v>
      </c>
      <c r="H100" s="84" t="s">
        <v>168</v>
      </c>
      <c r="I100" s="94">
        <v>6.7499999999999991</v>
      </c>
      <c r="J100" s="97" t="s">
        <v>170</v>
      </c>
      <c r="K100" s="98">
        <v>5.3499999999999999E-2</v>
      </c>
      <c r="L100" s="98">
        <v>1.03E-2</v>
      </c>
      <c r="M100" s="94">
        <v>493585.42</v>
      </c>
      <c r="N100" s="96">
        <v>134.38999999999999</v>
      </c>
      <c r="O100" s="94">
        <v>663.32942000000003</v>
      </c>
      <c r="P100" s="95">
        <f t="shared" si="3"/>
        <v>1.3424545359111574E-4</v>
      </c>
      <c r="Q100" s="95">
        <f>O100/'סכום נכסי הקרן'!$C$42</f>
        <v>1.1415838107322023E-5</v>
      </c>
    </row>
    <row r="101" spans="2:17" s="132" customFormat="1">
      <c r="B101" s="87" t="s">
        <v>3074</v>
      </c>
      <c r="C101" s="97" t="s">
        <v>2830</v>
      </c>
      <c r="D101" s="84">
        <v>95350202</v>
      </c>
      <c r="E101" s="84"/>
      <c r="F101" s="84" t="s">
        <v>549</v>
      </c>
      <c r="G101" s="107">
        <v>41767</v>
      </c>
      <c r="H101" s="84" t="s">
        <v>168</v>
      </c>
      <c r="I101" s="94">
        <v>6.25</v>
      </c>
      <c r="J101" s="97" t="s">
        <v>170</v>
      </c>
      <c r="K101" s="98">
        <v>5.3499999999999999E-2</v>
      </c>
      <c r="L101" s="98">
        <v>6.8999999999999999E-3</v>
      </c>
      <c r="M101" s="94">
        <v>630692.35</v>
      </c>
      <c r="N101" s="96">
        <v>134.38999999999999</v>
      </c>
      <c r="O101" s="94">
        <v>847.58743000000004</v>
      </c>
      <c r="P101" s="95">
        <f t="shared" si="3"/>
        <v>1.7153582453568555E-4</v>
      </c>
      <c r="Q101" s="95">
        <f>O101/'סכום נכסי הקרן'!$C$42</f>
        <v>1.4586901456415332E-5</v>
      </c>
    </row>
    <row r="102" spans="2:17" s="132" customFormat="1">
      <c r="B102" s="87" t="s">
        <v>3074</v>
      </c>
      <c r="C102" s="97" t="s">
        <v>2830</v>
      </c>
      <c r="D102" s="84">
        <v>95350201</v>
      </c>
      <c r="E102" s="84"/>
      <c r="F102" s="84" t="s">
        <v>549</v>
      </c>
      <c r="G102" s="107">
        <v>41269</v>
      </c>
      <c r="H102" s="84" t="s">
        <v>168</v>
      </c>
      <c r="I102" s="94">
        <v>6.3400000000000007</v>
      </c>
      <c r="J102" s="97" t="s">
        <v>170</v>
      </c>
      <c r="K102" s="98">
        <v>5.3499999999999999E-2</v>
      </c>
      <c r="L102" s="98">
        <v>1E-3</v>
      </c>
      <c r="M102" s="94">
        <v>3328143.64</v>
      </c>
      <c r="N102" s="96">
        <v>141.56</v>
      </c>
      <c r="O102" s="94">
        <v>4711.3200099999995</v>
      </c>
      <c r="P102" s="95">
        <f t="shared" si="3"/>
        <v>9.5348294932456011E-4</v>
      </c>
      <c r="Q102" s="95">
        <f>O102/'סכום נכסי הקרן'!$C$42</f>
        <v>8.1081382619734797E-5</v>
      </c>
    </row>
    <row r="103" spans="2:17" s="132" customFormat="1">
      <c r="B103" s="87" t="s">
        <v>3074</v>
      </c>
      <c r="C103" s="97" t="s">
        <v>2830</v>
      </c>
      <c r="D103" s="84">
        <v>95350301</v>
      </c>
      <c r="E103" s="84"/>
      <c r="F103" s="84" t="s">
        <v>549</v>
      </c>
      <c r="G103" s="107">
        <v>41281</v>
      </c>
      <c r="H103" s="84" t="s">
        <v>168</v>
      </c>
      <c r="I103" s="94">
        <v>6.34</v>
      </c>
      <c r="J103" s="97" t="s">
        <v>170</v>
      </c>
      <c r="K103" s="98">
        <v>5.3499999999999999E-2</v>
      </c>
      <c r="L103" s="98">
        <v>1.1000000000000001E-3</v>
      </c>
      <c r="M103" s="94">
        <v>4192981.29</v>
      </c>
      <c r="N103" s="96">
        <v>141.47999999999999</v>
      </c>
      <c r="O103" s="94">
        <v>5932.2298000000001</v>
      </c>
      <c r="P103" s="95">
        <f t="shared" si="3"/>
        <v>1.2005722289654117E-3</v>
      </c>
      <c r="Q103" s="95">
        <f>O103/'סכום נכסי הקרן'!$C$42</f>
        <v>1.0209312744221612E-4</v>
      </c>
    </row>
    <row r="104" spans="2:17" s="132" customFormat="1">
      <c r="B104" s="87" t="s">
        <v>3074</v>
      </c>
      <c r="C104" s="97" t="s">
        <v>2830</v>
      </c>
      <c r="D104" s="84">
        <v>95350302</v>
      </c>
      <c r="E104" s="84"/>
      <c r="F104" s="84" t="s">
        <v>549</v>
      </c>
      <c r="G104" s="107">
        <v>41767</v>
      </c>
      <c r="H104" s="84" t="s">
        <v>168</v>
      </c>
      <c r="I104" s="94">
        <v>6.25</v>
      </c>
      <c r="J104" s="97" t="s">
        <v>170</v>
      </c>
      <c r="K104" s="98">
        <v>5.3499999999999999E-2</v>
      </c>
      <c r="L104" s="98">
        <v>6.9000000000000008E-3</v>
      </c>
      <c r="M104" s="94">
        <v>740378.03</v>
      </c>
      <c r="N104" s="96">
        <v>134.38999999999999</v>
      </c>
      <c r="O104" s="94">
        <v>994.99401</v>
      </c>
      <c r="P104" s="95">
        <f t="shared" si="3"/>
        <v>2.0136815610092066E-4</v>
      </c>
      <c r="Q104" s="95">
        <f>O104/'סכום נכסי הקרן'!$C$42</f>
        <v>1.7123755095794107E-5</v>
      </c>
    </row>
    <row r="105" spans="2:17" s="132" customFormat="1">
      <c r="B105" s="87" t="s">
        <v>3074</v>
      </c>
      <c r="C105" s="97" t="s">
        <v>2830</v>
      </c>
      <c r="D105" s="84">
        <v>95350401</v>
      </c>
      <c r="E105" s="84"/>
      <c r="F105" s="84" t="s">
        <v>549</v>
      </c>
      <c r="G105" s="107">
        <v>41281</v>
      </c>
      <c r="H105" s="84" t="s">
        <v>168</v>
      </c>
      <c r="I105" s="94">
        <v>6.34</v>
      </c>
      <c r="J105" s="97" t="s">
        <v>170</v>
      </c>
      <c r="K105" s="98">
        <v>5.3499999999999999E-2</v>
      </c>
      <c r="L105" s="98">
        <v>1.1000000000000001E-3</v>
      </c>
      <c r="M105" s="94">
        <v>3020367.87</v>
      </c>
      <c r="N105" s="96">
        <v>141.47999999999999</v>
      </c>
      <c r="O105" s="94">
        <v>4273.2163799999998</v>
      </c>
      <c r="P105" s="95">
        <f t="shared" si="3"/>
        <v>8.6481897821761862E-4</v>
      </c>
      <c r="Q105" s="95">
        <f>O105/'סכום נכסי הקרן'!$C$42</f>
        <v>7.3541659574871058E-5</v>
      </c>
    </row>
    <row r="106" spans="2:17" s="132" customFormat="1">
      <c r="B106" s="87" t="s">
        <v>3074</v>
      </c>
      <c r="C106" s="97" t="s">
        <v>2830</v>
      </c>
      <c r="D106" s="84">
        <v>95350402</v>
      </c>
      <c r="E106" s="84"/>
      <c r="F106" s="84" t="s">
        <v>549</v>
      </c>
      <c r="G106" s="107">
        <v>41767</v>
      </c>
      <c r="H106" s="84" t="s">
        <v>168</v>
      </c>
      <c r="I106" s="94">
        <v>6.25</v>
      </c>
      <c r="J106" s="97" t="s">
        <v>170</v>
      </c>
      <c r="K106" s="98">
        <v>5.3499999999999999E-2</v>
      </c>
      <c r="L106" s="98">
        <v>6.8999999999999999E-3</v>
      </c>
      <c r="M106" s="94">
        <v>603201.37</v>
      </c>
      <c r="N106" s="96">
        <v>134.38999999999999</v>
      </c>
      <c r="O106" s="94">
        <v>810.64229</v>
      </c>
      <c r="P106" s="95">
        <f t="shared" si="3"/>
        <v>1.640588200070951E-4</v>
      </c>
      <c r="Q106" s="95">
        <f>O106/'סכום נכסי הקרן'!$C$42</f>
        <v>1.3951079006248193E-5</v>
      </c>
    </row>
    <row r="107" spans="2:17" s="132" customFormat="1">
      <c r="B107" s="87" t="s">
        <v>3074</v>
      </c>
      <c r="C107" s="97" t="s">
        <v>2830</v>
      </c>
      <c r="D107" s="84">
        <v>95350501</v>
      </c>
      <c r="E107" s="84"/>
      <c r="F107" s="84" t="s">
        <v>549</v>
      </c>
      <c r="G107" s="107">
        <v>41281</v>
      </c>
      <c r="H107" s="84" t="s">
        <v>168</v>
      </c>
      <c r="I107" s="94">
        <v>6.3400000000000007</v>
      </c>
      <c r="J107" s="97" t="s">
        <v>170</v>
      </c>
      <c r="K107" s="98">
        <v>5.3499999999999999E-2</v>
      </c>
      <c r="L107" s="98">
        <v>1.1000000000000001E-3</v>
      </c>
      <c r="M107" s="94">
        <v>3627402.72</v>
      </c>
      <c r="N107" s="96">
        <v>141.47999999999999</v>
      </c>
      <c r="O107" s="94">
        <v>5132.0492599999998</v>
      </c>
      <c r="P107" s="95">
        <f t="shared" si="3"/>
        <v>1.0386306712593116E-3</v>
      </c>
      <c r="Q107" s="95">
        <f>O107/'סכום נכסי הקרן'!$C$42</f>
        <v>8.8322094188075944E-5</v>
      </c>
    </row>
    <row r="108" spans="2:17" s="132" customFormat="1">
      <c r="B108" s="87" t="s">
        <v>3135</v>
      </c>
      <c r="C108" s="97" t="s">
        <v>2830</v>
      </c>
      <c r="D108" s="84">
        <v>7127</v>
      </c>
      <c r="E108" s="84"/>
      <c r="F108" s="84" t="s">
        <v>1785</v>
      </c>
      <c r="G108" s="107">
        <v>43708</v>
      </c>
      <c r="H108" s="84" t="s">
        <v>2781</v>
      </c>
      <c r="I108" s="94">
        <v>6.9799999999999986</v>
      </c>
      <c r="J108" s="97" t="s">
        <v>170</v>
      </c>
      <c r="K108" s="98">
        <v>3.1E-2</v>
      </c>
      <c r="L108" s="98">
        <v>1.24E-2</v>
      </c>
      <c r="M108" s="94">
        <v>20604341.609999999</v>
      </c>
      <c r="N108" s="96">
        <v>114.12</v>
      </c>
      <c r="O108" s="94">
        <v>23513.674420000003</v>
      </c>
      <c r="P108" s="95">
        <f t="shared" si="3"/>
        <v>4.758727402904451E-3</v>
      </c>
      <c r="Q108" s="95">
        <f>O108/'סכום נכסי הקרן'!$C$42</f>
        <v>4.046681669674761E-4</v>
      </c>
    </row>
    <row r="109" spans="2:17" s="132" customFormat="1">
      <c r="B109" s="87" t="s">
        <v>3135</v>
      </c>
      <c r="C109" s="97" t="s">
        <v>2830</v>
      </c>
      <c r="D109" s="84">
        <v>7128</v>
      </c>
      <c r="E109" s="84"/>
      <c r="F109" s="84" t="s">
        <v>1785</v>
      </c>
      <c r="G109" s="107">
        <v>43708</v>
      </c>
      <c r="H109" s="84" t="s">
        <v>2781</v>
      </c>
      <c r="I109" s="94">
        <v>7.0100000000000007</v>
      </c>
      <c r="J109" s="97" t="s">
        <v>170</v>
      </c>
      <c r="K109" s="98">
        <v>2.4900000000000002E-2</v>
      </c>
      <c r="L109" s="98">
        <v>1.2500000000000001E-2</v>
      </c>
      <c r="M109" s="94">
        <v>8747260.5600000005</v>
      </c>
      <c r="N109" s="96">
        <v>111.5</v>
      </c>
      <c r="O109" s="94">
        <v>9753.195029999999</v>
      </c>
      <c r="P109" s="95">
        <f t="shared" si="3"/>
        <v>1.9738640429441011E-3</v>
      </c>
      <c r="Q109" s="95">
        <f>O109/'סכום נכסי הקרן'!$C$42</f>
        <v>1.6785158645853178E-4</v>
      </c>
    </row>
    <row r="110" spans="2:17" s="132" customFormat="1">
      <c r="B110" s="87" t="s">
        <v>3135</v>
      </c>
      <c r="C110" s="97" t="s">
        <v>2830</v>
      </c>
      <c r="D110" s="84">
        <v>7130</v>
      </c>
      <c r="E110" s="84"/>
      <c r="F110" s="84" t="s">
        <v>1785</v>
      </c>
      <c r="G110" s="107">
        <v>43708</v>
      </c>
      <c r="H110" s="84" t="s">
        <v>2781</v>
      </c>
      <c r="I110" s="94">
        <v>7.37</v>
      </c>
      <c r="J110" s="97" t="s">
        <v>170</v>
      </c>
      <c r="K110" s="98">
        <v>3.6000000000000004E-2</v>
      </c>
      <c r="L110" s="98">
        <v>1.29E-2</v>
      </c>
      <c r="M110" s="94">
        <v>5478264.5199999996</v>
      </c>
      <c r="N110" s="96">
        <v>118.79</v>
      </c>
      <c r="O110" s="94">
        <v>6507.6306799999993</v>
      </c>
      <c r="P110" s="95">
        <f t="shared" si="3"/>
        <v>1.3170225925454367E-3</v>
      </c>
      <c r="Q110" s="95">
        <f>O110/'סכום נכסי הקרן'!$C$42</f>
        <v>1.1199572349002992E-4</v>
      </c>
    </row>
    <row r="111" spans="2:17" s="132" customFormat="1">
      <c r="B111" s="87" t="s">
        <v>3068</v>
      </c>
      <c r="C111" s="97" t="s">
        <v>2825</v>
      </c>
      <c r="D111" s="84">
        <v>22333</v>
      </c>
      <c r="E111" s="84"/>
      <c r="F111" s="84" t="s">
        <v>1785</v>
      </c>
      <c r="G111" s="107">
        <v>41639</v>
      </c>
      <c r="H111" s="84" t="s">
        <v>2781</v>
      </c>
      <c r="I111" s="94">
        <v>1.9499999999999997</v>
      </c>
      <c r="J111" s="97" t="s">
        <v>170</v>
      </c>
      <c r="K111" s="98">
        <v>3.7000000000000005E-2</v>
      </c>
      <c r="L111" s="98">
        <v>-5.9999999999999995E-4</v>
      </c>
      <c r="M111" s="94">
        <v>34366168.18</v>
      </c>
      <c r="N111" s="96">
        <v>109.93</v>
      </c>
      <c r="O111" s="94">
        <v>37778.727270000003</v>
      </c>
      <c r="P111" s="95">
        <f t="shared" si="3"/>
        <v>7.6457069828987896E-3</v>
      </c>
      <c r="Q111" s="95">
        <f>O111/'סכום נכסי הקרן'!$C$42</f>
        <v>6.5016841016186456E-4</v>
      </c>
    </row>
    <row r="112" spans="2:17" s="132" customFormat="1">
      <c r="B112" s="87" t="s">
        <v>3068</v>
      </c>
      <c r="C112" s="97" t="s">
        <v>2825</v>
      </c>
      <c r="D112" s="84">
        <v>22334</v>
      </c>
      <c r="E112" s="84"/>
      <c r="F112" s="84" t="s">
        <v>1785</v>
      </c>
      <c r="G112" s="107">
        <v>42004</v>
      </c>
      <c r="H112" s="84" t="s">
        <v>2781</v>
      </c>
      <c r="I112" s="94">
        <v>2.42</v>
      </c>
      <c r="J112" s="97" t="s">
        <v>170</v>
      </c>
      <c r="K112" s="98">
        <v>3.7000000000000005E-2</v>
      </c>
      <c r="L112" s="98">
        <v>4.0000000000000002E-4</v>
      </c>
      <c r="M112" s="94">
        <v>14001031.48</v>
      </c>
      <c r="N112" s="96">
        <v>111.66</v>
      </c>
      <c r="O112" s="94">
        <v>15633.5506</v>
      </c>
      <c r="P112" s="95">
        <f t="shared" si="3"/>
        <v>3.1639378991160376E-3</v>
      </c>
      <c r="Q112" s="95">
        <f>O112/'סכום נכסי הקרן'!$C$42</f>
        <v>2.690519631893111E-4</v>
      </c>
    </row>
    <row r="113" spans="2:17" s="132" customFormat="1">
      <c r="B113" s="87" t="s">
        <v>3069</v>
      </c>
      <c r="C113" s="97" t="s">
        <v>2825</v>
      </c>
      <c r="D113" s="84">
        <v>458870</v>
      </c>
      <c r="E113" s="84"/>
      <c r="F113" s="84" t="s">
        <v>1785</v>
      </c>
      <c r="G113" s="107">
        <v>42759</v>
      </c>
      <c r="H113" s="84" t="s">
        <v>2781</v>
      </c>
      <c r="I113" s="94">
        <v>3.58</v>
      </c>
      <c r="J113" s="97" t="s">
        <v>170</v>
      </c>
      <c r="K113" s="98">
        <v>2.5499999999999998E-2</v>
      </c>
      <c r="L113" s="98">
        <v>1.09E-2</v>
      </c>
      <c r="M113" s="94">
        <v>12722650.220000001</v>
      </c>
      <c r="N113" s="96">
        <v>106.43</v>
      </c>
      <c r="O113" s="94">
        <v>13540.717199999999</v>
      </c>
      <c r="P113" s="95">
        <f t="shared" si="3"/>
        <v>2.7403876078088358E-3</v>
      </c>
      <c r="Q113" s="95">
        <f>O113/'סכום נכסי הקרן'!$C$42</f>
        <v>2.3303449349831452E-4</v>
      </c>
    </row>
    <row r="114" spans="2:17" s="132" customFormat="1">
      <c r="B114" s="87" t="s">
        <v>3069</v>
      </c>
      <c r="C114" s="97" t="s">
        <v>2825</v>
      </c>
      <c r="D114" s="84">
        <v>458869</v>
      </c>
      <c r="E114" s="84"/>
      <c r="F114" s="84" t="s">
        <v>1785</v>
      </c>
      <c r="G114" s="107">
        <v>42759</v>
      </c>
      <c r="H114" s="84" t="s">
        <v>2781</v>
      </c>
      <c r="I114" s="94">
        <v>3.4899999999999993</v>
      </c>
      <c r="J114" s="97" t="s">
        <v>170</v>
      </c>
      <c r="K114" s="98">
        <v>3.8800000000000001E-2</v>
      </c>
      <c r="L114" s="98">
        <v>1.8000000000000002E-2</v>
      </c>
      <c r="M114" s="94">
        <v>12722650.220000001</v>
      </c>
      <c r="N114" s="96">
        <v>109.15</v>
      </c>
      <c r="O114" s="94">
        <v>13886.77298</v>
      </c>
      <c r="P114" s="95">
        <f t="shared" si="3"/>
        <v>2.8104228176958441E-3</v>
      </c>
      <c r="Q114" s="95">
        <f>O114/'סכום נכסי הקרן'!$C$42</f>
        <v>2.389900815386928E-4</v>
      </c>
    </row>
    <row r="115" spans="2:17" s="132" customFormat="1">
      <c r="B115" s="87" t="s">
        <v>3076</v>
      </c>
      <c r="C115" s="97" t="s">
        <v>2825</v>
      </c>
      <c r="D115" s="84">
        <v>2963</v>
      </c>
      <c r="E115" s="84"/>
      <c r="F115" s="84" t="s">
        <v>640</v>
      </c>
      <c r="G115" s="107">
        <v>41423</v>
      </c>
      <c r="H115" s="84" t="s">
        <v>168</v>
      </c>
      <c r="I115" s="94">
        <v>4.6900000000000004</v>
      </c>
      <c r="J115" s="97" t="s">
        <v>170</v>
      </c>
      <c r="K115" s="98">
        <v>0.05</v>
      </c>
      <c r="L115" s="98">
        <v>1.9E-3</v>
      </c>
      <c r="M115" s="94">
        <v>8580310.1199999992</v>
      </c>
      <c r="N115" s="96">
        <v>126.08</v>
      </c>
      <c r="O115" s="94">
        <v>10818.055279999999</v>
      </c>
      <c r="P115" s="95">
        <f t="shared" si="3"/>
        <v>2.1893718177574037E-3</v>
      </c>
      <c r="Q115" s="95">
        <f>O115/'סכום נכסי הקרן'!$C$42</f>
        <v>1.8617773309759155E-4</v>
      </c>
    </row>
    <row r="116" spans="2:17" s="132" customFormat="1">
      <c r="B116" s="87" t="s">
        <v>3079</v>
      </c>
      <c r="C116" s="97" t="s">
        <v>2825</v>
      </c>
      <c r="D116" s="84">
        <v>4099</v>
      </c>
      <c r="E116" s="84"/>
      <c r="F116" s="84" t="s">
        <v>640</v>
      </c>
      <c r="G116" s="153">
        <v>43831</v>
      </c>
      <c r="H116" s="84" t="s">
        <v>168</v>
      </c>
      <c r="I116" s="94">
        <v>5.67</v>
      </c>
      <c r="J116" s="97" t="s">
        <v>170</v>
      </c>
      <c r="K116" s="98">
        <v>2.9779E-2</v>
      </c>
      <c r="L116" s="98">
        <v>2E-3</v>
      </c>
      <c r="M116" s="94">
        <v>11226169.550000001</v>
      </c>
      <c r="N116" s="96">
        <v>118.92</v>
      </c>
      <c r="O116" s="94">
        <v>13350.160890000001</v>
      </c>
      <c r="P116" s="95">
        <f>O116/$O$10</f>
        <v>2.7018225788815811E-3</v>
      </c>
      <c r="Q116" s="95">
        <f>O116/'סכום נכסי הקרן'!$C$42</f>
        <v>2.2975503698741736E-4</v>
      </c>
    </row>
    <row r="117" spans="2:17" s="132" customFormat="1">
      <c r="B117" s="87" t="s">
        <v>3090</v>
      </c>
      <c r="C117" s="97" t="s">
        <v>2825</v>
      </c>
      <c r="D117" s="84">
        <v>414968</v>
      </c>
      <c r="E117" s="84"/>
      <c r="F117" s="84" t="s">
        <v>640</v>
      </c>
      <c r="G117" s="153">
        <v>43857</v>
      </c>
      <c r="H117" s="84" t="s">
        <v>168</v>
      </c>
      <c r="I117" s="94">
        <v>6.129999999999999</v>
      </c>
      <c r="J117" s="97" t="s">
        <v>170</v>
      </c>
      <c r="K117" s="98">
        <v>2.5399999999999999E-2</v>
      </c>
      <c r="L117" s="98">
        <v>3.0999999999999995E-3</v>
      </c>
      <c r="M117" s="94">
        <v>18425507.73</v>
      </c>
      <c r="N117" s="96">
        <v>117.21</v>
      </c>
      <c r="O117" s="94">
        <v>21596.537760000003</v>
      </c>
      <c r="P117" s="95">
        <f>O117/$O$10</f>
        <v>4.3707348418058388E-3</v>
      </c>
      <c r="Q117" s="95">
        <f>O117/'סכום נכסי הקרן'!$C$42</f>
        <v>3.7167442195889188E-4</v>
      </c>
    </row>
    <row r="118" spans="2:17" s="132" customFormat="1">
      <c r="B118" s="87" t="s">
        <v>3079</v>
      </c>
      <c r="C118" s="97" t="s">
        <v>2825</v>
      </c>
      <c r="D118" s="84">
        <v>40999</v>
      </c>
      <c r="E118" s="84"/>
      <c r="F118" s="154" t="s">
        <v>640</v>
      </c>
      <c r="G118" s="153">
        <v>43831</v>
      </c>
      <c r="H118" s="84" t="s">
        <v>168</v>
      </c>
      <c r="I118" s="94">
        <v>5.67</v>
      </c>
      <c r="J118" s="97" t="s">
        <v>170</v>
      </c>
      <c r="K118" s="98">
        <v>2.9779E-2</v>
      </c>
      <c r="L118" s="98">
        <v>2.1999999999999997E-3</v>
      </c>
      <c r="M118" s="94">
        <v>317482.18</v>
      </c>
      <c r="N118" s="96">
        <v>118.84</v>
      </c>
      <c r="O118" s="94">
        <v>377.29584</v>
      </c>
      <c r="P118" s="95">
        <f>O118/$O$10</f>
        <v>7.6357613052713738E-5</v>
      </c>
      <c r="Q118" s="95">
        <f>O118/'סכום נכסי הקרן'!$C$42</f>
        <v>6.4932265902001946E-6</v>
      </c>
    </row>
    <row r="119" spans="2:17" s="132" customFormat="1">
      <c r="B119" s="87" t="s">
        <v>3076</v>
      </c>
      <c r="C119" s="97" t="s">
        <v>2825</v>
      </c>
      <c r="D119" s="84">
        <v>2968</v>
      </c>
      <c r="E119" s="84"/>
      <c r="F119" s="84" t="s">
        <v>640</v>
      </c>
      <c r="G119" s="107">
        <v>41423</v>
      </c>
      <c r="H119" s="84" t="s">
        <v>168</v>
      </c>
      <c r="I119" s="94">
        <v>4.6899999999999995</v>
      </c>
      <c r="J119" s="97" t="s">
        <v>170</v>
      </c>
      <c r="K119" s="98">
        <v>0.05</v>
      </c>
      <c r="L119" s="98">
        <v>1.8999999999999998E-3</v>
      </c>
      <c r="M119" s="94">
        <v>2759598.35</v>
      </c>
      <c r="N119" s="96">
        <v>126.08</v>
      </c>
      <c r="O119" s="94">
        <v>3479.3017</v>
      </c>
      <c r="P119" s="95">
        <f t="shared" si="3"/>
        <v>7.0414551324565115E-4</v>
      </c>
      <c r="Q119" s="95">
        <f>O119/'סכום נכסי הקרן'!$C$42</f>
        <v>5.9878461193128289E-5</v>
      </c>
    </row>
    <row r="120" spans="2:17" s="132" customFormat="1">
      <c r="B120" s="87" t="s">
        <v>3076</v>
      </c>
      <c r="C120" s="97" t="s">
        <v>2825</v>
      </c>
      <c r="D120" s="84">
        <v>4605</v>
      </c>
      <c r="E120" s="84"/>
      <c r="F120" s="84" t="s">
        <v>640</v>
      </c>
      <c r="G120" s="107">
        <v>42352</v>
      </c>
      <c r="H120" s="84" t="s">
        <v>168</v>
      </c>
      <c r="I120" s="94">
        <v>6.92</v>
      </c>
      <c r="J120" s="97" t="s">
        <v>170</v>
      </c>
      <c r="K120" s="98">
        <v>0.05</v>
      </c>
      <c r="L120" s="98">
        <v>8.4999999999999989E-3</v>
      </c>
      <c r="M120" s="94">
        <v>8687887.6999999993</v>
      </c>
      <c r="N120" s="96">
        <v>132.16</v>
      </c>
      <c r="O120" s="94">
        <v>11481.91224</v>
      </c>
      <c r="P120" s="95">
        <f t="shared" si="3"/>
        <v>2.3237240355661955E-3</v>
      </c>
      <c r="Q120" s="95">
        <f>O120/'סכום נכסי הקרן'!$C$42</f>
        <v>1.976026501196331E-4</v>
      </c>
    </row>
    <row r="121" spans="2:17" s="132" customFormat="1">
      <c r="B121" s="87" t="s">
        <v>3076</v>
      </c>
      <c r="C121" s="97" t="s">
        <v>2825</v>
      </c>
      <c r="D121" s="84">
        <v>4606</v>
      </c>
      <c r="E121" s="84"/>
      <c r="F121" s="84" t="s">
        <v>640</v>
      </c>
      <c r="G121" s="107">
        <v>42352</v>
      </c>
      <c r="H121" s="84" t="s">
        <v>168</v>
      </c>
      <c r="I121" s="94">
        <v>8.9700000000000006</v>
      </c>
      <c r="J121" s="97" t="s">
        <v>170</v>
      </c>
      <c r="K121" s="98">
        <v>4.0999999999999995E-2</v>
      </c>
      <c r="L121" s="98">
        <v>1.06E-2</v>
      </c>
      <c r="M121" s="94">
        <v>23733079.949999999</v>
      </c>
      <c r="N121" s="96">
        <v>130.80000000000001</v>
      </c>
      <c r="O121" s="94">
        <v>31042.869350000001</v>
      </c>
      <c r="P121" s="95">
        <f t="shared" si="3"/>
        <v>6.2824954705921147E-3</v>
      </c>
      <c r="Q121" s="95">
        <f>O121/'סכום נכסי הקרן'!$C$42</f>
        <v>5.3424491693184492E-4</v>
      </c>
    </row>
    <row r="122" spans="2:17" s="132" customFormat="1">
      <c r="B122" s="87" t="s">
        <v>3076</v>
      </c>
      <c r="C122" s="97" t="s">
        <v>2825</v>
      </c>
      <c r="D122" s="84">
        <v>5150</v>
      </c>
      <c r="E122" s="84"/>
      <c r="F122" s="84" t="s">
        <v>640</v>
      </c>
      <c r="G122" s="107">
        <v>42631</v>
      </c>
      <c r="H122" s="84" t="s">
        <v>168</v>
      </c>
      <c r="I122" s="94">
        <v>8.8600000000000012</v>
      </c>
      <c r="J122" s="97" t="s">
        <v>170</v>
      </c>
      <c r="K122" s="98">
        <v>4.0999999999999995E-2</v>
      </c>
      <c r="L122" s="98">
        <v>1.4499999999999999E-2</v>
      </c>
      <c r="M122" s="94">
        <v>7042809.1799999997</v>
      </c>
      <c r="N122" s="96">
        <v>126.87</v>
      </c>
      <c r="O122" s="94">
        <v>8935.2120399999985</v>
      </c>
      <c r="P122" s="95">
        <f t="shared" si="3"/>
        <v>1.8083196027135332E-3</v>
      </c>
      <c r="Q122" s="95">
        <f>O122/'סכום נכסי הקרן'!$C$42</f>
        <v>1.5377417468267053E-4</v>
      </c>
    </row>
    <row r="123" spans="2:17" s="132" customFormat="1">
      <c r="B123" s="87" t="s">
        <v>3078</v>
      </c>
      <c r="C123" s="97" t="s">
        <v>2830</v>
      </c>
      <c r="D123" s="84">
        <v>90840002</v>
      </c>
      <c r="E123" s="84"/>
      <c r="F123" s="84" t="s">
        <v>640</v>
      </c>
      <c r="G123" s="107">
        <v>43011</v>
      </c>
      <c r="H123" s="84" t="s">
        <v>168</v>
      </c>
      <c r="I123" s="94">
        <v>8.6</v>
      </c>
      <c r="J123" s="97" t="s">
        <v>170</v>
      </c>
      <c r="K123" s="98">
        <v>3.9E-2</v>
      </c>
      <c r="L123" s="98">
        <v>2.1000000000000001E-2</v>
      </c>
      <c r="M123" s="94">
        <v>2437939.62</v>
      </c>
      <c r="N123" s="96">
        <v>118.42</v>
      </c>
      <c r="O123" s="94">
        <v>2887.0082299999999</v>
      </c>
      <c r="P123" s="95">
        <f t="shared" si="3"/>
        <v>5.8427640576779209E-4</v>
      </c>
      <c r="Q123" s="95">
        <f>O123/'סכום נכסי הקרן'!$C$42</f>
        <v>4.9685145230233123E-5</v>
      </c>
    </row>
    <row r="124" spans="2:17" s="132" customFormat="1">
      <c r="B124" s="87" t="s">
        <v>3078</v>
      </c>
      <c r="C124" s="97" t="s">
        <v>2830</v>
      </c>
      <c r="D124" s="84">
        <v>90840004</v>
      </c>
      <c r="E124" s="84"/>
      <c r="F124" s="84" t="s">
        <v>640</v>
      </c>
      <c r="G124" s="107">
        <v>43104</v>
      </c>
      <c r="H124" s="84" t="s">
        <v>168</v>
      </c>
      <c r="I124" s="94">
        <v>8.61</v>
      </c>
      <c r="J124" s="97" t="s">
        <v>170</v>
      </c>
      <c r="K124" s="98">
        <v>3.8199999999999998E-2</v>
      </c>
      <c r="L124" s="98">
        <v>2.3900000000000001E-2</v>
      </c>
      <c r="M124" s="94">
        <v>4338824.43</v>
      </c>
      <c r="N124" s="96">
        <v>112.58</v>
      </c>
      <c r="O124" s="94">
        <v>4884.6485899999998</v>
      </c>
      <c r="P124" s="95">
        <f t="shared" si="3"/>
        <v>9.885614082935654E-4</v>
      </c>
      <c r="Q124" s="95">
        <f>O124/'סכום נכסי הקרן'!$C$42</f>
        <v>8.406435148707679E-5</v>
      </c>
    </row>
    <row r="125" spans="2:17" s="132" customFormat="1">
      <c r="B125" s="87" t="s">
        <v>3078</v>
      </c>
      <c r="C125" s="97" t="s">
        <v>2830</v>
      </c>
      <c r="D125" s="84">
        <v>90840006</v>
      </c>
      <c r="E125" s="84"/>
      <c r="F125" s="84" t="s">
        <v>640</v>
      </c>
      <c r="G125" s="107">
        <v>43194</v>
      </c>
      <c r="H125" s="84" t="s">
        <v>168</v>
      </c>
      <c r="I125" s="94">
        <v>8.66</v>
      </c>
      <c r="J125" s="97" t="s">
        <v>170</v>
      </c>
      <c r="K125" s="98">
        <v>3.7900000000000003E-2</v>
      </c>
      <c r="L125" s="98">
        <v>1.9599999999999999E-2</v>
      </c>
      <c r="M125" s="94">
        <v>2801062.81</v>
      </c>
      <c r="N125" s="96">
        <v>116.73</v>
      </c>
      <c r="O125" s="94">
        <v>3269.6808799999999</v>
      </c>
      <c r="P125" s="95">
        <f t="shared" si="3"/>
        <v>6.617221844823323E-4</v>
      </c>
      <c r="Q125" s="95">
        <f>O125/'סכום נכסי הקרן'!$C$42</f>
        <v>5.62709062243707E-5</v>
      </c>
    </row>
    <row r="126" spans="2:17" s="132" customFormat="1">
      <c r="B126" s="87" t="s">
        <v>3078</v>
      </c>
      <c r="C126" s="97" t="s">
        <v>2830</v>
      </c>
      <c r="D126" s="84">
        <v>90840008</v>
      </c>
      <c r="E126" s="84"/>
      <c r="F126" s="84" t="s">
        <v>640</v>
      </c>
      <c r="G126" s="107">
        <v>43285</v>
      </c>
      <c r="H126" s="84" t="s">
        <v>168</v>
      </c>
      <c r="I126" s="94">
        <v>8.629999999999999</v>
      </c>
      <c r="J126" s="97" t="s">
        <v>170</v>
      </c>
      <c r="K126" s="98">
        <v>4.0099999999999997E-2</v>
      </c>
      <c r="L126" s="98">
        <v>1.9699999999999999E-2</v>
      </c>
      <c r="M126" s="94">
        <v>3720559.85</v>
      </c>
      <c r="N126" s="96">
        <v>117.35</v>
      </c>
      <c r="O126" s="94">
        <v>4366.07719</v>
      </c>
      <c r="P126" s="95">
        <f t="shared" si="3"/>
        <v>8.836122673186635E-4</v>
      </c>
      <c r="Q126" s="95">
        <f>O126/'סכום נכסי הקרן'!$C$42</f>
        <v>7.5139785545938031E-5</v>
      </c>
    </row>
    <row r="127" spans="2:17" s="132" customFormat="1">
      <c r="B127" s="87" t="s">
        <v>3078</v>
      </c>
      <c r="C127" s="97" t="s">
        <v>2830</v>
      </c>
      <c r="D127" s="84">
        <v>90840010</v>
      </c>
      <c r="E127" s="84"/>
      <c r="F127" s="84" t="s">
        <v>640</v>
      </c>
      <c r="G127" s="107">
        <v>43377</v>
      </c>
      <c r="H127" s="84" t="s">
        <v>168</v>
      </c>
      <c r="I127" s="94">
        <v>8.620000000000001</v>
      </c>
      <c r="J127" s="97" t="s">
        <v>170</v>
      </c>
      <c r="K127" s="98">
        <v>3.9699999999999999E-2</v>
      </c>
      <c r="L127" s="98">
        <v>2.1300000000000003E-2</v>
      </c>
      <c r="M127" s="94">
        <v>7444495.9900000002</v>
      </c>
      <c r="N127" s="96">
        <v>115.18</v>
      </c>
      <c r="O127" s="94">
        <v>8574.5700099999995</v>
      </c>
      <c r="P127" s="95">
        <f t="shared" si="3"/>
        <v>1.7353324089578715E-3</v>
      </c>
      <c r="Q127" s="95">
        <f>O127/'סכום נכסי הקרן'!$C$42</f>
        <v>1.4756755862578591E-4</v>
      </c>
    </row>
    <row r="128" spans="2:17" s="132" customFormat="1">
      <c r="B128" s="87" t="s">
        <v>3078</v>
      </c>
      <c r="C128" s="97" t="s">
        <v>2830</v>
      </c>
      <c r="D128" s="84">
        <v>90840012</v>
      </c>
      <c r="E128" s="84"/>
      <c r="F128" s="84" t="s">
        <v>640</v>
      </c>
      <c r="G128" s="107">
        <v>43469</v>
      </c>
      <c r="H128" s="84" t="s">
        <v>168</v>
      </c>
      <c r="I128" s="94">
        <v>10.329999999999998</v>
      </c>
      <c r="J128" s="97" t="s">
        <v>170</v>
      </c>
      <c r="K128" s="98">
        <v>4.1700000000000001E-2</v>
      </c>
      <c r="L128" s="98">
        <v>1.7599999999999994E-2</v>
      </c>
      <c r="M128" s="94">
        <v>5238057</v>
      </c>
      <c r="N128" s="96">
        <v>124.66</v>
      </c>
      <c r="O128" s="94">
        <v>6529.7621500000005</v>
      </c>
      <c r="P128" s="95">
        <f t="shared" si="3"/>
        <v>1.3215015876558726E-3</v>
      </c>
      <c r="Q128" s="95">
        <f>O128/'סכום נכסי הקרן'!$C$42</f>
        <v>1.1237660404647661E-4</v>
      </c>
    </row>
    <row r="129" spans="2:17" s="132" customFormat="1">
      <c r="B129" s="87" t="s">
        <v>3078</v>
      </c>
      <c r="C129" s="97" t="s">
        <v>2830</v>
      </c>
      <c r="D129" s="84">
        <v>90840013</v>
      </c>
      <c r="E129" s="84"/>
      <c r="F129" s="84" t="s">
        <v>640</v>
      </c>
      <c r="G129" s="107">
        <v>43559</v>
      </c>
      <c r="H129" s="84" t="s">
        <v>168</v>
      </c>
      <c r="I129" s="94">
        <v>10.33</v>
      </c>
      <c r="J129" s="97" t="s">
        <v>170</v>
      </c>
      <c r="K129" s="98">
        <v>3.7200000000000004E-2</v>
      </c>
      <c r="L129" s="98">
        <v>2.1000000000000001E-2</v>
      </c>
      <c r="M129" s="94">
        <v>12549181.57</v>
      </c>
      <c r="N129" s="96">
        <v>115.72</v>
      </c>
      <c r="O129" s="94">
        <v>14521.912849999999</v>
      </c>
      <c r="P129" s="95">
        <f t="shared" si="3"/>
        <v>2.9389632342236563E-3</v>
      </c>
      <c r="Q129" s="95">
        <f>O129/'סכום נכסי הקרן'!$C$42</f>
        <v>2.4992078009179714E-4</v>
      </c>
    </row>
    <row r="130" spans="2:17" s="132" customFormat="1">
      <c r="B130" s="87" t="s">
        <v>3078</v>
      </c>
      <c r="C130" s="97" t="s">
        <v>2830</v>
      </c>
      <c r="D130" s="84">
        <v>90840014</v>
      </c>
      <c r="E130" s="84"/>
      <c r="F130" s="84" t="s">
        <v>640</v>
      </c>
      <c r="G130" s="107">
        <v>43742</v>
      </c>
      <c r="H130" s="84" t="s">
        <v>168</v>
      </c>
      <c r="I130" s="94">
        <v>10.18</v>
      </c>
      <c r="J130" s="97" t="s">
        <v>170</v>
      </c>
      <c r="K130" s="98">
        <v>3.1E-2</v>
      </c>
      <c r="L130" s="98">
        <v>2.9500000000000002E-2</v>
      </c>
      <c r="M130" s="94">
        <v>14790656.6</v>
      </c>
      <c r="N130" s="96">
        <v>101.91</v>
      </c>
      <c r="O130" s="94">
        <v>15073.158449999999</v>
      </c>
      <c r="P130" s="95">
        <f t="shared" si="3"/>
        <v>3.0505250214456175E-3</v>
      </c>
      <c r="Q130" s="95">
        <f>O130/'סכום נכסי הקרן'!$C$42</f>
        <v>2.5940766599981792E-4</v>
      </c>
    </row>
    <row r="131" spans="2:17" s="132" customFormat="1">
      <c r="B131" s="87" t="s">
        <v>3078</v>
      </c>
      <c r="C131" s="97" t="s">
        <v>2830</v>
      </c>
      <c r="D131" s="84">
        <v>90840000</v>
      </c>
      <c r="E131" s="84"/>
      <c r="F131" s="84" t="s">
        <v>640</v>
      </c>
      <c r="G131" s="107">
        <v>42935</v>
      </c>
      <c r="H131" s="84" t="s">
        <v>168</v>
      </c>
      <c r="I131" s="94">
        <v>10.270000000000001</v>
      </c>
      <c r="J131" s="97" t="s">
        <v>170</v>
      </c>
      <c r="K131" s="98">
        <v>4.0800000000000003E-2</v>
      </c>
      <c r="L131" s="98">
        <v>2.07E-2</v>
      </c>
      <c r="M131" s="94">
        <v>11378750.27</v>
      </c>
      <c r="N131" s="96">
        <v>121.52</v>
      </c>
      <c r="O131" s="94">
        <v>13827.457490000001</v>
      </c>
      <c r="P131" s="95">
        <f t="shared" si="3"/>
        <v>2.7984184732179084E-3</v>
      </c>
      <c r="Q131" s="95">
        <f>O131/'סכום נכסי הקרן'!$C$42</f>
        <v>2.3796926742932243E-4</v>
      </c>
    </row>
    <row r="132" spans="2:17" s="132" customFormat="1">
      <c r="B132" s="87" t="s">
        <v>3066</v>
      </c>
      <c r="C132" s="97" t="s">
        <v>2825</v>
      </c>
      <c r="D132" s="84">
        <v>14760844</v>
      </c>
      <c r="E132" s="84"/>
      <c r="F132" s="84" t="s">
        <v>2832</v>
      </c>
      <c r="G132" s="107">
        <v>40742</v>
      </c>
      <c r="H132" s="84" t="s">
        <v>2781</v>
      </c>
      <c r="I132" s="94">
        <v>7.6700000000000017</v>
      </c>
      <c r="J132" s="97" t="s">
        <v>170</v>
      </c>
      <c r="K132" s="98">
        <v>0.06</v>
      </c>
      <c r="L132" s="98">
        <v>1.1000000000000001E-3</v>
      </c>
      <c r="M132" s="94">
        <v>32932681.82</v>
      </c>
      <c r="N132" s="96">
        <v>161.47999999999999</v>
      </c>
      <c r="O132" s="94">
        <v>53179.693679999997</v>
      </c>
      <c r="P132" s="95">
        <f t="shared" si="3"/>
        <v>1.0762574197158616E-2</v>
      </c>
      <c r="Q132" s="95">
        <f>O132/'סכום נכסי הקרן'!$C$42</f>
        <v>9.1521762090373757E-4</v>
      </c>
    </row>
    <row r="133" spans="2:17" s="132" customFormat="1">
      <c r="B133" s="87" t="s">
        <v>3080</v>
      </c>
      <c r="C133" s="97" t="s">
        <v>2830</v>
      </c>
      <c r="D133" s="84">
        <v>90136004</v>
      </c>
      <c r="E133" s="84"/>
      <c r="F133" s="84" t="s">
        <v>2832</v>
      </c>
      <c r="G133" s="107">
        <v>42680</v>
      </c>
      <c r="H133" s="84" t="s">
        <v>2781</v>
      </c>
      <c r="I133" s="94">
        <v>3.5399999999999996</v>
      </c>
      <c r="J133" s="97" t="s">
        <v>170</v>
      </c>
      <c r="K133" s="98">
        <v>2.3E-2</v>
      </c>
      <c r="L133" s="98">
        <v>1.3499999999999998E-2</v>
      </c>
      <c r="M133" s="94">
        <v>4561244.3899999997</v>
      </c>
      <c r="N133" s="96">
        <v>105.81</v>
      </c>
      <c r="O133" s="94">
        <v>4826.2528200000006</v>
      </c>
      <c r="P133" s="95">
        <f t="shared" si="3"/>
        <v>9.7674319792163239E-4</v>
      </c>
      <c r="Q133" s="95">
        <f>O133/'סכום נכסי הקרן'!$C$42</f>
        <v>8.3059365674036263E-5</v>
      </c>
    </row>
    <row r="134" spans="2:17" s="132" customFormat="1">
      <c r="B134" s="87" t="s">
        <v>3082</v>
      </c>
      <c r="C134" s="97" t="s">
        <v>2830</v>
      </c>
      <c r="D134" s="84">
        <v>90143221</v>
      </c>
      <c r="E134" s="84"/>
      <c r="F134" s="84" t="s">
        <v>644</v>
      </c>
      <c r="G134" s="107">
        <v>42516</v>
      </c>
      <c r="H134" s="84" t="s">
        <v>361</v>
      </c>
      <c r="I134" s="94">
        <v>5.1700000000000008</v>
      </c>
      <c r="J134" s="97" t="s">
        <v>170</v>
      </c>
      <c r="K134" s="98">
        <v>2.3269999999999999E-2</v>
      </c>
      <c r="L134" s="98">
        <v>1.46E-2</v>
      </c>
      <c r="M134" s="94">
        <v>32164502.100000001</v>
      </c>
      <c r="N134" s="96">
        <v>106.86</v>
      </c>
      <c r="O134" s="94">
        <v>34370.98818</v>
      </c>
      <c r="P134" s="95">
        <f t="shared" si="3"/>
        <v>6.9560444018885483E-3</v>
      </c>
      <c r="Q134" s="95">
        <f>O134/'סכום נכסי הקרן'!$C$42</f>
        <v>5.9152153488316382E-4</v>
      </c>
    </row>
    <row r="135" spans="2:17" s="132" customFormat="1">
      <c r="B135" s="87" t="s">
        <v>3080</v>
      </c>
      <c r="C135" s="97" t="s">
        <v>2830</v>
      </c>
      <c r="D135" s="84">
        <v>90136001</v>
      </c>
      <c r="E135" s="84"/>
      <c r="F135" s="84" t="s">
        <v>2832</v>
      </c>
      <c r="G135" s="107">
        <v>42680</v>
      </c>
      <c r="H135" s="84" t="s">
        <v>2781</v>
      </c>
      <c r="I135" s="94">
        <v>2.35</v>
      </c>
      <c r="J135" s="97" t="s">
        <v>170</v>
      </c>
      <c r="K135" s="98">
        <v>2.35E-2</v>
      </c>
      <c r="L135" s="98">
        <v>1.9699999999999999E-2</v>
      </c>
      <c r="M135" s="94">
        <v>8967191.3499999996</v>
      </c>
      <c r="N135" s="96">
        <v>101.04</v>
      </c>
      <c r="O135" s="94">
        <v>9060.4503299999997</v>
      </c>
      <c r="P135" s="95">
        <f t="shared" si="3"/>
        <v>1.833665487489797E-3</v>
      </c>
      <c r="Q135" s="95">
        <f>O135/'סכום נכסי הקרן'!$C$42</f>
        <v>1.5592951409680033E-4</v>
      </c>
    </row>
    <row r="136" spans="2:17" s="132" customFormat="1">
      <c r="B136" s="87" t="s">
        <v>3080</v>
      </c>
      <c r="C136" s="97" t="s">
        <v>2830</v>
      </c>
      <c r="D136" s="84">
        <v>90136005</v>
      </c>
      <c r="E136" s="84"/>
      <c r="F136" s="84" t="s">
        <v>2832</v>
      </c>
      <c r="G136" s="107">
        <v>42680</v>
      </c>
      <c r="H136" s="84" t="s">
        <v>2781</v>
      </c>
      <c r="I136" s="94">
        <v>3.49</v>
      </c>
      <c r="J136" s="97" t="s">
        <v>170</v>
      </c>
      <c r="K136" s="98">
        <v>3.3700000000000001E-2</v>
      </c>
      <c r="L136" s="98">
        <v>2.5899999999999999E-2</v>
      </c>
      <c r="M136" s="94">
        <v>2330308.0499999998</v>
      </c>
      <c r="N136" s="96">
        <v>103</v>
      </c>
      <c r="O136" s="94">
        <v>2400.2172700000001</v>
      </c>
      <c r="P136" s="95">
        <f t="shared" si="3"/>
        <v>4.85759030751839E-4</v>
      </c>
      <c r="Q136" s="95">
        <f>O136/'סכום נכסי הקרן'!$C$42</f>
        <v>4.130751772885097E-5</v>
      </c>
    </row>
    <row r="137" spans="2:17" s="132" customFormat="1">
      <c r="B137" s="87" t="s">
        <v>3080</v>
      </c>
      <c r="C137" s="97" t="s">
        <v>2830</v>
      </c>
      <c r="D137" s="84">
        <v>90136035</v>
      </c>
      <c r="E137" s="84"/>
      <c r="F137" s="84" t="s">
        <v>2832</v>
      </c>
      <c r="G137" s="107">
        <v>42717</v>
      </c>
      <c r="H137" s="84" t="s">
        <v>2781</v>
      </c>
      <c r="I137" s="94">
        <v>3.2399999999999998</v>
      </c>
      <c r="J137" s="97" t="s">
        <v>170</v>
      </c>
      <c r="K137" s="98">
        <v>3.85E-2</v>
      </c>
      <c r="L137" s="98">
        <v>3.1300000000000001E-2</v>
      </c>
      <c r="M137" s="94">
        <v>605728.41</v>
      </c>
      <c r="N137" s="96">
        <v>102.63</v>
      </c>
      <c r="O137" s="94">
        <v>621.65903000000003</v>
      </c>
      <c r="P137" s="95">
        <f t="shared" si="3"/>
        <v>1.2581214694406745E-4</v>
      </c>
      <c r="Q137" s="95">
        <f>O137/'סכום נכסי הקרן'!$C$42</f>
        <v>1.0698694540692684E-5</v>
      </c>
    </row>
    <row r="138" spans="2:17" s="132" customFormat="1">
      <c r="B138" s="87" t="s">
        <v>3080</v>
      </c>
      <c r="C138" s="97" t="s">
        <v>2830</v>
      </c>
      <c r="D138" s="84">
        <v>90136025</v>
      </c>
      <c r="E138" s="84"/>
      <c r="F138" s="84" t="s">
        <v>2832</v>
      </c>
      <c r="G138" s="107">
        <v>42710</v>
      </c>
      <c r="H138" s="84" t="s">
        <v>2781</v>
      </c>
      <c r="I138" s="94">
        <v>3.24</v>
      </c>
      <c r="J138" s="97" t="s">
        <v>170</v>
      </c>
      <c r="K138" s="98">
        <v>3.8399999999999997E-2</v>
      </c>
      <c r="L138" s="98">
        <v>3.1200000000000006E-2</v>
      </c>
      <c r="M138" s="94">
        <v>1810960.39</v>
      </c>
      <c r="N138" s="96">
        <v>102.63</v>
      </c>
      <c r="O138" s="94">
        <v>1858.5886399999999</v>
      </c>
      <c r="P138" s="95">
        <f t="shared" si="3"/>
        <v>3.7614353817759944E-4</v>
      </c>
      <c r="Q138" s="95">
        <f>O138/'סכום נכסי הקרן'!$C$42</f>
        <v>3.1986138987093036E-5</v>
      </c>
    </row>
    <row r="139" spans="2:17" s="132" customFormat="1">
      <c r="B139" s="87" t="s">
        <v>3080</v>
      </c>
      <c r="C139" s="97" t="s">
        <v>2830</v>
      </c>
      <c r="D139" s="84">
        <v>90136003</v>
      </c>
      <c r="E139" s="84"/>
      <c r="F139" s="84" t="s">
        <v>2832</v>
      </c>
      <c r="G139" s="107">
        <v>42680</v>
      </c>
      <c r="H139" s="84" t="s">
        <v>2781</v>
      </c>
      <c r="I139" s="94">
        <v>4.45</v>
      </c>
      <c r="J139" s="97" t="s">
        <v>170</v>
      </c>
      <c r="K139" s="98">
        <v>3.6699999999999997E-2</v>
      </c>
      <c r="L139" s="98">
        <v>2.6300000000000004E-2</v>
      </c>
      <c r="M139" s="94">
        <v>7937520.2300000004</v>
      </c>
      <c r="N139" s="96">
        <v>104.97</v>
      </c>
      <c r="O139" s="94">
        <v>8332.0151000000005</v>
      </c>
      <c r="P139" s="95">
        <f t="shared" si="3"/>
        <v>1.6862438370780022E-3</v>
      </c>
      <c r="Q139" s="95">
        <f>O139/'סכום נכסי הקרן'!$C$42</f>
        <v>1.4339321100722852E-4</v>
      </c>
    </row>
    <row r="140" spans="2:17" s="132" customFormat="1">
      <c r="B140" s="87" t="s">
        <v>3080</v>
      </c>
      <c r="C140" s="97" t="s">
        <v>2830</v>
      </c>
      <c r="D140" s="84">
        <v>90136002</v>
      </c>
      <c r="E140" s="84"/>
      <c r="F140" s="84" t="s">
        <v>2832</v>
      </c>
      <c r="G140" s="107">
        <v>42680</v>
      </c>
      <c r="H140" s="84" t="s">
        <v>2781</v>
      </c>
      <c r="I140" s="94">
        <v>2.34</v>
      </c>
      <c r="J140" s="97" t="s">
        <v>170</v>
      </c>
      <c r="K140" s="98">
        <v>3.1800000000000002E-2</v>
      </c>
      <c r="L140" s="98">
        <v>2.53E-2</v>
      </c>
      <c r="M140" s="94">
        <v>9149477.9800000004</v>
      </c>
      <c r="N140" s="96">
        <v>101.72</v>
      </c>
      <c r="O140" s="94">
        <v>9306.8489600000012</v>
      </c>
      <c r="P140" s="95">
        <f t="shared" si="3"/>
        <v>1.8835319563230046E-3</v>
      </c>
      <c r="Q140" s="95">
        <f>O140/'סכום נכסי הקרן'!$C$42</f>
        <v>1.6017001178186602E-4</v>
      </c>
    </row>
    <row r="141" spans="2:17" s="132" customFormat="1">
      <c r="B141" s="87" t="s">
        <v>3084</v>
      </c>
      <c r="C141" s="97" t="s">
        <v>2825</v>
      </c>
      <c r="D141" s="84">
        <v>470540</v>
      </c>
      <c r="E141" s="84"/>
      <c r="F141" s="84" t="s">
        <v>2832</v>
      </c>
      <c r="G141" s="107">
        <v>42884</v>
      </c>
      <c r="H141" s="84" t="s">
        <v>2781</v>
      </c>
      <c r="I141" s="94">
        <v>0.78</v>
      </c>
      <c r="J141" s="97" t="s">
        <v>170</v>
      </c>
      <c r="K141" s="98">
        <v>2.2099999999999998E-2</v>
      </c>
      <c r="L141" s="98">
        <v>1.4800000000000001E-2</v>
      </c>
      <c r="M141" s="94">
        <v>5194857.5599999996</v>
      </c>
      <c r="N141" s="96">
        <v>100.77</v>
      </c>
      <c r="O141" s="94">
        <v>5234.8578699999998</v>
      </c>
      <c r="P141" s="95">
        <f t="shared" si="3"/>
        <v>1.0594372088051996E-3</v>
      </c>
      <c r="Q141" s="95">
        <f>O141/'סכום נכסי הקרן'!$C$42</f>
        <v>9.0091420879177337E-5</v>
      </c>
    </row>
    <row r="142" spans="2:17" s="132" customFormat="1">
      <c r="B142" s="87" t="s">
        <v>3084</v>
      </c>
      <c r="C142" s="97" t="s">
        <v>2825</v>
      </c>
      <c r="D142" s="84">
        <v>484097</v>
      </c>
      <c r="E142" s="84"/>
      <c r="F142" s="84" t="s">
        <v>2832</v>
      </c>
      <c r="G142" s="107">
        <v>43006</v>
      </c>
      <c r="H142" s="84" t="s">
        <v>2781</v>
      </c>
      <c r="I142" s="94">
        <v>0.99</v>
      </c>
      <c r="J142" s="97" t="s">
        <v>170</v>
      </c>
      <c r="K142" s="98">
        <v>2.0799999999999999E-2</v>
      </c>
      <c r="L142" s="98">
        <v>1.6299999999999999E-2</v>
      </c>
      <c r="M142" s="94">
        <v>6060667.1600000001</v>
      </c>
      <c r="N142" s="96">
        <v>100.46</v>
      </c>
      <c r="O142" s="94">
        <v>6088.5459800000008</v>
      </c>
      <c r="P142" s="95">
        <f t="shared" si="3"/>
        <v>1.2322076967360568E-3</v>
      </c>
      <c r="Q142" s="95">
        <f>O142/'סכום נכסי הקרן'!$C$42</f>
        <v>1.0478331447543261E-4</v>
      </c>
    </row>
    <row r="143" spans="2:17" s="132" customFormat="1">
      <c r="B143" s="87" t="s">
        <v>3084</v>
      </c>
      <c r="C143" s="97" t="s">
        <v>2825</v>
      </c>
      <c r="D143" s="84">
        <v>523632</v>
      </c>
      <c r="E143" s="84"/>
      <c r="F143" s="84" t="s">
        <v>2832</v>
      </c>
      <c r="G143" s="107">
        <v>43321</v>
      </c>
      <c r="H143" s="84" t="s">
        <v>2781</v>
      </c>
      <c r="I143" s="94">
        <v>1.3399999999999999</v>
      </c>
      <c r="J143" s="97" t="s">
        <v>170</v>
      </c>
      <c r="K143" s="98">
        <v>2.3980000000000001E-2</v>
      </c>
      <c r="L143" s="98">
        <v>1.4499999999999997E-2</v>
      </c>
      <c r="M143" s="94">
        <v>9707228.8300000001</v>
      </c>
      <c r="N143" s="96">
        <v>101.62</v>
      </c>
      <c r="O143" s="94">
        <v>9864.4862200000007</v>
      </c>
      <c r="P143" s="95">
        <f t="shared" si="3"/>
        <v>1.99638729584346E-3</v>
      </c>
      <c r="Q143" s="95">
        <f>O143/'סכום נכסי הקרן'!$C$42</f>
        <v>1.6976689756867557E-4</v>
      </c>
    </row>
    <row r="144" spans="2:17" s="132" customFormat="1">
      <c r="B144" s="87" t="s">
        <v>3084</v>
      </c>
      <c r="C144" s="97" t="s">
        <v>2825</v>
      </c>
      <c r="D144" s="84">
        <v>524747</v>
      </c>
      <c r="E144" s="84"/>
      <c r="F144" s="84" t="s">
        <v>2832</v>
      </c>
      <c r="G144" s="107">
        <v>43343</v>
      </c>
      <c r="H144" s="84" t="s">
        <v>2781</v>
      </c>
      <c r="I144" s="94">
        <v>1.39</v>
      </c>
      <c r="J144" s="97" t="s">
        <v>170</v>
      </c>
      <c r="K144" s="98">
        <v>2.3789999999999999E-2</v>
      </c>
      <c r="L144" s="98">
        <v>1.5199999999999998E-2</v>
      </c>
      <c r="M144" s="94">
        <v>9707228.8300000001</v>
      </c>
      <c r="N144" s="96">
        <v>101.41</v>
      </c>
      <c r="O144" s="94">
        <v>9844.1009600000016</v>
      </c>
      <c r="P144" s="95">
        <f t="shared" si="3"/>
        <v>1.9922617009387857E-3</v>
      </c>
      <c r="Q144" s="95">
        <f>O144/'סכום נכסי הקרן'!$C$42</f>
        <v>1.6941606912519171E-4</v>
      </c>
    </row>
    <row r="145" spans="2:17" s="132" customFormat="1">
      <c r="B145" s="87" t="s">
        <v>3084</v>
      </c>
      <c r="C145" s="97" t="s">
        <v>2825</v>
      </c>
      <c r="D145" s="84">
        <v>465782</v>
      </c>
      <c r="E145" s="84"/>
      <c r="F145" s="84" t="s">
        <v>2832</v>
      </c>
      <c r="G145" s="107">
        <v>42828</v>
      </c>
      <c r="H145" s="84" t="s">
        <v>2781</v>
      </c>
      <c r="I145" s="94">
        <v>0.62999999999999989</v>
      </c>
      <c r="J145" s="97" t="s">
        <v>170</v>
      </c>
      <c r="K145" s="98">
        <v>2.2700000000000001E-2</v>
      </c>
      <c r="L145" s="98">
        <v>1.44E-2</v>
      </c>
      <c r="M145" s="94">
        <v>5194857.5599999996</v>
      </c>
      <c r="N145" s="96">
        <v>101.08</v>
      </c>
      <c r="O145" s="94">
        <v>5250.9618200000004</v>
      </c>
      <c r="P145" s="95">
        <f t="shared" si="3"/>
        <v>1.062696346734524E-3</v>
      </c>
      <c r="Q145" s="95">
        <f>O145/'סכום נכסי הקרן'!$C$42</f>
        <v>9.0368568372633029E-5</v>
      </c>
    </row>
    <row r="146" spans="2:17" s="132" customFormat="1">
      <c r="B146" s="87" t="s">
        <v>3084</v>
      </c>
      <c r="C146" s="97" t="s">
        <v>2825</v>
      </c>
      <c r="D146" s="84">
        <v>467404</v>
      </c>
      <c r="E146" s="84"/>
      <c r="F146" s="84" t="s">
        <v>2832</v>
      </c>
      <c r="G146" s="107">
        <v>42859</v>
      </c>
      <c r="H146" s="84" t="s">
        <v>2781</v>
      </c>
      <c r="I146" s="94">
        <v>0.71000000000000008</v>
      </c>
      <c r="J146" s="97" t="s">
        <v>170</v>
      </c>
      <c r="K146" s="98">
        <v>2.2799999999999997E-2</v>
      </c>
      <c r="L146" s="98">
        <v>1.4400000000000001E-2</v>
      </c>
      <c r="M146" s="94">
        <v>5194857.5599999996</v>
      </c>
      <c r="N146" s="96">
        <v>100.96</v>
      </c>
      <c r="O146" s="94">
        <v>5244.7282599999999</v>
      </c>
      <c r="P146" s="95">
        <f t="shared" si="3"/>
        <v>1.0614347909155652E-3</v>
      </c>
      <c r="Q146" s="95">
        <f>O146/'סכום נכסי הקרן'!$C$42</f>
        <v>9.0261289380255024E-5</v>
      </c>
    </row>
    <row r="147" spans="2:17" s="132" customFormat="1">
      <c r="B147" s="87" t="s">
        <v>3084</v>
      </c>
      <c r="C147" s="97" t="s">
        <v>2825</v>
      </c>
      <c r="D147" s="84">
        <v>545876</v>
      </c>
      <c r="E147" s="84"/>
      <c r="F147" s="84" t="s">
        <v>2832</v>
      </c>
      <c r="G147" s="107">
        <v>43614</v>
      </c>
      <c r="H147" s="84" t="s">
        <v>2781</v>
      </c>
      <c r="I147" s="94">
        <v>1.7500000000000002</v>
      </c>
      <c r="J147" s="97" t="s">
        <v>170</v>
      </c>
      <c r="K147" s="98">
        <v>2.427E-2</v>
      </c>
      <c r="L147" s="98">
        <v>1.66E-2</v>
      </c>
      <c r="M147" s="94">
        <v>12354654.859999999</v>
      </c>
      <c r="N147" s="96">
        <v>101.57</v>
      </c>
      <c r="O147" s="94">
        <v>12548.622619999998</v>
      </c>
      <c r="P147" s="95">
        <f t="shared" si="3"/>
        <v>2.5396062420473299E-3</v>
      </c>
      <c r="Q147" s="95">
        <f>O147/'סכום נכסי הקרן'!$C$42</f>
        <v>2.1596063732526609E-4</v>
      </c>
    </row>
    <row r="148" spans="2:17" s="132" customFormat="1">
      <c r="B148" s="87" t="s">
        <v>3076</v>
      </c>
      <c r="C148" s="97" t="s">
        <v>2825</v>
      </c>
      <c r="D148" s="84">
        <v>9922</v>
      </c>
      <c r="E148" s="84"/>
      <c r="F148" s="84" t="s">
        <v>640</v>
      </c>
      <c r="G148" s="107">
        <v>40489</v>
      </c>
      <c r="H148" s="84" t="s">
        <v>168</v>
      </c>
      <c r="I148" s="94">
        <v>3.63</v>
      </c>
      <c r="J148" s="97" t="s">
        <v>170</v>
      </c>
      <c r="K148" s="98">
        <v>5.7000000000000002E-2</v>
      </c>
      <c r="L148" s="98">
        <v>8.0000000000000004E-4</v>
      </c>
      <c r="M148" s="94">
        <v>7649569.2199999997</v>
      </c>
      <c r="N148" s="96">
        <v>130.07</v>
      </c>
      <c r="O148" s="94">
        <v>9949.7947399999994</v>
      </c>
      <c r="P148" s="95">
        <f t="shared" si="3"/>
        <v>2.0136521428671104E-3</v>
      </c>
      <c r="Q148" s="95">
        <f>O148/'סכום נכסי הקרן'!$C$42</f>
        <v>1.7123504932575463E-4</v>
      </c>
    </row>
    <row r="149" spans="2:17" s="132" customFormat="1">
      <c r="B149" s="87" t="s">
        <v>3087</v>
      </c>
      <c r="C149" s="97" t="s">
        <v>2830</v>
      </c>
      <c r="D149" s="84">
        <v>91102700</v>
      </c>
      <c r="E149" s="84"/>
      <c r="F149" s="84" t="s">
        <v>2833</v>
      </c>
      <c r="G149" s="107">
        <v>43093</v>
      </c>
      <c r="H149" s="84" t="s">
        <v>2781</v>
      </c>
      <c r="I149" s="94">
        <v>3.98</v>
      </c>
      <c r="J149" s="97" t="s">
        <v>170</v>
      </c>
      <c r="K149" s="98">
        <v>2.6089999999999999E-2</v>
      </c>
      <c r="L149" s="98">
        <v>1.9699999999999999E-2</v>
      </c>
      <c r="M149" s="94">
        <v>12888010.800000001</v>
      </c>
      <c r="N149" s="96">
        <v>104.1</v>
      </c>
      <c r="O149" s="94">
        <v>13416.419</v>
      </c>
      <c r="P149" s="95">
        <f t="shared" si="3"/>
        <v>2.7152319796451413E-3</v>
      </c>
      <c r="Q149" s="95">
        <f>O149/'סכום נכסי הקרן'!$C$42</f>
        <v>2.3089533294633489E-4</v>
      </c>
    </row>
    <row r="150" spans="2:17" s="132" customFormat="1">
      <c r="B150" s="87" t="s">
        <v>3087</v>
      </c>
      <c r="C150" s="97" t="s">
        <v>2830</v>
      </c>
      <c r="D150" s="84">
        <v>91102701</v>
      </c>
      <c r="E150" s="84"/>
      <c r="F150" s="84" t="s">
        <v>2833</v>
      </c>
      <c r="G150" s="107">
        <v>43374</v>
      </c>
      <c r="H150" s="84" t="s">
        <v>2781</v>
      </c>
      <c r="I150" s="94">
        <v>3.9799999999999995</v>
      </c>
      <c r="J150" s="97" t="s">
        <v>170</v>
      </c>
      <c r="K150" s="98">
        <v>2.6849999999999999E-2</v>
      </c>
      <c r="L150" s="98">
        <v>1.9099999999999995E-2</v>
      </c>
      <c r="M150" s="94">
        <v>18043215.120000001</v>
      </c>
      <c r="N150" s="96">
        <v>103.51</v>
      </c>
      <c r="O150" s="94">
        <v>18676.5321</v>
      </c>
      <c r="P150" s="95">
        <f t="shared" si="3"/>
        <v>3.7797803740915537E-3</v>
      </c>
      <c r="Q150" s="95">
        <f>O150/'סכום נכסי הקרן'!$C$42</f>
        <v>3.2142139400330384E-4</v>
      </c>
    </row>
    <row r="151" spans="2:17" s="132" customFormat="1">
      <c r="B151" s="87" t="s">
        <v>3085</v>
      </c>
      <c r="C151" s="97" t="s">
        <v>2830</v>
      </c>
      <c r="D151" s="84">
        <v>84666730</v>
      </c>
      <c r="E151" s="84"/>
      <c r="F151" s="84" t="s">
        <v>669</v>
      </c>
      <c r="G151" s="107">
        <v>43552</v>
      </c>
      <c r="H151" s="84" t="s">
        <v>168</v>
      </c>
      <c r="I151" s="94">
        <v>6.6199999999999992</v>
      </c>
      <c r="J151" s="97" t="s">
        <v>170</v>
      </c>
      <c r="K151" s="98">
        <v>3.5499999999999997E-2</v>
      </c>
      <c r="L151" s="98">
        <v>3.0199999999999994E-2</v>
      </c>
      <c r="M151" s="94">
        <v>22205867.690000001</v>
      </c>
      <c r="N151" s="96">
        <v>103.76</v>
      </c>
      <c r="O151" s="94">
        <v>23040.80832</v>
      </c>
      <c r="P151" s="95">
        <f t="shared" si="3"/>
        <v>4.6630281588058518E-3</v>
      </c>
      <c r="Q151" s="95">
        <f>O151/'סכום נכסי הקרן'!$C$42</f>
        <v>3.9653018502173223E-4</v>
      </c>
    </row>
    <row r="152" spans="2:17" s="132" customFormat="1">
      <c r="B152" s="87" t="s">
        <v>3088</v>
      </c>
      <c r="C152" s="97" t="s">
        <v>2830</v>
      </c>
      <c r="D152" s="84">
        <v>91040003</v>
      </c>
      <c r="E152" s="84"/>
      <c r="F152" s="84" t="s">
        <v>677</v>
      </c>
      <c r="G152" s="107">
        <v>43301</v>
      </c>
      <c r="H152" s="84" t="s">
        <v>361</v>
      </c>
      <c r="I152" s="94">
        <v>1.1200000000000001</v>
      </c>
      <c r="J152" s="97" t="s">
        <v>169</v>
      </c>
      <c r="K152" s="98">
        <v>6.3230000000000008E-2</v>
      </c>
      <c r="L152" s="98">
        <v>6.4500000000000002E-2</v>
      </c>
      <c r="M152" s="94">
        <v>17190820.039999999</v>
      </c>
      <c r="N152" s="96">
        <v>101.18</v>
      </c>
      <c r="O152" s="94">
        <v>60112.530770000005</v>
      </c>
      <c r="P152" s="95">
        <f t="shared" si="3"/>
        <v>1.2165650604986814E-2</v>
      </c>
      <c r="Q152" s="95">
        <f>O152/'סכום נכסי הקרן'!$C$42</f>
        <v>1.0345311074725643E-3</v>
      </c>
    </row>
    <row r="153" spans="2:17" s="132" customFormat="1">
      <c r="B153" s="87" t="s">
        <v>3088</v>
      </c>
      <c r="C153" s="97" t="s">
        <v>2830</v>
      </c>
      <c r="D153" s="84">
        <v>91040006</v>
      </c>
      <c r="E153" s="84"/>
      <c r="F153" s="84" t="s">
        <v>677</v>
      </c>
      <c r="G153" s="107">
        <v>43496</v>
      </c>
      <c r="H153" s="84" t="s">
        <v>361</v>
      </c>
      <c r="I153" s="94">
        <v>1.0999999999999999</v>
      </c>
      <c r="J153" s="97" t="s">
        <v>169</v>
      </c>
      <c r="K153" s="98">
        <v>6.1839999999999999E-2</v>
      </c>
      <c r="L153" s="98">
        <v>6.4499999999999988E-2</v>
      </c>
      <c r="M153" s="94">
        <v>7614058.5999999996</v>
      </c>
      <c r="N153" s="96">
        <v>101.18</v>
      </c>
      <c r="O153" s="94">
        <v>26624.69512</v>
      </c>
      <c r="P153" s="95">
        <f t="shared" si="3"/>
        <v>5.3883397379081511E-3</v>
      </c>
      <c r="Q153" s="95">
        <f>O153/'סכום נכסי הקרן'!$C$42</f>
        <v>4.5820854613493051E-4</v>
      </c>
    </row>
    <row r="154" spans="2:17" s="132" customFormat="1">
      <c r="B154" s="87" t="s">
        <v>3088</v>
      </c>
      <c r="C154" s="97" t="s">
        <v>2830</v>
      </c>
      <c r="D154" s="84">
        <v>91040009</v>
      </c>
      <c r="E154" s="84"/>
      <c r="F154" s="84" t="s">
        <v>677</v>
      </c>
      <c r="G154" s="107">
        <v>43738</v>
      </c>
      <c r="H154" s="84" t="s">
        <v>361</v>
      </c>
      <c r="I154" s="94">
        <v>1.0999999999999999</v>
      </c>
      <c r="J154" s="97" t="s">
        <v>169</v>
      </c>
      <c r="K154" s="98">
        <v>6.1839999999999999E-2</v>
      </c>
      <c r="L154" s="98">
        <v>6.4500000000000002E-2</v>
      </c>
      <c r="M154" s="94">
        <v>1747429.94</v>
      </c>
      <c r="N154" s="96">
        <v>101.18</v>
      </c>
      <c r="O154" s="94">
        <v>6110.3797599999998</v>
      </c>
      <c r="P154" s="95">
        <f t="shared" si="3"/>
        <v>1.2366264449648154E-3</v>
      </c>
      <c r="Q154" s="95">
        <f>O154/'סכום נכסי הקרן'!$C$42</f>
        <v>1.0515907181444958E-4</v>
      </c>
    </row>
    <row r="155" spans="2:17" s="132" customFormat="1">
      <c r="B155" s="87" t="s">
        <v>3088</v>
      </c>
      <c r="C155" s="97" t="s">
        <v>2830</v>
      </c>
      <c r="D155" s="84">
        <v>6615</v>
      </c>
      <c r="E155" s="84"/>
      <c r="F155" s="84" t="s">
        <v>677</v>
      </c>
      <c r="G155" s="107">
        <v>43496</v>
      </c>
      <c r="H155" s="84" t="s">
        <v>361</v>
      </c>
      <c r="I155" s="94">
        <v>1.1000000000000001</v>
      </c>
      <c r="J155" s="97" t="s">
        <v>169</v>
      </c>
      <c r="K155" s="98">
        <v>6.1839999999999999E-2</v>
      </c>
      <c r="L155" s="98">
        <v>6.4500000000000002E-2</v>
      </c>
      <c r="M155" s="94">
        <v>1224420.69</v>
      </c>
      <c r="N155" s="96">
        <v>101.18</v>
      </c>
      <c r="O155" s="94">
        <v>4281.5309600000001</v>
      </c>
      <c r="P155" s="95">
        <f t="shared" si="3"/>
        <v>8.6650169351693343E-4</v>
      </c>
      <c r="Q155" s="95">
        <f>O155/'סכום נכסי הקרן'!$C$42</f>
        <v>7.3684752729416173E-5</v>
      </c>
    </row>
    <row r="156" spans="2:17" s="132" customFormat="1">
      <c r="B156" s="87" t="s">
        <v>3088</v>
      </c>
      <c r="C156" s="97" t="s">
        <v>2830</v>
      </c>
      <c r="D156" s="84">
        <v>66679</v>
      </c>
      <c r="E156" s="84"/>
      <c r="F156" s="84" t="s">
        <v>677</v>
      </c>
      <c r="G156" s="107">
        <v>43496</v>
      </c>
      <c r="H156" s="84" t="s">
        <v>361</v>
      </c>
      <c r="I156" s="94">
        <v>1.1000000000000001</v>
      </c>
      <c r="J156" s="97" t="s">
        <v>169</v>
      </c>
      <c r="K156" s="98">
        <v>6.1839999999999999E-2</v>
      </c>
      <c r="L156" s="98">
        <v>6.4499999999999988E-2</v>
      </c>
      <c r="M156" s="94">
        <v>1057919.3799999999</v>
      </c>
      <c r="N156" s="96">
        <v>101.18</v>
      </c>
      <c r="O156" s="94">
        <v>3699.3123300000002</v>
      </c>
      <c r="P156" s="95">
        <f t="shared" si="3"/>
        <v>7.4867154500106036E-4</v>
      </c>
      <c r="Q156" s="95">
        <f>O156/'סכום נכסי הקרן'!$C$42</f>
        <v>6.3664823833232392E-5</v>
      </c>
    </row>
    <row r="157" spans="2:17" s="132" customFormat="1">
      <c r="B157" s="87" t="s">
        <v>3088</v>
      </c>
      <c r="C157" s="97" t="s">
        <v>2830</v>
      </c>
      <c r="D157" s="84">
        <v>6719</v>
      </c>
      <c r="E157" s="84"/>
      <c r="F157" s="84" t="s">
        <v>677</v>
      </c>
      <c r="G157" s="107">
        <v>43487</v>
      </c>
      <c r="H157" s="84" t="s">
        <v>361</v>
      </c>
      <c r="I157" s="94">
        <v>1.0999999999999999</v>
      </c>
      <c r="J157" s="97" t="s">
        <v>169</v>
      </c>
      <c r="K157" s="98">
        <v>6.1839999999999999E-2</v>
      </c>
      <c r="L157" s="98">
        <v>6.4500000000000002E-2</v>
      </c>
      <c r="M157" s="94">
        <v>490145.26</v>
      </c>
      <c r="N157" s="96">
        <v>101.18</v>
      </c>
      <c r="O157" s="94">
        <v>1713.9306200000001</v>
      </c>
      <c r="P157" s="95">
        <f t="shared" si="3"/>
        <v>3.468674636888595E-4</v>
      </c>
      <c r="Q157" s="95">
        <f>O157/'סכום נכסי הקרן'!$C$42</f>
        <v>2.9496587811681959E-5</v>
      </c>
    </row>
    <row r="158" spans="2:17" s="132" customFormat="1">
      <c r="B158" s="87" t="s">
        <v>3088</v>
      </c>
      <c r="C158" s="97" t="s">
        <v>2830</v>
      </c>
      <c r="D158" s="84">
        <v>6735</v>
      </c>
      <c r="E158" s="84"/>
      <c r="F158" s="84" t="s">
        <v>677</v>
      </c>
      <c r="G158" s="107">
        <v>43493</v>
      </c>
      <c r="H158" s="84" t="s">
        <v>361</v>
      </c>
      <c r="I158" s="94">
        <v>1.1000000000000001</v>
      </c>
      <c r="J158" s="97" t="s">
        <v>169</v>
      </c>
      <c r="K158" s="98">
        <v>6.1839999999999999E-2</v>
      </c>
      <c r="L158" s="98">
        <v>6.4499999999999988E-2</v>
      </c>
      <c r="M158" s="94">
        <v>1207572.72</v>
      </c>
      <c r="N158" s="96">
        <v>101.18</v>
      </c>
      <c r="O158" s="94">
        <v>4222.6172800000004</v>
      </c>
      <c r="P158" s="95">
        <f t="shared" si="3"/>
        <v>8.5457866785900046E-4</v>
      </c>
      <c r="Q158" s="95">
        <f>O158/'סכום נכסי הקרן'!$C$42</f>
        <v>7.2670853733067457E-5</v>
      </c>
    </row>
    <row r="159" spans="2:17" s="132" customFormat="1">
      <c r="B159" s="87" t="s">
        <v>3088</v>
      </c>
      <c r="C159" s="97" t="s">
        <v>2830</v>
      </c>
      <c r="D159" s="84">
        <v>6956</v>
      </c>
      <c r="E159" s="84"/>
      <c r="F159" s="84" t="s">
        <v>677</v>
      </c>
      <c r="G159" s="107">
        <v>43628</v>
      </c>
      <c r="H159" s="84" t="s">
        <v>361</v>
      </c>
      <c r="I159" s="94">
        <v>1.1199999999999999</v>
      </c>
      <c r="J159" s="97" t="s">
        <v>169</v>
      </c>
      <c r="K159" s="98">
        <v>6.4340000000000008E-2</v>
      </c>
      <c r="L159" s="98">
        <v>6.6000000000000003E-2</v>
      </c>
      <c r="M159" s="94">
        <v>2085040.46</v>
      </c>
      <c r="N159" s="96">
        <v>101.18</v>
      </c>
      <c r="O159" s="94">
        <v>7290.92911</v>
      </c>
      <c r="P159" s="95">
        <f t="shared" si="3"/>
        <v>1.4755475273094624E-3</v>
      </c>
      <c r="Q159" s="95">
        <f>O159/'סכום נכסי הקרן'!$C$42</f>
        <v>1.2547621718892168E-4</v>
      </c>
    </row>
    <row r="160" spans="2:17" s="132" customFormat="1">
      <c r="B160" s="87" t="s">
        <v>3088</v>
      </c>
      <c r="C160" s="97" t="s">
        <v>2830</v>
      </c>
      <c r="D160" s="84">
        <v>6829</v>
      </c>
      <c r="E160" s="84"/>
      <c r="F160" s="84" t="s">
        <v>677</v>
      </c>
      <c r="G160" s="107">
        <v>43738</v>
      </c>
      <c r="H160" s="84" t="s">
        <v>361</v>
      </c>
      <c r="I160" s="94">
        <v>1.0999999999999999</v>
      </c>
      <c r="J160" s="97" t="s">
        <v>169</v>
      </c>
      <c r="K160" s="98">
        <v>6.1839999999999999E-2</v>
      </c>
      <c r="L160" s="98">
        <v>6.4499999999999988E-2</v>
      </c>
      <c r="M160" s="94">
        <v>845697.12</v>
      </c>
      <c r="N160" s="96">
        <v>101.18</v>
      </c>
      <c r="O160" s="94">
        <v>2957.2175999999999</v>
      </c>
      <c r="P160" s="95">
        <f t="shared" si="3"/>
        <v>5.9848546756697553E-4</v>
      </c>
      <c r="Q160" s="95">
        <f>O160/'סכום נכסי הקרן'!$C$42</f>
        <v>5.0893442009135329E-5</v>
      </c>
    </row>
    <row r="161" spans="2:17" s="132" customFormat="1">
      <c r="B161" s="87" t="s">
        <v>3088</v>
      </c>
      <c r="C161" s="97" t="s">
        <v>2830</v>
      </c>
      <c r="D161" s="84">
        <v>6886</v>
      </c>
      <c r="E161" s="84"/>
      <c r="F161" s="84" t="s">
        <v>677</v>
      </c>
      <c r="G161" s="107">
        <v>43578</v>
      </c>
      <c r="H161" s="84" t="s">
        <v>361</v>
      </c>
      <c r="I161" s="94">
        <v>1.0999999999999999</v>
      </c>
      <c r="J161" s="97" t="s">
        <v>169</v>
      </c>
      <c r="K161" s="98">
        <v>6.1839999999999999E-2</v>
      </c>
      <c r="L161" s="98">
        <v>6.54E-2</v>
      </c>
      <c r="M161" s="94">
        <v>546650.63</v>
      </c>
      <c r="N161" s="96">
        <v>101.18</v>
      </c>
      <c r="O161" s="94">
        <v>1911.5175099999999</v>
      </c>
      <c r="P161" s="95">
        <f t="shared" si="3"/>
        <v>3.8685535035866506E-4</v>
      </c>
      <c r="Q161" s="95">
        <f>O161/'סכום נכסי הקרן'!$C$42</f>
        <v>3.2897039955609541E-5</v>
      </c>
    </row>
    <row r="162" spans="2:17" s="132" customFormat="1">
      <c r="B162" s="87" t="s">
        <v>3088</v>
      </c>
      <c r="C162" s="97" t="s">
        <v>2830</v>
      </c>
      <c r="D162" s="84">
        <v>6889</v>
      </c>
      <c r="E162" s="84"/>
      <c r="F162" s="84" t="s">
        <v>677</v>
      </c>
      <c r="G162" s="107">
        <v>43584</v>
      </c>
      <c r="H162" s="84" t="s">
        <v>361</v>
      </c>
      <c r="I162" s="94">
        <v>1.1199999999999999</v>
      </c>
      <c r="J162" s="97" t="s">
        <v>169</v>
      </c>
      <c r="K162" s="98">
        <v>6.4340000000000008E-2</v>
      </c>
      <c r="L162" s="98">
        <v>6.6000000000000003E-2</v>
      </c>
      <c r="M162" s="94">
        <v>1045018.18</v>
      </c>
      <c r="N162" s="96">
        <v>101.18</v>
      </c>
      <c r="O162" s="94">
        <v>3654.1993499999999</v>
      </c>
      <c r="P162" s="95">
        <f t="shared" si="3"/>
        <v>7.395415226014102E-4</v>
      </c>
      <c r="Q162" s="95">
        <f>O162/'סכום נכסי הקרן'!$C$42</f>
        <v>6.2888433610379236E-5</v>
      </c>
    </row>
    <row r="163" spans="2:17" s="132" customFormat="1">
      <c r="B163" s="87" t="s">
        <v>3088</v>
      </c>
      <c r="C163" s="97" t="s">
        <v>2830</v>
      </c>
      <c r="D163" s="84">
        <v>6926</v>
      </c>
      <c r="E163" s="84"/>
      <c r="F163" s="84" t="s">
        <v>677</v>
      </c>
      <c r="G163" s="107">
        <v>43738</v>
      </c>
      <c r="H163" s="84" t="s">
        <v>361</v>
      </c>
      <c r="I163" s="94">
        <v>1.1199999999999999</v>
      </c>
      <c r="J163" s="97" t="s">
        <v>169</v>
      </c>
      <c r="K163" s="98">
        <v>6.4340000000000008E-2</v>
      </c>
      <c r="L163" s="98">
        <v>6.6000000000000003E-2</v>
      </c>
      <c r="M163" s="94">
        <v>460649.77</v>
      </c>
      <c r="N163" s="96">
        <v>101.18</v>
      </c>
      <c r="O163" s="94">
        <v>1610.7912099999999</v>
      </c>
      <c r="P163" s="95">
        <f t="shared" si="3"/>
        <v>3.2599397841728795E-4</v>
      </c>
      <c r="Q163" s="95">
        <f>O163/'סכום נכסי הקרן'!$C$42</f>
        <v>2.7721568083106202E-5</v>
      </c>
    </row>
    <row r="164" spans="2:17" s="132" customFormat="1">
      <c r="B164" s="87" t="s">
        <v>3088</v>
      </c>
      <c r="C164" s="97" t="s">
        <v>2830</v>
      </c>
      <c r="D164" s="84">
        <v>7112</v>
      </c>
      <c r="E164" s="84"/>
      <c r="F164" s="84" t="s">
        <v>677</v>
      </c>
      <c r="G164" s="107">
        <v>43761</v>
      </c>
      <c r="H164" s="84" t="s">
        <v>361</v>
      </c>
      <c r="I164" s="94">
        <v>1.1000000000000001</v>
      </c>
      <c r="J164" s="97" t="s">
        <v>169</v>
      </c>
      <c r="K164" s="98">
        <v>6.1839999999999999E-2</v>
      </c>
      <c r="L164" s="98">
        <v>6.54E-2</v>
      </c>
      <c r="M164" s="94">
        <v>252927.27</v>
      </c>
      <c r="N164" s="96">
        <v>101.18</v>
      </c>
      <c r="O164" s="94">
        <v>884.43124999999998</v>
      </c>
      <c r="P164" s="95">
        <f t="shared" si="3"/>
        <v>1.7899232379351947E-4</v>
      </c>
      <c r="Q164" s="95">
        <f>O164/'סכום נכסי הקרן'!$C$42</f>
        <v>1.5220980198732102E-5</v>
      </c>
    </row>
    <row r="165" spans="2:17" s="132" customFormat="1">
      <c r="B165" s="87" t="s">
        <v>3088</v>
      </c>
      <c r="C165" s="97" t="s">
        <v>2830</v>
      </c>
      <c r="D165" s="84">
        <v>7236</v>
      </c>
      <c r="E165" s="84"/>
      <c r="F165" s="84" t="s">
        <v>677</v>
      </c>
      <c r="G165" s="107">
        <v>43761</v>
      </c>
      <c r="H165" s="84" t="s">
        <v>361</v>
      </c>
      <c r="I165" s="94">
        <v>1.0999999999999999</v>
      </c>
      <c r="J165" s="97" t="s">
        <v>169</v>
      </c>
      <c r="K165" s="98">
        <v>6.1839999999999999E-2</v>
      </c>
      <c r="L165" s="98">
        <v>6.54E-2</v>
      </c>
      <c r="M165" s="94">
        <v>640843.97</v>
      </c>
      <c r="N165" s="96">
        <v>101.18</v>
      </c>
      <c r="O165" s="94">
        <v>2240.8909600000002</v>
      </c>
      <c r="P165" s="95">
        <f t="shared" si="3"/>
        <v>4.535143690346658E-4</v>
      </c>
      <c r="Q165" s="95">
        <f>O165/'סכום נכסי הקרן'!$C$42</f>
        <v>3.8565526636104023E-5</v>
      </c>
    </row>
    <row r="166" spans="2:17" s="132" customFormat="1">
      <c r="B166" s="87" t="s">
        <v>3088</v>
      </c>
      <c r="C166" s="97" t="s">
        <v>2830</v>
      </c>
      <c r="D166" s="84">
        <v>91040011</v>
      </c>
      <c r="E166" s="84"/>
      <c r="F166" s="84" t="s">
        <v>677</v>
      </c>
      <c r="G166" s="107">
        <v>43761</v>
      </c>
      <c r="H166" s="84" t="s">
        <v>361</v>
      </c>
      <c r="I166" s="94">
        <v>1.0999999999999999</v>
      </c>
      <c r="J166" s="97" t="s">
        <v>169</v>
      </c>
      <c r="K166" s="98">
        <v>6.1839999999999999E-2</v>
      </c>
      <c r="L166" s="98">
        <v>6.54E-2</v>
      </c>
      <c r="M166" s="94">
        <v>827351.96</v>
      </c>
      <c r="N166" s="96">
        <v>101.18</v>
      </c>
      <c r="O166" s="94">
        <v>2893.0685699999999</v>
      </c>
      <c r="P166" s="95">
        <f t="shared" ref="P166:P227" si="4">O166/$O$10</f>
        <v>5.8550290510234052E-4</v>
      </c>
      <c r="Q166" s="95">
        <f>O166/'סכום נכסי הקרן'!$C$42</f>
        <v>4.9789443122395548E-5</v>
      </c>
    </row>
    <row r="167" spans="2:17" s="132" customFormat="1">
      <c r="B167" s="87" t="s">
        <v>3088</v>
      </c>
      <c r="C167" s="97" t="s">
        <v>2830</v>
      </c>
      <c r="D167" s="84">
        <v>7058</v>
      </c>
      <c r="E167" s="84"/>
      <c r="F167" s="84" t="s">
        <v>677</v>
      </c>
      <c r="G167" s="107">
        <v>43761</v>
      </c>
      <c r="H167" s="84" t="s">
        <v>361</v>
      </c>
      <c r="I167" s="94">
        <v>1.1000000000000001</v>
      </c>
      <c r="J167" s="97" t="s">
        <v>169</v>
      </c>
      <c r="K167" s="98">
        <v>6.1839999999999999E-2</v>
      </c>
      <c r="L167" s="98">
        <v>6.5399999999999986E-2</v>
      </c>
      <c r="M167" s="94">
        <v>32339.34</v>
      </c>
      <c r="N167" s="96">
        <v>101.18</v>
      </c>
      <c r="O167" s="94">
        <v>113.0836</v>
      </c>
      <c r="P167" s="95">
        <f t="shared" si="4"/>
        <v>2.2886003120012824E-5</v>
      </c>
      <c r="Q167" s="95">
        <f>O167/'סכום נכסי הקרן'!$C$42</f>
        <v>1.946158320843301E-6</v>
      </c>
    </row>
    <row r="168" spans="2:17" s="132" customFormat="1">
      <c r="B168" s="87" t="s">
        <v>3088</v>
      </c>
      <c r="C168" s="97" t="s">
        <v>2830</v>
      </c>
      <c r="D168" s="84">
        <v>7078</v>
      </c>
      <c r="E168" s="84"/>
      <c r="F168" s="84" t="s">
        <v>677</v>
      </c>
      <c r="G168" s="107">
        <v>43677</v>
      </c>
      <c r="H168" s="84" t="s">
        <v>361</v>
      </c>
      <c r="I168" s="94">
        <v>1.0999999999999999</v>
      </c>
      <c r="J168" s="97" t="s">
        <v>169</v>
      </c>
      <c r="K168" s="98">
        <v>6.1839999999999999E-2</v>
      </c>
      <c r="L168" s="98">
        <v>6.54E-2</v>
      </c>
      <c r="M168" s="94">
        <v>582119.97</v>
      </c>
      <c r="N168" s="96">
        <v>101.18</v>
      </c>
      <c r="O168" s="94">
        <v>2035.54602</v>
      </c>
      <c r="P168" s="95">
        <f t="shared" si="4"/>
        <v>4.1195639831637554E-4</v>
      </c>
      <c r="Q168" s="95">
        <f>O168/'סכום נכסי הקרן'!$C$42</f>
        <v>3.5031559167575704E-5</v>
      </c>
    </row>
    <row r="169" spans="2:17" s="132" customFormat="1">
      <c r="B169" s="87" t="s">
        <v>3077</v>
      </c>
      <c r="C169" s="97" t="s">
        <v>2830</v>
      </c>
      <c r="D169" s="84">
        <v>455954</v>
      </c>
      <c r="E169" s="84"/>
      <c r="F169" s="84" t="s">
        <v>2833</v>
      </c>
      <c r="G169" s="107">
        <v>42732</v>
      </c>
      <c r="H169" s="84" t="s">
        <v>2781</v>
      </c>
      <c r="I169" s="94">
        <v>3.6800000000000006</v>
      </c>
      <c r="J169" s="97" t="s">
        <v>170</v>
      </c>
      <c r="K169" s="98">
        <v>2.1613000000000004E-2</v>
      </c>
      <c r="L169" s="98">
        <v>6.6999999999999994E-3</v>
      </c>
      <c r="M169" s="94">
        <v>26006575.620000001</v>
      </c>
      <c r="N169" s="96">
        <v>107.5</v>
      </c>
      <c r="O169" s="94">
        <v>27957.070649999998</v>
      </c>
      <c r="P169" s="95">
        <f t="shared" si="4"/>
        <v>5.6579875960998663E-3</v>
      </c>
      <c r="Q169" s="95">
        <f>O169/'סכום נכסי הקרן'!$C$42</f>
        <v>4.8113860605694837E-4</v>
      </c>
    </row>
    <row r="170" spans="2:17" s="132" customFormat="1">
      <c r="B170" s="87" t="s">
        <v>3063</v>
      </c>
      <c r="C170" s="97" t="s">
        <v>2830</v>
      </c>
      <c r="D170" s="84">
        <v>2424</v>
      </c>
      <c r="E170" s="84"/>
      <c r="F170" s="84" t="s">
        <v>669</v>
      </c>
      <c r="G170" s="107">
        <v>41305</v>
      </c>
      <c r="H170" s="84" t="s">
        <v>168</v>
      </c>
      <c r="I170" s="94">
        <v>3.16</v>
      </c>
      <c r="J170" s="97" t="s">
        <v>170</v>
      </c>
      <c r="K170" s="98">
        <v>7.1500000000000008E-2</v>
      </c>
      <c r="L170" s="98">
        <v>-2.3999999999999998E-3</v>
      </c>
      <c r="M170" s="94">
        <v>37387953.399999999</v>
      </c>
      <c r="N170" s="96">
        <v>135.94999999999999</v>
      </c>
      <c r="O170" s="94">
        <v>50828.92338</v>
      </c>
      <c r="P170" s="95">
        <f t="shared" si="4"/>
        <v>1.0286822307227331E-2</v>
      </c>
      <c r="Q170" s="95">
        <f>O170/'סכום נכסי הקרן'!$C$42</f>
        <v>8.7476108096570674E-4</v>
      </c>
    </row>
    <row r="171" spans="2:17" s="132" customFormat="1">
      <c r="B171" s="87" t="s">
        <v>3089</v>
      </c>
      <c r="C171" s="97" t="s">
        <v>2830</v>
      </c>
      <c r="D171" s="84">
        <v>91102799</v>
      </c>
      <c r="E171" s="84"/>
      <c r="F171" s="84" t="s">
        <v>2833</v>
      </c>
      <c r="G171" s="107">
        <v>41339</v>
      </c>
      <c r="H171" s="84" t="s">
        <v>2781</v>
      </c>
      <c r="I171" s="94">
        <v>2</v>
      </c>
      <c r="J171" s="97" t="s">
        <v>170</v>
      </c>
      <c r="K171" s="98">
        <v>4.7500000000000001E-2</v>
      </c>
      <c r="L171" s="98">
        <v>-9.0000000000000008E-4</v>
      </c>
      <c r="M171" s="94">
        <v>4145268.54</v>
      </c>
      <c r="N171" s="96">
        <v>112.51</v>
      </c>
      <c r="O171" s="94">
        <v>4663.8415199999999</v>
      </c>
      <c r="P171" s="95">
        <f t="shared" si="4"/>
        <v>9.4387419199570355E-4</v>
      </c>
      <c r="Q171" s="95">
        <f>O171/'סכום נכסי הקרן'!$C$42</f>
        <v>8.026428218806678E-5</v>
      </c>
    </row>
    <row r="172" spans="2:17" s="132" customFormat="1">
      <c r="B172" s="87" t="s">
        <v>3089</v>
      </c>
      <c r="C172" s="97" t="s">
        <v>2830</v>
      </c>
      <c r="D172" s="84">
        <v>91102798</v>
      </c>
      <c r="E172" s="84"/>
      <c r="F172" s="84" t="s">
        <v>2833</v>
      </c>
      <c r="G172" s="107">
        <v>41338</v>
      </c>
      <c r="H172" s="84" t="s">
        <v>2781</v>
      </c>
      <c r="I172" s="94">
        <v>2</v>
      </c>
      <c r="J172" s="97" t="s">
        <v>170</v>
      </c>
      <c r="K172" s="98">
        <v>4.4999999999999998E-2</v>
      </c>
      <c r="L172" s="98">
        <v>-2.1000000000000003E-3</v>
      </c>
      <c r="M172" s="94">
        <v>7050595.7599999998</v>
      </c>
      <c r="N172" s="96">
        <v>112.25</v>
      </c>
      <c r="O172" s="94">
        <v>7914.2935900000002</v>
      </c>
      <c r="P172" s="95">
        <f t="shared" si="4"/>
        <v>1.6017048253985325E-3</v>
      </c>
      <c r="Q172" s="95">
        <f>O172/'סכום נכסי הקרן'!$C$42</f>
        <v>1.362042623667384E-4</v>
      </c>
    </row>
    <row r="173" spans="2:17" s="132" customFormat="1">
      <c r="B173" s="87" t="s">
        <v>3091</v>
      </c>
      <c r="C173" s="97" t="s">
        <v>2830</v>
      </c>
      <c r="D173" s="84">
        <v>90145980</v>
      </c>
      <c r="E173" s="84"/>
      <c r="F173" s="84" t="s">
        <v>2833</v>
      </c>
      <c r="G173" s="107">
        <v>42242</v>
      </c>
      <c r="H173" s="84" t="s">
        <v>2781</v>
      </c>
      <c r="I173" s="94">
        <v>4.8900000000000006</v>
      </c>
      <c r="J173" s="97" t="s">
        <v>170</v>
      </c>
      <c r="K173" s="98">
        <v>2.6600000000000002E-2</v>
      </c>
      <c r="L173" s="98">
        <v>1.1000000000000001E-2</v>
      </c>
      <c r="M173" s="94">
        <v>32300467.16</v>
      </c>
      <c r="N173" s="96">
        <v>108.44</v>
      </c>
      <c r="O173" s="94">
        <v>35026.630680000002</v>
      </c>
      <c r="P173" s="95">
        <f t="shared" si="4"/>
        <v>7.0887341668112516E-3</v>
      </c>
      <c r="Q173" s="95">
        <f>O173/'סכום נכסי הקרן'!$C$42</f>
        <v>6.0280508180662136E-4</v>
      </c>
    </row>
    <row r="174" spans="2:17" s="132" customFormat="1">
      <c r="B174" s="87" t="s">
        <v>3092</v>
      </c>
      <c r="C174" s="97" t="s">
        <v>2825</v>
      </c>
      <c r="D174" s="84">
        <v>7134</v>
      </c>
      <c r="E174" s="84"/>
      <c r="F174" s="84" t="s">
        <v>669</v>
      </c>
      <c r="G174" s="107">
        <v>43738</v>
      </c>
      <c r="H174" s="84" t="s">
        <v>168</v>
      </c>
      <c r="I174" s="94">
        <v>6.88</v>
      </c>
      <c r="J174" s="97" t="s">
        <v>170</v>
      </c>
      <c r="K174" s="98">
        <v>0.04</v>
      </c>
      <c r="L174" s="98">
        <v>2.9799999999999997E-2</v>
      </c>
      <c r="M174" s="94">
        <v>1546695.31</v>
      </c>
      <c r="N174" s="96">
        <v>107.17</v>
      </c>
      <c r="O174" s="94">
        <v>1657.59331</v>
      </c>
      <c r="P174" s="95">
        <f t="shared" si="4"/>
        <v>3.3546584707572436E-4</v>
      </c>
      <c r="Q174" s="95">
        <f>O174/'סכום נכסי הקרן'!$C$42</f>
        <v>2.8527027905290325E-5</v>
      </c>
    </row>
    <row r="175" spans="2:17" s="132" customFormat="1">
      <c r="B175" s="87" t="s">
        <v>3092</v>
      </c>
      <c r="C175" s="97" t="s">
        <v>2825</v>
      </c>
      <c r="D175" s="84">
        <v>487742</v>
      </c>
      <c r="E175" s="84"/>
      <c r="F175" s="84" t="s">
        <v>669</v>
      </c>
      <c r="G175" s="107">
        <v>43072</v>
      </c>
      <c r="H175" s="84" t="s">
        <v>168</v>
      </c>
      <c r="I175" s="94">
        <v>6.9599999999999991</v>
      </c>
      <c r="J175" s="97" t="s">
        <v>170</v>
      </c>
      <c r="K175" s="98">
        <v>0.04</v>
      </c>
      <c r="L175" s="98">
        <v>2.5499999999999998E-2</v>
      </c>
      <c r="M175" s="94">
        <v>25412072.199999999</v>
      </c>
      <c r="N175" s="96">
        <v>111.54</v>
      </c>
      <c r="O175" s="94">
        <v>28344.625050000002</v>
      </c>
      <c r="P175" s="95">
        <f t="shared" si="4"/>
        <v>5.736421349602362E-3</v>
      </c>
      <c r="Q175" s="95">
        <f>O175/'סכום נכסי הקרן'!$C$42</f>
        <v>4.8780838151810666E-4</v>
      </c>
    </row>
    <row r="176" spans="2:17" s="132" customFormat="1">
      <c r="B176" s="87" t="s">
        <v>3093</v>
      </c>
      <c r="C176" s="97" t="s">
        <v>2830</v>
      </c>
      <c r="D176" s="84">
        <v>90240690</v>
      </c>
      <c r="E176" s="84"/>
      <c r="F176" s="84" t="s">
        <v>669</v>
      </c>
      <c r="G176" s="107">
        <v>42326</v>
      </c>
      <c r="H176" s="84" t="s">
        <v>168</v>
      </c>
      <c r="I176" s="94">
        <v>9.81</v>
      </c>
      <c r="J176" s="97" t="s">
        <v>170</v>
      </c>
      <c r="K176" s="98">
        <v>3.5499999999999997E-2</v>
      </c>
      <c r="L176" s="98">
        <v>1.9799999999999998E-2</v>
      </c>
      <c r="M176" s="94">
        <v>584726.5</v>
      </c>
      <c r="N176" s="96">
        <v>117.08</v>
      </c>
      <c r="O176" s="94">
        <v>684.59591</v>
      </c>
      <c r="P176" s="95">
        <f t="shared" si="4"/>
        <v>1.385493929465282E-4</v>
      </c>
      <c r="Q176" s="95">
        <f>O176/'סכום נכסי הקרן'!$C$42</f>
        <v>1.1781832437787544E-5</v>
      </c>
    </row>
    <row r="177" spans="2:17" s="132" customFormat="1">
      <c r="B177" s="87" t="s">
        <v>3093</v>
      </c>
      <c r="C177" s="97" t="s">
        <v>2830</v>
      </c>
      <c r="D177" s="84">
        <v>90240692</v>
      </c>
      <c r="E177" s="84"/>
      <c r="F177" s="84" t="s">
        <v>669</v>
      </c>
      <c r="G177" s="107">
        <v>42606</v>
      </c>
      <c r="H177" s="84" t="s">
        <v>168</v>
      </c>
      <c r="I177" s="94">
        <v>9.81</v>
      </c>
      <c r="J177" s="97" t="s">
        <v>170</v>
      </c>
      <c r="K177" s="98">
        <v>3.5499999999999997E-2</v>
      </c>
      <c r="L177" s="98">
        <v>1.9799999999999998E-2</v>
      </c>
      <c r="M177" s="94">
        <v>2459522.0699999998</v>
      </c>
      <c r="N177" s="96">
        <v>117.04</v>
      </c>
      <c r="O177" s="94">
        <v>2878.6166699999999</v>
      </c>
      <c r="P177" s="95">
        <f t="shared" si="4"/>
        <v>5.8257811115794791E-4</v>
      </c>
      <c r="Q177" s="95">
        <f>O177/'סכום נכסי הקרן'!$C$42</f>
        <v>4.9540727256991591E-5</v>
      </c>
    </row>
    <row r="178" spans="2:17" s="132" customFormat="1">
      <c r="B178" s="87" t="s">
        <v>3093</v>
      </c>
      <c r="C178" s="97" t="s">
        <v>2830</v>
      </c>
      <c r="D178" s="84">
        <v>90240693</v>
      </c>
      <c r="E178" s="84"/>
      <c r="F178" s="84" t="s">
        <v>669</v>
      </c>
      <c r="G178" s="107">
        <v>42648</v>
      </c>
      <c r="H178" s="84" t="s">
        <v>168</v>
      </c>
      <c r="I178" s="94">
        <v>9.8099999999999987</v>
      </c>
      <c r="J178" s="97" t="s">
        <v>170</v>
      </c>
      <c r="K178" s="98">
        <v>3.5499999999999997E-2</v>
      </c>
      <c r="L178" s="98">
        <v>1.9799999999999998E-2</v>
      </c>
      <c r="M178" s="94">
        <v>2256133.42</v>
      </c>
      <c r="N178" s="96">
        <v>117.04</v>
      </c>
      <c r="O178" s="94">
        <v>2640.5713700000001</v>
      </c>
      <c r="P178" s="95">
        <f t="shared" si="4"/>
        <v>5.3440219989845154E-4</v>
      </c>
      <c r="Q178" s="95">
        <f>O178/'סכום נכסי הקרן'!$C$42</f>
        <v>4.544398961039527E-5</v>
      </c>
    </row>
    <row r="179" spans="2:17" s="132" customFormat="1">
      <c r="B179" s="87" t="s">
        <v>3093</v>
      </c>
      <c r="C179" s="97" t="s">
        <v>2830</v>
      </c>
      <c r="D179" s="84">
        <v>90240694</v>
      </c>
      <c r="E179" s="84"/>
      <c r="F179" s="84" t="s">
        <v>669</v>
      </c>
      <c r="G179" s="107">
        <v>42718</v>
      </c>
      <c r="H179" s="84" t="s">
        <v>168</v>
      </c>
      <c r="I179" s="94">
        <v>9.7999999999999989</v>
      </c>
      <c r="J179" s="97" t="s">
        <v>170</v>
      </c>
      <c r="K179" s="98">
        <v>3.5499999999999997E-2</v>
      </c>
      <c r="L179" s="98">
        <v>0.02</v>
      </c>
      <c r="M179" s="94">
        <v>1576303.76</v>
      </c>
      <c r="N179" s="96">
        <v>116.9</v>
      </c>
      <c r="O179" s="94">
        <v>1842.69406</v>
      </c>
      <c r="P179" s="95">
        <f t="shared" si="4"/>
        <v>3.7292677281576726E-4</v>
      </c>
      <c r="Q179" s="95">
        <f>O179/'סכום נכסי הקרן'!$C$42</f>
        <v>3.1712594732017063E-5</v>
      </c>
    </row>
    <row r="180" spans="2:17" s="132" customFormat="1">
      <c r="B180" s="87" t="s">
        <v>3093</v>
      </c>
      <c r="C180" s="97" t="s">
        <v>2830</v>
      </c>
      <c r="D180" s="84">
        <v>90240695</v>
      </c>
      <c r="E180" s="84"/>
      <c r="F180" s="84" t="s">
        <v>669</v>
      </c>
      <c r="G180" s="107">
        <v>42900</v>
      </c>
      <c r="H180" s="84" t="s">
        <v>168</v>
      </c>
      <c r="I180" s="94">
        <v>9.66</v>
      </c>
      <c r="J180" s="97" t="s">
        <v>170</v>
      </c>
      <c r="K180" s="98">
        <v>3.5499999999999997E-2</v>
      </c>
      <c r="L180" s="98">
        <v>2.3899999999999998E-2</v>
      </c>
      <c r="M180" s="94">
        <v>1867191.75</v>
      </c>
      <c r="N180" s="96">
        <v>112.65</v>
      </c>
      <c r="O180" s="94">
        <v>2103.3854100000003</v>
      </c>
      <c r="P180" s="95">
        <f t="shared" si="4"/>
        <v>4.2568582054205436E-4</v>
      </c>
      <c r="Q180" s="95">
        <f>O180/'סכום נכסי הקרן'!$C$42</f>
        <v>3.6199068809375532E-5</v>
      </c>
    </row>
    <row r="181" spans="2:17" s="132" customFormat="1">
      <c r="B181" s="87" t="s">
        <v>3093</v>
      </c>
      <c r="C181" s="97" t="s">
        <v>2830</v>
      </c>
      <c r="D181" s="84">
        <v>90240696</v>
      </c>
      <c r="E181" s="84"/>
      <c r="F181" s="84" t="s">
        <v>669</v>
      </c>
      <c r="G181" s="107">
        <v>43075</v>
      </c>
      <c r="H181" s="84" t="s">
        <v>168</v>
      </c>
      <c r="I181" s="94">
        <v>9.51</v>
      </c>
      <c r="J181" s="97" t="s">
        <v>170</v>
      </c>
      <c r="K181" s="98">
        <v>3.5499999999999997E-2</v>
      </c>
      <c r="L181" s="98">
        <v>2.81E-2</v>
      </c>
      <c r="M181" s="94">
        <v>1158602.83</v>
      </c>
      <c r="N181" s="96">
        <v>108.25</v>
      </c>
      <c r="O181" s="94">
        <v>1254.18426</v>
      </c>
      <c r="P181" s="95">
        <f t="shared" si="4"/>
        <v>2.5382340929569778E-4</v>
      </c>
      <c r="Q181" s="95">
        <f>O181/'סכום נכסי הקרן'!$C$42</f>
        <v>2.1584395380671449E-5</v>
      </c>
    </row>
    <row r="182" spans="2:17" s="132" customFormat="1">
      <c r="B182" s="87" t="s">
        <v>3093</v>
      </c>
      <c r="C182" s="97" t="s">
        <v>2830</v>
      </c>
      <c r="D182" s="84">
        <v>90240697</v>
      </c>
      <c r="E182" s="84"/>
      <c r="F182" s="84" t="s">
        <v>669</v>
      </c>
      <c r="G182" s="107">
        <v>43292</v>
      </c>
      <c r="H182" s="84" t="s">
        <v>168</v>
      </c>
      <c r="I182" s="94">
        <v>9.6100000000000012</v>
      </c>
      <c r="J182" s="97" t="s">
        <v>170</v>
      </c>
      <c r="K182" s="98">
        <v>3.5499999999999997E-2</v>
      </c>
      <c r="L182" s="98">
        <v>2.5200000000000004E-2</v>
      </c>
      <c r="M182" s="94">
        <v>3159246.99</v>
      </c>
      <c r="N182" s="96">
        <v>111.24</v>
      </c>
      <c r="O182" s="94">
        <v>3514.3365699999999</v>
      </c>
      <c r="P182" s="95">
        <f t="shared" si="4"/>
        <v>7.1123591489654693E-4</v>
      </c>
      <c r="Q182" s="95">
        <f>O182/'סכום נכסי הקרן'!$C$42</f>
        <v>6.0481408072871798E-5</v>
      </c>
    </row>
    <row r="183" spans="2:17" s="132" customFormat="1">
      <c r="B183" s="87" t="s">
        <v>3094</v>
      </c>
      <c r="C183" s="97" t="s">
        <v>2830</v>
      </c>
      <c r="D183" s="84">
        <v>90240790</v>
      </c>
      <c r="E183" s="84"/>
      <c r="F183" s="84" t="s">
        <v>669</v>
      </c>
      <c r="G183" s="107">
        <v>42326</v>
      </c>
      <c r="H183" s="84" t="s">
        <v>168</v>
      </c>
      <c r="I183" s="94">
        <v>9.7999999999999989</v>
      </c>
      <c r="J183" s="97" t="s">
        <v>170</v>
      </c>
      <c r="K183" s="98">
        <v>3.5499999999999997E-2</v>
      </c>
      <c r="L183" s="98">
        <v>1.9900000000000001E-2</v>
      </c>
      <c r="M183" s="94">
        <v>1301487.97</v>
      </c>
      <c r="N183" s="96">
        <v>116.95</v>
      </c>
      <c r="O183" s="94">
        <v>1522.0858899999998</v>
      </c>
      <c r="P183" s="95">
        <f t="shared" si="4"/>
        <v>3.0804168267960599E-4</v>
      </c>
      <c r="Q183" s="95">
        <f>O183/'סכום נכסי הקרן'!$C$42</f>
        <v>2.6194957711477889E-5</v>
      </c>
    </row>
    <row r="184" spans="2:17" s="132" customFormat="1">
      <c r="B184" s="87" t="s">
        <v>3094</v>
      </c>
      <c r="C184" s="97" t="s">
        <v>2830</v>
      </c>
      <c r="D184" s="84">
        <v>90240792</v>
      </c>
      <c r="E184" s="84"/>
      <c r="F184" s="84" t="s">
        <v>669</v>
      </c>
      <c r="G184" s="107">
        <v>42606</v>
      </c>
      <c r="H184" s="84" t="s">
        <v>168</v>
      </c>
      <c r="I184" s="94">
        <v>9.7800000000000011</v>
      </c>
      <c r="J184" s="97" t="s">
        <v>170</v>
      </c>
      <c r="K184" s="98">
        <v>3.5499999999999997E-2</v>
      </c>
      <c r="L184" s="98">
        <v>2.07E-2</v>
      </c>
      <c r="M184" s="94">
        <v>5474419.8300000001</v>
      </c>
      <c r="N184" s="96">
        <v>116.11</v>
      </c>
      <c r="O184" s="94">
        <v>6356.3315300000004</v>
      </c>
      <c r="P184" s="95">
        <f t="shared" si="4"/>
        <v>1.2864024777015932E-3</v>
      </c>
      <c r="Q184" s="95">
        <f>O184/'סכום נכסי הקרן'!$C$42</f>
        <v>1.0939187908015071E-4</v>
      </c>
    </row>
    <row r="185" spans="2:17" s="132" customFormat="1">
      <c r="B185" s="87" t="s">
        <v>3094</v>
      </c>
      <c r="C185" s="97" t="s">
        <v>2830</v>
      </c>
      <c r="D185" s="84">
        <v>90240793</v>
      </c>
      <c r="E185" s="84"/>
      <c r="F185" s="84" t="s">
        <v>669</v>
      </c>
      <c r="G185" s="107">
        <v>42648</v>
      </c>
      <c r="H185" s="84" t="s">
        <v>168</v>
      </c>
      <c r="I185" s="94">
        <v>9.7799999999999994</v>
      </c>
      <c r="J185" s="97" t="s">
        <v>170</v>
      </c>
      <c r="K185" s="98">
        <v>3.5499999999999997E-2</v>
      </c>
      <c r="L185" s="98">
        <v>2.06E-2</v>
      </c>
      <c r="M185" s="94">
        <v>5021716.63</v>
      </c>
      <c r="N185" s="96">
        <v>116.21</v>
      </c>
      <c r="O185" s="94">
        <v>5835.7209699999994</v>
      </c>
      <c r="P185" s="95">
        <f t="shared" si="4"/>
        <v>1.1810406489264954E-3</v>
      </c>
      <c r="Q185" s="95">
        <f>O185/'סכום נכסי הקרן'!$C$42</f>
        <v>1.0043221938358204E-4</v>
      </c>
    </row>
    <row r="186" spans="2:17" s="132" customFormat="1">
      <c r="B186" s="87" t="s">
        <v>3094</v>
      </c>
      <c r="C186" s="97" t="s">
        <v>2830</v>
      </c>
      <c r="D186" s="84">
        <v>90240794</v>
      </c>
      <c r="E186" s="84"/>
      <c r="F186" s="84" t="s">
        <v>669</v>
      </c>
      <c r="G186" s="107">
        <v>42718</v>
      </c>
      <c r="H186" s="84" t="s">
        <v>168</v>
      </c>
      <c r="I186" s="94">
        <v>9.77</v>
      </c>
      <c r="J186" s="97" t="s">
        <v>170</v>
      </c>
      <c r="K186" s="98">
        <v>3.5499999999999997E-2</v>
      </c>
      <c r="L186" s="98">
        <v>2.0899999999999998E-2</v>
      </c>
      <c r="M186" s="94">
        <v>3508547.13</v>
      </c>
      <c r="N186" s="96">
        <v>115.83</v>
      </c>
      <c r="O186" s="94">
        <v>4063.9390400000002</v>
      </c>
      <c r="P186" s="95">
        <f t="shared" si="4"/>
        <v>8.2246516337454694E-4</v>
      </c>
      <c r="Q186" s="95">
        <f>O186/'סכום נכסי הקרן'!$C$42</f>
        <v>6.9940015865217734E-5</v>
      </c>
    </row>
    <row r="187" spans="2:17" s="132" customFormat="1">
      <c r="B187" s="87" t="s">
        <v>3094</v>
      </c>
      <c r="C187" s="97" t="s">
        <v>2830</v>
      </c>
      <c r="D187" s="84">
        <v>90240795</v>
      </c>
      <c r="E187" s="84"/>
      <c r="F187" s="84" t="s">
        <v>669</v>
      </c>
      <c r="G187" s="107">
        <v>42900</v>
      </c>
      <c r="H187" s="84" t="s">
        <v>168</v>
      </c>
      <c r="I187" s="94">
        <v>9.5100000000000016</v>
      </c>
      <c r="J187" s="97" t="s">
        <v>170</v>
      </c>
      <c r="K187" s="98">
        <v>3.5499999999999997E-2</v>
      </c>
      <c r="L187" s="98">
        <v>2.81E-2</v>
      </c>
      <c r="M187" s="94">
        <v>4156007.35</v>
      </c>
      <c r="N187" s="96">
        <v>108.26</v>
      </c>
      <c r="O187" s="94">
        <v>4499.2802599999995</v>
      </c>
      <c r="P187" s="95">
        <f t="shared" si="4"/>
        <v>9.105700744243382E-4</v>
      </c>
      <c r="Q187" s="95">
        <f>O187/'סכום נכסי הקרן'!$C$42</f>
        <v>7.7432198088891834E-5</v>
      </c>
    </row>
    <row r="188" spans="2:17" s="132" customFormat="1">
      <c r="B188" s="87" t="s">
        <v>3094</v>
      </c>
      <c r="C188" s="97" t="s">
        <v>2830</v>
      </c>
      <c r="D188" s="84">
        <v>90240796</v>
      </c>
      <c r="E188" s="84"/>
      <c r="F188" s="84" t="s">
        <v>669</v>
      </c>
      <c r="G188" s="107">
        <v>43075</v>
      </c>
      <c r="H188" s="84" t="s">
        <v>168</v>
      </c>
      <c r="I188" s="94">
        <v>9.35</v>
      </c>
      <c r="J188" s="97" t="s">
        <v>170</v>
      </c>
      <c r="K188" s="98">
        <v>3.5499999999999997E-2</v>
      </c>
      <c r="L188" s="98">
        <v>3.2599999999999997E-2</v>
      </c>
      <c r="M188" s="94">
        <v>2578826.12</v>
      </c>
      <c r="N188" s="96">
        <v>103.87</v>
      </c>
      <c r="O188" s="94">
        <v>2678.6188500000003</v>
      </c>
      <c r="P188" s="95">
        <f t="shared" si="4"/>
        <v>5.4210229740143717E-4</v>
      </c>
      <c r="Q188" s="95">
        <f>O188/'סכום נכסי הקרן'!$C$42</f>
        <v>4.6098783230240408E-5</v>
      </c>
    </row>
    <row r="189" spans="2:17" s="132" customFormat="1">
      <c r="B189" s="87" t="s">
        <v>3094</v>
      </c>
      <c r="C189" s="97" t="s">
        <v>2830</v>
      </c>
      <c r="D189" s="84">
        <v>90240797</v>
      </c>
      <c r="E189" s="84"/>
      <c r="F189" s="84" t="s">
        <v>669</v>
      </c>
      <c r="G189" s="107">
        <v>43292</v>
      </c>
      <c r="H189" s="84" t="s">
        <v>168</v>
      </c>
      <c r="I189" s="94">
        <v>9.4200000000000017</v>
      </c>
      <c r="J189" s="97" t="s">
        <v>170</v>
      </c>
      <c r="K189" s="98">
        <v>3.5499999999999997E-2</v>
      </c>
      <c r="L189" s="98">
        <v>3.0500000000000006E-2</v>
      </c>
      <c r="M189" s="94">
        <v>7031872.5700000003</v>
      </c>
      <c r="N189" s="96">
        <v>105.86</v>
      </c>
      <c r="O189" s="94">
        <v>7443.9182599999995</v>
      </c>
      <c r="P189" s="95">
        <f t="shared" si="4"/>
        <v>1.5065096665076139E-3</v>
      </c>
      <c r="Q189" s="95">
        <f>O189/'סכום נכסי הקרן'!$C$42</f>
        <v>1.2810914634285066E-4</v>
      </c>
    </row>
    <row r="190" spans="2:17" s="132" customFormat="1">
      <c r="B190" s="87" t="s">
        <v>3095</v>
      </c>
      <c r="C190" s="97" t="s">
        <v>2825</v>
      </c>
      <c r="D190" s="84">
        <v>482154</v>
      </c>
      <c r="E190" s="84"/>
      <c r="F190" s="84" t="s">
        <v>2833</v>
      </c>
      <c r="G190" s="107">
        <v>42978</v>
      </c>
      <c r="H190" s="84" t="s">
        <v>2781</v>
      </c>
      <c r="I190" s="94">
        <v>2.7699999999999996</v>
      </c>
      <c r="J190" s="97" t="s">
        <v>170</v>
      </c>
      <c r="K190" s="98">
        <v>2.4500000000000001E-2</v>
      </c>
      <c r="L190" s="98">
        <v>1.8899999999999997E-2</v>
      </c>
      <c r="M190" s="94">
        <v>3958118.36</v>
      </c>
      <c r="N190" s="96">
        <v>102.38</v>
      </c>
      <c r="O190" s="94">
        <v>4052.33104</v>
      </c>
      <c r="P190" s="95">
        <f t="shared" si="4"/>
        <v>8.2011592153738303E-4</v>
      </c>
      <c r="Q190" s="95">
        <f>O190/'סכום נכסי הקרן'!$C$42</f>
        <v>6.9740243256383657E-5</v>
      </c>
    </row>
    <row r="191" spans="2:17" s="132" customFormat="1">
      <c r="B191" s="87" t="s">
        <v>3095</v>
      </c>
      <c r="C191" s="97" t="s">
        <v>2825</v>
      </c>
      <c r="D191" s="84">
        <v>482153</v>
      </c>
      <c r="E191" s="84"/>
      <c r="F191" s="84" t="s">
        <v>2833</v>
      </c>
      <c r="G191" s="107">
        <v>42978</v>
      </c>
      <c r="H191" s="84" t="s">
        <v>2781</v>
      </c>
      <c r="I191" s="94">
        <v>2.7700000000000005</v>
      </c>
      <c r="J191" s="97" t="s">
        <v>170</v>
      </c>
      <c r="K191" s="98">
        <v>2.76E-2</v>
      </c>
      <c r="L191" s="98">
        <v>1.9800000000000002E-2</v>
      </c>
      <c r="M191" s="94">
        <v>9235609.5099999998</v>
      </c>
      <c r="N191" s="96">
        <v>103.11</v>
      </c>
      <c r="O191" s="94">
        <v>9522.837019999999</v>
      </c>
      <c r="P191" s="95">
        <f t="shared" si="4"/>
        <v>1.9272438952340886E-3</v>
      </c>
      <c r="Q191" s="95">
        <f>O191/'סכום נכסי הקרן'!$C$42</f>
        <v>1.6388714636346579E-4</v>
      </c>
    </row>
    <row r="192" spans="2:17" s="132" customFormat="1">
      <c r="B192" s="87" t="s">
        <v>3083</v>
      </c>
      <c r="C192" s="97" t="s">
        <v>2830</v>
      </c>
      <c r="D192" s="84">
        <v>90839511</v>
      </c>
      <c r="E192" s="84"/>
      <c r="F192" s="84" t="s">
        <v>669</v>
      </c>
      <c r="G192" s="107">
        <v>41816</v>
      </c>
      <c r="H192" s="84" t="s">
        <v>168</v>
      </c>
      <c r="I192" s="94">
        <v>8</v>
      </c>
      <c r="J192" s="97" t="s">
        <v>170</v>
      </c>
      <c r="K192" s="98">
        <v>4.4999999999999998E-2</v>
      </c>
      <c r="L192" s="98">
        <v>1.2699999999999999E-2</v>
      </c>
      <c r="M192" s="94">
        <v>5096678.01</v>
      </c>
      <c r="N192" s="96">
        <v>129.75</v>
      </c>
      <c r="O192" s="94">
        <v>6612.9397800000006</v>
      </c>
      <c r="P192" s="95">
        <f t="shared" si="4"/>
        <v>1.3383351824449957E-3</v>
      </c>
      <c r="Q192" s="95">
        <f>O192/'סכום נכסי הקרן'!$C$42</f>
        <v>1.138080833832905E-4</v>
      </c>
    </row>
    <row r="193" spans="2:17" s="132" customFormat="1">
      <c r="B193" s="87" t="s">
        <v>3083</v>
      </c>
      <c r="C193" s="97" t="s">
        <v>2830</v>
      </c>
      <c r="D193" s="84">
        <v>90839541</v>
      </c>
      <c r="E193" s="84"/>
      <c r="F193" s="84" t="s">
        <v>669</v>
      </c>
      <c r="G193" s="107">
        <v>42625</v>
      </c>
      <c r="H193" s="84" t="s">
        <v>168</v>
      </c>
      <c r="I193" s="94">
        <v>7.9099999999999993</v>
      </c>
      <c r="J193" s="97" t="s">
        <v>170</v>
      </c>
      <c r="K193" s="98">
        <v>4.4999999999999998E-2</v>
      </c>
      <c r="L193" s="98">
        <v>1.7000000000000001E-2</v>
      </c>
      <c r="M193" s="94">
        <v>1419213.72</v>
      </c>
      <c r="N193" s="96">
        <v>126.09</v>
      </c>
      <c r="O193" s="94">
        <v>1789.48658</v>
      </c>
      <c r="P193" s="95">
        <f t="shared" si="4"/>
        <v>3.6215857518774673E-4</v>
      </c>
      <c r="Q193" s="95">
        <f>O193/'סכום נכסי הקרן'!$C$42</f>
        <v>3.0796898911110201E-5</v>
      </c>
    </row>
    <row r="194" spans="2:17" s="132" customFormat="1">
      <c r="B194" s="87" t="s">
        <v>3083</v>
      </c>
      <c r="C194" s="97" t="s">
        <v>2830</v>
      </c>
      <c r="D194" s="84">
        <v>90839542</v>
      </c>
      <c r="E194" s="84"/>
      <c r="F194" s="84" t="s">
        <v>669</v>
      </c>
      <c r="G194" s="107">
        <v>42716</v>
      </c>
      <c r="H194" s="84" t="s">
        <v>168</v>
      </c>
      <c r="I194" s="94">
        <v>7.96</v>
      </c>
      <c r="J194" s="97" t="s">
        <v>170</v>
      </c>
      <c r="K194" s="98">
        <v>4.4999999999999998E-2</v>
      </c>
      <c r="L194" s="98">
        <v>1.4499999999999999E-2</v>
      </c>
      <c r="M194" s="94">
        <v>1073718.57</v>
      </c>
      <c r="N194" s="96">
        <v>128.81</v>
      </c>
      <c r="O194" s="94">
        <v>1383.0568500000002</v>
      </c>
      <c r="P194" s="95">
        <f t="shared" si="4"/>
        <v>2.7990480833874331E-4</v>
      </c>
      <c r="Q194" s="95">
        <f>O194/'סכום נכסי הקרן'!$C$42</f>
        <v>2.3802280762434389E-5</v>
      </c>
    </row>
    <row r="195" spans="2:17" s="132" customFormat="1">
      <c r="B195" s="87" t="s">
        <v>3083</v>
      </c>
      <c r="C195" s="97" t="s">
        <v>2830</v>
      </c>
      <c r="D195" s="84">
        <v>90839544</v>
      </c>
      <c r="E195" s="84"/>
      <c r="F195" s="84" t="s">
        <v>669</v>
      </c>
      <c r="G195" s="107">
        <v>42803</v>
      </c>
      <c r="H195" s="84" t="s">
        <v>168</v>
      </c>
      <c r="I195" s="94">
        <v>7.82</v>
      </c>
      <c r="J195" s="97" t="s">
        <v>170</v>
      </c>
      <c r="K195" s="98">
        <v>4.4999999999999998E-2</v>
      </c>
      <c r="L195" s="98">
        <v>2.0799999999999999E-2</v>
      </c>
      <c r="M195" s="94">
        <v>6881194.4400000004</v>
      </c>
      <c r="N195" s="96">
        <v>123.39</v>
      </c>
      <c r="O195" s="94">
        <v>8490.7059399999998</v>
      </c>
      <c r="P195" s="95">
        <f t="shared" si="4"/>
        <v>1.7183598915665173E-3</v>
      </c>
      <c r="Q195" s="95">
        <f>O195/'סכום נכסי הקרן'!$C$42</f>
        <v>1.4612426571991553E-4</v>
      </c>
    </row>
    <row r="196" spans="2:17" s="132" customFormat="1">
      <c r="B196" s="87" t="s">
        <v>3083</v>
      </c>
      <c r="C196" s="97" t="s">
        <v>2830</v>
      </c>
      <c r="D196" s="84">
        <v>90839545</v>
      </c>
      <c r="E196" s="84"/>
      <c r="F196" s="84" t="s">
        <v>669</v>
      </c>
      <c r="G196" s="107">
        <v>42898</v>
      </c>
      <c r="H196" s="84" t="s">
        <v>168</v>
      </c>
      <c r="I196" s="94">
        <v>7.7200000000000006</v>
      </c>
      <c r="J196" s="97" t="s">
        <v>170</v>
      </c>
      <c r="K196" s="98">
        <v>4.4999999999999998E-2</v>
      </c>
      <c r="L196" s="98">
        <v>2.5600000000000001E-2</v>
      </c>
      <c r="M196" s="94">
        <v>1294176.3500000001</v>
      </c>
      <c r="N196" s="96">
        <v>118.35</v>
      </c>
      <c r="O196" s="94">
        <v>1531.65769</v>
      </c>
      <c r="P196" s="95">
        <f t="shared" si="4"/>
        <v>3.099788357651475E-4</v>
      </c>
      <c r="Q196" s="95">
        <f>O196/'סכום נכסי הקרן'!$C$42</f>
        <v>2.6359687506208938E-5</v>
      </c>
    </row>
    <row r="197" spans="2:17" s="132" customFormat="1">
      <c r="B197" s="87" t="s">
        <v>3083</v>
      </c>
      <c r="C197" s="97" t="s">
        <v>2830</v>
      </c>
      <c r="D197" s="84">
        <v>90839546</v>
      </c>
      <c r="E197" s="84"/>
      <c r="F197" s="84" t="s">
        <v>669</v>
      </c>
      <c r="G197" s="107">
        <v>42989</v>
      </c>
      <c r="H197" s="84" t="s">
        <v>168</v>
      </c>
      <c r="I197" s="94">
        <v>7.6800000000000006</v>
      </c>
      <c r="J197" s="97" t="s">
        <v>170</v>
      </c>
      <c r="K197" s="98">
        <v>4.4999999999999998E-2</v>
      </c>
      <c r="L197" s="98">
        <v>2.7500000000000004E-2</v>
      </c>
      <c r="M197" s="94">
        <v>1630825.1</v>
      </c>
      <c r="N197" s="96">
        <v>117.2</v>
      </c>
      <c r="O197" s="94">
        <v>1911.32692</v>
      </c>
      <c r="P197" s="95">
        <f t="shared" si="4"/>
        <v>3.8681677851151269E-4</v>
      </c>
      <c r="Q197" s="95">
        <f>O197/'סכום נכסי הקרן'!$C$42</f>
        <v>3.289375991929686E-5</v>
      </c>
    </row>
    <row r="198" spans="2:17" s="132" customFormat="1">
      <c r="B198" s="87" t="s">
        <v>3083</v>
      </c>
      <c r="C198" s="97" t="s">
        <v>2830</v>
      </c>
      <c r="D198" s="84">
        <v>90839547</v>
      </c>
      <c r="E198" s="84"/>
      <c r="F198" s="84" t="s">
        <v>669</v>
      </c>
      <c r="G198" s="107">
        <v>43080</v>
      </c>
      <c r="H198" s="84" t="s">
        <v>168</v>
      </c>
      <c r="I198" s="94">
        <v>7.57</v>
      </c>
      <c r="J198" s="97" t="s">
        <v>170</v>
      </c>
      <c r="K198" s="98">
        <v>4.4999999999999998E-2</v>
      </c>
      <c r="L198" s="98">
        <v>3.2299999999999995E-2</v>
      </c>
      <c r="M198" s="94">
        <v>505285.95</v>
      </c>
      <c r="N198" s="96">
        <v>112.31</v>
      </c>
      <c r="O198" s="94">
        <v>567.48667</v>
      </c>
      <c r="P198" s="95">
        <f t="shared" si="4"/>
        <v>1.148486756716773E-4</v>
      </c>
      <c r="Q198" s="95">
        <f>O198/'סכום נכסי הקרן'!$C$42</f>
        <v>9.766393224023258E-6</v>
      </c>
    </row>
    <row r="199" spans="2:17" s="132" customFormat="1">
      <c r="B199" s="87" t="s">
        <v>3083</v>
      </c>
      <c r="C199" s="97" t="s">
        <v>2830</v>
      </c>
      <c r="D199" s="84">
        <v>90839548</v>
      </c>
      <c r="E199" s="84"/>
      <c r="F199" s="84" t="s">
        <v>669</v>
      </c>
      <c r="G199" s="107">
        <v>43171</v>
      </c>
      <c r="H199" s="84" t="s">
        <v>168</v>
      </c>
      <c r="I199" s="94">
        <v>7.5600000000000005</v>
      </c>
      <c r="J199" s="97" t="s">
        <v>170</v>
      </c>
      <c r="K199" s="98">
        <v>4.4999999999999998E-2</v>
      </c>
      <c r="L199" s="98">
        <v>3.2800000000000003E-2</v>
      </c>
      <c r="M199" s="94">
        <v>536806.15</v>
      </c>
      <c r="N199" s="96">
        <v>112.66</v>
      </c>
      <c r="O199" s="94">
        <v>604.76576</v>
      </c>
      <c r="P199" s="95">
        <f t="shared" si="4"/>
        <v>1.2239326542696664E-4</v>
      </c>
      <c r="Q199" s="95">
        <f>O199/'סכום נכסי הקרן'!$C$42</f>
        <v>1.0407962922874074E-5</v>
      </c>
    </row>
    <row r="200" spans="2:17" s="132" customFormat="1">
      <c r="B200" s="87" t="s">
        <v>3083</v>
      </c>
      <c r="C200" s="97" t="s">
        <v>2830</v>
      </c>
      <c r="D200" s="84">
        <v>90839550</v>
      </c>
      <c r="E200" s="84"/>
      <c r="F200" s="84" t="s">
        <v>669</v>
      </c>
      <c r="G200" s="107">
        <v>43341</v>
      </c>
      <c r="H200" s="84" t="s">
        <v>168</v>
      </c>
      <c r="I200" s="94">
        <v>7.63</v>
      </c>
      <c r="J200" s="97" t="s">
        <v>170</v>
      </c>
      <c r="K200" s="98">
        <v>4.4999999999999998E-2</v>
      </c>
      <c r="L200" s="98">
        <v>2.9699999999999997E-2</v>
      </c>
      <c r="M200" s="94">
        <v>947162.11</v>
      </c>
      <c r="N200" s="96">
        <v>113.7</v>
      </c>
      <c r="O200" s="94">
        <v>1076.9233400000001</v>
      </c>
      <c r="P200" s="95">
        <f t="shared" si="4"/>
        <v>2.1794911834478766E-4</v>
      </c>
      <c r="Q200" s="95">
        <f>O200/'סכום נכסי הקרן'!$C$42</f>
        <v>1.8533751304798922E-5</v>
      </c>
    </row>
    <row r="201" spans="2:17" s="132" customFormat="1">
      <c r="B201" s="87" t="s">
        <v>3083</v>
      </c>
      <c r="C201" s="97" t="s">
        <v>2830</v>
      </c>
      <c r="D201" s="84">
        <v>90839512</v>
      </c>
      <c r="E201" s="84"/>
      <c r="F201" s="84" t="s">
        <v>669</v>
      </c>
      <c r="G201" s="107">
        <v>41893</v>
      </c>
      <c r="H201" s="84" t="s">
        <v>168</v>
      </c>
      <c r="I201" s="94">
        <v>8</v>
      </c>
      <c r="J201" s="97" t="s">
        <v>170</v>
      </c>
      <c r="K201" s="98">
        <v>4.4999999999999998E-2</v>
      </c>
      <c r="L201" s="98">
        <v>1.2699999999999999E-2</v>
      </c>
      <c r="M201" s="94">
        <v>999916.82</v>
      </c>
      <c r="N201" s="96">
        <v>129.26</v>
      </c>
      <c r="O201" s="94">
        <v>1292.4924099999998</v>
      </c>
      <c r="P201" s="95">
        <f t="shared" si="4"/>
        <v>2.615762615255695E-4</v>
      </c>
      <c r="Q201" s="95">
        <f>O201/'סכום נכסי הקרן'!$C$42</f>
        <v>2.2243675107162407E-5</v>
      </c>
    </row>
    <row r="202" spans="2:17" s="132" customFormat="1">
      <c r="B202" s="87" t="s">
        <v>3086</v>
      </c>
      <c r="C202" s="97" t="s">
        <v>2830</v>
      </c>
      <c r="D202" s="84">
        <v>90839513</v>
      </c>
      <c r="E202" s="84"/>
      <c r="F202" s="84" t="s">
        <v>669</v>
      </c>
      <c r="G202" s="107">
        <v>42151</v>
      </c>
      <c r="H202" s="84" t="s">
        <v>168</v>
      </c>
      <c r="I202" s="94">
        <v>8</v>
      </c>
      <c r="J202" s="97" t="s">
        <v>170</v>
      </c>
      <c r="K202" s="98">
        <v>4.4999999999999998E-2</v>
      </c>
      <c r="L202" s="98">
        <v>1.26E-2</v>
      </c>
      <c r="M202" s="94">
        <v>3661865.93</v>
      </c>
      <c r="N202" s="96">
        <v>130.55000000000001</v>
      </c>
      <c r="O202" s="94">
        <v>4780.5659100000003</v>
      </c>
      <c r="P202" s="95">
        <f t="shared" si="4"/>
        <v>9.6749702283697146E-4</v>
      </c>
      <c r="Q202" s="95">
        <f>O202/'סכום נכסי הקרן'!$C$42</f>
        <v>8.2273098168844354E-5</v>
      </c>
    </row>
    <row r="203" spans="2:17" s="132" customFormat="1">
      <c r="B203" s="87" t="s">
        <v>3086</v>
      </c>
      <c r="C203" s="97" t="s">
        <v>2830</v>
      </c>
      <c r="D203" s="84">
        <v>90839515</v>
      </c>
      <c r="E203" s="84"/>
      <c r="F203" s="84" t="s">
        <v>669</v>
      </c>
      <c r="G203" s="107">
        <v>42166</v>
      </c>
      <c r="H203" s="84" t="s">
        <v>168</v>
      </c>
      <c r="I203" s="94">
        <v>8</v>
      </c>
      <c r="J203" s="97" t="s">
        <v>170</v>
      </c>
      <c r="K203" s="98">
        <v>4.4999999999999998E-2</v>
      </c>
      <c r="L203" s="98">
        <v>1.2599999999999998E-2</v>
      </c>
      <c r="M203" s="94">
        <v>3445413.28</v>
      </c>
      <c r="N203" s="96">
        <v>130.55000000000001</v>
      </c>
      <c r="O203" s="94">
        <v>4497.9869800000006</v>
      </c>
      <c r="P203" s="95">
        <f t="shared" si="4"/>
        <v>9.1030833876934469E-4</v>
      </c>
      <c r="Q203" s="95">
        <f>O203/'סכום נכסי הקרן'!$C$42</f>
        <v>7.7409940859433471E-5</v>
      </c>
    </row>
    <row r="204" spans="2:17" s="132" customFormat="1">
      <c r="B204" s="87" t="s">
        <v>3086</v>
      </c>
      <c r="C204" s="97" t="s">
        <v>2830</v>
      </c>
      <c r="D204" s="84">
        <v>90839516</v>
      </c>
      <c r="E204" s="84"/>
      <c r="F204" s="84" t="s">
        <v>669</v>
      </c>
      <c r="G204" s="107">
        <v>42257</v>
      </c>
      <c r="H204" s="84" t="s">
        <v>168</v>
      </c>
      <c r="I204" s="94">
        <v>8</v>
      </c>
      <c r="J204" s="97" t="s">
        <v>170</v>
      </c>
      <c r="K204" s="98">
        <v>4.4999999999999998E-2</v>
      </c>
      <c r="L204" s="98">
        <v>1.26E-2</v>
      </c>
      <c r="M204" s="94">
        <v>1830907.98</v>
      </c>
      <c r="N204" s="96">
        <v>129.65</v>
      </c>
      <c r="O204" s="94">
        <v>2373.7721200000001</v>
      </c>
      <c r="P204" s="95">
        <f t="shared" si="4"/>
        <v>4.8040702758418951E-4</v>
      </c>
      <c r="Q204" s="95">
        <f>O204/'סכום נכסי הקרן'!$C$42</f>
        <v>4.0852399137663135E-5</v>
      </c>
    </row>
    <row r="205" spans="2:17" s="132" customFormat="1">
      <c r="B205" s="87" t="s">
        <v>3083</v>
      </c>
      <c r="C205" s="97" t="s">
        <v>2830</v>
      </c>
      <c r="D205" s="84">
        <v>90839517</v>
      </c>
      <c r="E205" s="84"/>
      <c r="F205" s="84" t="s">
        <v>669</v>
      </c>
      <c r="G205" s="107">
        <v>42348</v>
      </c>
      <c r="H205" s="84" t="s">
        <v>168</v>
      </c>
      <c r="I205" s="94">
        <v>8</v>
      </c>
      <c r="J205" s="97" t="s">
        <v>170</v>
      </c>
      <c r="K205" s="98">
        <v>4.4999999999999998E-2</v>
      </c>
      <c r="L205" s="98">
        <v>1.2699999999999999E-2</v>
      </c>
      <c r="M205" s="94">
        <v>3170560.51</v>
      </c>
      <c r="N205" s="96">
        <v>130.29</v>
      </c>
      <c r="O205" s="94">
        <v>4130.9231300000001</v>
      </c>
      <c r="P205" s="95">
        <f t="shared" si="4"/>
        <v>8.360214888959419E-4</v>
      </c>
      <c r="Q205" s="95">
        <f>O205/'סכום נכסי הקרן'!$C$42</f>
        <v>7.1092805872943141E-5</v>
      </c>
    </row>
    <row r="206" spans="2:17" s="132" customFormat="1">
      <c r="B206" s="87" t="s">
        <v>3083</v>
      </c>
      <c r="C206" s="97" t="s">
        <v>2830</v>
      </c>
      <c r="D206" s="84">
        <v>90839518</v>
      </c>
      <c r="E206" s="84"/>
      <c r="F206" s="84" t="s">
        <v>669</v>
      </c>
      <c r="G206" s="107">
        <v>42439</v>
      </c>
      <c r="H206" s="84" t="s">
        <v>168</v>
      </c>
      <c r="I206" s="94">
        <v>8</v>
      </c>
      <c r="J206" s="97" t="s">
        <v>170</v>
      </c>
      <c r="K206" s="98">
        <v>4.4999999999999998E-2</v>
      </c>
      <c r="L206" s="98">
        <v>1.2699999999999996E-2</v>
      </c>
      <c r="M206" s="94">
        <v>3765628.24</v>
      </c>
      <c r="N206" s="96">
        <v>131.61000000000001</v>
      </c>
      <c r="O206" s="94">
        <v>4955.9431100000002</v>
      </c>
      <c r="P206" s="95">
        <f t="shared" si="4"/>
        <v>1.0029900841330313E-3</v>
      </c>
      <c r="Q206" s="95">
        <f>O206/'סכום נכסי הקרן'!$C$42</f>
        <v>8.5291323597343265E-5</v>
      </c>
    </row>
    <row r="207" spans="2:17" s="132" customFormat="1">
      <c r="B207" s="87" t="s">
        <v>3083</v>
      </c>
      <c r="C207" s="97" t="s">
        <v>2830</v>
      </c>
      <c r="D207" s="84">
        <v>90839519</v>
      </c>
      <c r="E207" s="84"/>
      <c r="F207" s="84" t="s">
        <v>669</v>
      </c>
      <c r="G207" s="107">
        <v>42549</v>
      </c>
      <c r="H207" s="84" t="s">
        <v>168</v>
      </c>
      <c r="I207" s="94">
        <v>7.9800000000000013</v>
      </c>
      <c r="J207" s="97" t="s">
        <v>170</v>
      </c>
      <c r="K207" s="98">
        <v>4.4999999999999998E-2</v>
      </c>
      <c r="L207" s="98">
        <v>1.3399999999999999E-2</v>
      </c>
      <c r="M207" s="94">
        <v>2648698.98</v>
      </c>
      <c r="N207" s="96">
        <v>130.59</v>
      </c>
      <c r="O207" s="94">
        <v>3458.9358999999999</v>
      </c>
      <c r="P207" s="95">
        <f t="shared" si="4"/>
        <v>7.0002385668058284E-4</v>
      </c>
      <c r="Q207" s="95">
        <f>O207/'סכום נכסי הקרן'!$C$42</f>
        <v>5.952796765444867E-5</v>
      </c>
    </row>
    <row r="208" spans="2:17" s="132" customFormat="1">
      <c r="B208" s="87" t="s">
        <v>3083</v>
      </c>
      <c r="C208" s="97" t="s">
        <v>2830</v>
      </c>
      <c r="D208" s="84">
        <v>90839520</v>
      </c>
      <c r="E208" s="84"/>
      <c r="F208" s="84" t="s">
        <v>669</v>
      </c>
      <c r="G208" s="107">
        <v>42604</v>
      </c>
      <c r="H208" s="84" t="s">
        <v>168</v>
      </c>
      <c r="I208" s="94">
        <v>7.92</v>
      </c>
      <c r="J208" s="97" t="s">
        <v>170</v>
      </c>
      <c r="K208" s="98">
        <v>4.4999999999999998E-2</v>
      </c>
      <c r="L208" s="98">
        <v>1.6900000000000005E-2</v>
      </c>
      <c r="M208" s="94">
        <v>3463634.88</v>
      </c>
      <c r="N208" s="96">
        <v>126.11</v>
      </c>
      <c r="O208" s="94">
        <v>4367.9899699999996</v>
      </c>
      <c r="P208" s="95">
        <f t="shared" si="4"/>
        <v>8.8399937817335765E-4</v>
      </c>
      <c r="Q208" s="95">
        <f>O208/'סכום נכסי הקרן'!$C$42</f>
        <v>7.517270431323003E-5</v>
      </c>
    </row>
    <row r="209" spans="2:17" s="132" customFormat="1">
      <c r="B209" s="87" t="s">
        <v>3100</v>
      </c>
      <c r="C209" s="97" t="s">
        <v>2830</v>
      </c>
      <c r="D209" s="84">
        <v>84666732</v>
      </c>
      <c r="E209" s="84"/>
      <c r="F209" s="84" t="s">
        <v>669</v>
      </c>
      <c r="G209" s="107">
        <v>43552</v>
      </c>
      <c r="H209" s="84" t="s">
        <v>168</v>
      </c>
      <c r="I209" s="94">
        <v>6.8299999999999992</v>
      </c>
      <c r="J209" s="97" t="s">
        <v>170</v>
      </c>
      <c r="K209" s="98">
        <v>3.5499999999999997E-2</v>
      </c>
      <c r="L209" s="98">
        <v>3.0199999999999994E-2</v>
      </c>
      <c r="M209" s="94">
        <v>46160427.229999997</v>
      </c>
      <c r="N209" s="96">
        <v>103.88</v>
      </c>
      <c r="O209" s="94">
        <v>47951.451810000006</v>
      </c>
      <c r="P209" s="95">
        <f t="shared" si="4"/>
        <v>9.7044759428670888E-3</v>
      </c>
      <c r="Q209" s="95">
        <f>O209/'סכום נכסי הקרן'!$C$42</f>
        <v>8.2524006077404745E-4</v>
      </c>
    </row>
    <row r="210" spans="2:17" s="132" customFormat="1">
      <c r="B210" s="87" t="s">
        <v>3096</v>
      </c>
      <c r="C210" s="97" t="s">
        <v>2830</v>
      </c>
      <c r="D210" s="84">
        <v>90320004</v>
      </c>
      <c r="E210" s="84"/>
      <c r="F210" s="84" t="s">
        <v>669</v>
      </c>
      <c r="G210" s="107">
        <v>43321</v>
      </c>
      <c r="H210" s="84" t="s">
        <v>168</v>
      </c>
      <c r="I210" s="94">
        <v>0.10999999999999999</v>
      </c>
      <c r="J210" s="97" t="s">
        <v>170</v>
      </c>
      <c r="K210" s="98">
        <v>2.75E-2</v>
      </c>
      <c r="L210" s="98">
        <v>1.8899999999999997E-2</v>
      </c>
      <c r="M210" s="94">
        <v>1316609.96</v>
      </c>
      <c r="N210" s="96">
        <v>100.26</v>
      </c>
      <c r="O210" s="94">
        <v>1320.0331100000001</v>
      </c>
      <c r="P210" s="95">
        <f t="shared" si="4"/>
        <v>2.6714998349875872E-4</v>
      </c>
      <c r="Q210" s="95">
        <f>O210/'סכום נכסי הקרן'!$C$42</f>
        <v>2.2717648012754814E-5</v>
      </c>
    </row>
    <row r="211" spans="2:17" s="132" customFormat="1">
      <c r="B211" s="131" t="s">
        <v>3096</v>
      </c>
      <c r="C211" s="97" t="s">
        <v>2830</v>
      </c>
      <c r="D211" s="84">
        <v>90310010</v>
      </c>
      <c r="E211" s="84"/>
      <c r="F211" s="84" t="s">
        <v>669</v>
      </c>
      <c r="G211" s="107">
        <v>43779</v>
      </c>
      <c r="H211" s="84" t="s">
        <v>168</v>
      </c>
      <c r="I211" s="94">
        <v>8.9099999999999984</v>
      </c>
      <c r="J211" s="97" t="s">
        <v>170</v>
      </c>
      <c r="K211" s="98">
        <v>2.7243E-2</v>
      </c>
      <c r="L211" s="98">
        <v>2.4700000000000003E-2</v>
      </c>
      <c r="M211" s="94">
        <v>4544696.6900000004</v>
      </c>
      <c r="N211" s="96">
        <v>101.38</v>
      </c>
      <c r="O211" s="94">
        <v>4607.4134800000002</v>
      </c>
      <c r="P211" s="95">
        <f t="shared" si="4"/>
        <v>9.3245421332951149E-4</v>
      </c>
      <c r="Q211" s="95">
        <f>O211/'סכום נכסי הקרן'!$C$42</f>
        <v>7.9293160826747551E-5</v>
      </c>
    </row>
    <row r="212" spans="2:17" s="132" customFormat="1">
      <c r="B212" s="87" t="s">
        <v>3096</v>
      </c>
      <c r="C212" s="97" t="s">
        <v>2830</v>
      </c>
      <c r="D212" s="84">
        <v>90310002</v>
      </c>
      <c r="E212" s="84"/>
      <c r="F212" s="84" t="s">
        <v>669</v>
      </c>
      <c r="G212" s="107">
        <v>43227</v>
      </c>
      <c r="H212" s="84" t="s">
        <v>168</v>
      </c>
      <c r="I212" s="94">
        <v>9.0699999999999985</v>
      </c>
      <c r="J212" s="97" t="s">
        <v>170</v>
      </c>
      <c r="K212" s="98">
        <v>2.9805999999999999E-2</v>
      </c>
      <c r="L212" s="98">
        <v>1.6E-2</v>
      </c>
      <c r="M212" s="94">
        <v>1494845.27</v>
      </c>
      <c r="N212" s="96">
        <v>113.98</v>
      </c>
      <c r="O212" s="94">
        <v>1703.82474</v>
      </c>
      <c r="P212" s="95">
        <f t="shared" si="4"/>
        <v>3.4482222281210568E-4</v>
      </c>
      <c r="Q212" s="95">
        <f>O212/'סכום נכסי הקרן'!$C$42</f>
        <v>2.9322666549434877E-5</v>
      </c>
    </row>
    <row r="213" spans="2:17" s="132" customFormat="1">
      <c r="B213" s="87" t="s">
        <v>3096</v>
      </c>
      <c r="C213" s="97" t="s">
        <v>2830</v>
      </c>
      <c r="D213" s="84">
        <v>90310003</v>
      </c>
      <c r="E213" s="84"/>
      <c r="F213" s="84" t="s">
        <v>669</v>
      </c>
      <c r="G213" s="107">
        <v>43279</v>
      </c>
      <c r="H213" s="84" t="s">
        <v>168</v>
      </c>
      <c r="I213" s="94">
        <v>9.1</v>
      </c>
      <c r="J213" s="97" t="s">
        <v>170</v>
      </c>
      <c r="K213" s="98">
        <v>2.9796999999999997E-2</v>
      </c>
      <c r="L213" s="98">
        <v>1.52E-2</v>
      </c>
      <c r="M213" s="94">
        <v>1748267.55</v>
      </c>
      <c r="N213" s="96">
        <v>113.83</v>
      </c>
      <c r="O213" s="94">
        <v>1990.0529299999998</v>
      </c>
      <c r="P213" s="95">
        <f t="shared" si="4"/>
        <v>4.027494487703845E-4</v>
      </c>
      <c r="Q213" s="95">
        <f>O213/'סכום נכסי הקרן'!$C$42</f>
        <v>3.424862728669843E-5</v>
      </c>
    </row>
    <row r="214" spans="2:17" s="132" customFormat="1">
      <c r="B214" s="87" t="s">
        <v>3096</v>
      </c>
      <c r="C214" s="97" t="s">
        <v>2830</v>
      </c>
      <c r="D214" s="84">
        <v>90310004</v>
      </c>
      <c r="E214" s="84"/>
      <c r="F214" s="84" t="s">
        <v>669</v>
      </c>
      <c r="G214" s="107">
        <v>43321</v>
      </c>
      <c r="H214" s="84" t="s">
        <v>168</v>
      </c>
      <c r="I214" s="94">
        <v>9.1</v>
      </c>
      <c r="J214" s="97" t="s">
        <v>170</v>
      </c>
      <c r="K214" s="98">
        <v>3.0529000000000001E-2</v>
      </c>
      <c r="L214" s="98">
        <v>1.4600000000000002E-2</v>
      </c>
      <c r="M214" s="94">
        <v>9793543.7400000002</v>
      </c>
      <c r="N214" s="96">
        <v>114.97</v>
      </c>
      <c r="O214" s="94">
        <v>11259.636789999999</v>
      </c>
      <c r="P214" s="95">
        <f t="shared" si="4"/>
        <v>2.278739646652133E-3</v>
      </c>
      <c r="Q214" s="95">
        <f>O214/'סכום נכסי הקרן'!$C$42</f>
        <v>1.9377731013632261E-4</v>
      </c>
    </row>
    <row r="215" spans="2:17" s="132" customFormat="1">
      <c r="B215" s="87" t="s">
        <v>3096</v>
      </c>
      <c r="C215" s="97" t="s">
        <v>2830</v>
      </c>
      <c r="D215" s="84">
        <v>90310001</v>
      </c>
      <c r="E215" s="84"/>
      <c r="F215" s="84" t="s">
        <v>669</v>
      </c>
      <c r="G215" s="107">
        <v>43138</v>
      </c>
      <c r="H215" s="84" t="s">
        <v>168</v>
      </c>
      <c r="I215" s="94">
        <v>9.0399999999999991</v>
      </c>
      <c r="J215" s="97" t="s">
        <v>170</v>
      </c>
      <c r="K215" s="98">
        <v>2.8243000000000001E-2</v>
      </c>
      <c r="L215" s="98">
        <v>1.84E-2</v>
      </c>
      <c r="M215" s="94">
        <v>9372905.9299999997</v>
      </c>
      <c r="N215" s="96">
        <v>109.97</v>
      </c>
      <c r="O215" s="94">
        <v>10307.38473</v>
      </c>
      <c r="P215" s="95">
        <f t="shared" si="4"/>
        <v>2.0860216608770193E-3</v>
      </c>
      <c r="Q215" s="95">
        <f>O215/'סכום נכסי הקרן'!$C$42</f>
        <v>1.7738914005587618E-4</v>
      </c>
    </row>
    <row r="216" spans="2:17" s="132" customFormat="1">
      <c r="B216" s="87" t="s">
        <v>3096</v>
      </c>
      <c r="C216" s="97" t="s">
        <v>2830</v>
      </c>
      <c r="D216" s="84">
        <v>90310005</v>
      </c>
      <c r="E216" s="84"/>
      <c r="F216" s="84" t="s">
        <v>669</v>
      </c>
      <c r="G216" s="107">
        <v>43417</v>
      </c>
      <c r="H216" s="84" t="s">
        <v>168</v>
      </c>
      <c r="I216" s="94">
        <v>9.01</v>
      </c>
      <c r="J216" s="97" t="s">
        <v>170</v>
      </c>
      <c r="K216" s="98">
        <v>3.2797E-2</v>
      </c>
      <c r="L216" s="98">
        <v>1.5600000000000001E-2</v>
      </c>
      <c r="M216" s="94">
        <v>11150393.880000001</v>
      </c>
      <c r="N216" s="96">
        <v>115.93</v>
      </c>
      <c r="O216" s="94">
        <v>12926.65173</v>
      </c>
      <c r="P216" s="95">
        <f t="shared" si="4"/>
        <v>2.6161122552173714E-3</v>
      </c>
      <c r="Q216" s="95">
        <f>O216/'סכום נכסי הקרן'!$C$42</f>
        <v>2.2246648342450143E-4</v>
      </c>
    </row>
    <row r="217" spans="2:17" s="132" customFormat="1">
      <c r="B217" s="87" t="s">
        <v>3096</v>
      </c>
      <c r="C217" s="97" t="s">
        <v>2830</v>
      </c>
      <c r="D217" s="84">
        <v>90310006</v>
      </c>
      <c r="E217" s="84"/>
      <c r="F217" s="84" t="s">
        <v>669</v>
      </c>
      <c r="G217" s="107">
        <v>43496</v>
      </c>
      <c r="H217" s="84" t="s">
        <v>168</v>
      </c>
      <c r="I217" s="94">
        <v>9.0899999999999981</v>
      </c>
      <c r="J217" s="97" t="s">
        <v>170</v>
      </c>
      <c r="K217" s="98">
        <v>3.2190999999999997E-2</v>
      </c>
      <c r="L217" s="98">
        <v>1.3499999999999998E-2</v>
      </c>
      <c r="M217" s="94">
        <v>14090735.470000001</v>
      </c>
      <c r="N217" s="96">
        <v>117.92</v>
      </c>
      <c r="O217" s="94">
        <v>16615.795550000003</v>
      </c>
      <c r="P217" s="95">
        <f t="shared" si="4"/>
        <v>3.3627258842024417E-3</v>
      </c>
      <c r="Q217" s="95">
        <f>O217/'סכום נכסי הקרן'!$C$42</f>
        <v>2.8595630813896619E-4</v>
      </c>
    </row>
    <row r="218" spans="2:17" s="132" customFormat="1">
      <c r="B218" s="87" t="s">
        <v>3096</v>
      </c>
      <c r="C218" s="97" t="s">
        <v>2830</v>
      </c>
      <c r="D218" s="84">
        <v>90310008</v>
      </c>
      <c r="E218" s="84"/>
      <c r="F218" s="84" t="s">
        <v>669</v>
      </c>
      <c r="G218" s="107">
        <v>43613</v>
      </c>
      <c r="H218" s="84" t="s">
        <v>168</v>
      </c>
      <c r="I218" s="94">
        <v>9.1300000000000008</v>
      </c>
      <c r="J218" s="97" t="s">
        <v>170</v>
      </c>
      <c r="K218" s="98">
        <v>2.7243E-2</v>
      </c>
      <c r="L218" s="98">
        <v>1.6200000000000003E-2</v>
      </c>
      <c r="M218" s="94">
        <v>3719032.4</v>
      </c>
      <c r="N218" s="96">
        <v>109.69</v>
      </c>
      <c r="O218" s="94">
        <v>4079.4067999999997</v>
      </c>
      <c r="P218" s="95">
        <f t="shared" si="4"/>
        <v>8.2559554836069522E-4</v>
      </c>
      <c r="Q218" s="95">
        <f>O218/'סכום נכסי הקרן'!$C$42</f>
        <v>7.0206214587479904E-5</v>
      </c>
    </row>
    <row r="219" spans="2:17" s="132" customFormat="1">
      <c r="B219" s="87" t="s">
        <v>3096</v>
      </c>
      <c r="C219" s="97" t="s">
        <v>2830</v>
      </c>
      <c r="D219" s="84">
        <v>90310009</v>
      </c>
      <c r="E219" s="84"/>
      <c r="F219" s="84" t="s">
        <v>669</v>
      </c>
      <c r="G219" s="107">
        <v>43677</v>
      </c>
      <c r="H219" s="84" t="s">
        <v>168</v>
      </c>
      <c r="I219" s="94">
        <v>9.0399999999999991</v>
      </c>
      <c r="J219" s="97" t="s">
        <v>170</v>
      </c>
      <c r="K219" s="98">
        <v>2.7243E-2</v>
      </c>
      <c r="L219" s="98">
        <v>1.9199999999999998E-2</v>
      </c>
      <c r="M219" s="94">
        <v>3669215.17</v>
      </c>
      <c r="N219" s="96">
        <v>106.79</v>
      </c>
      <c r="O219" s="94">
        <v>3918.3550399999999</v>
      </c>
      <c r="P219" s="95">
        <f t="shared" si="4"/>
        <v>7.9300168787302459E-4</v>
      </c>
      <c r="Q219" s="95">
        <f>O219/'סכום נכסי הקרן'!$C$42</f>
        <v>6.7434528659454461E-5</v>
      </c>
    </row>
    <row r="220" spans="2:17" s="132" customFormat="1">
      <c r="B220" s="87" t="s">
        <v>3096</v>
      </c>
      <c r="C220" s="97" t="s">
        <v>2830</v>
      </c>
      <c r="D220" s="84">
        <v>90310007</v>
      </c>
      <c r="E220" s="84"/>
      <c r="F220" s="84" t="s">
        <v>669</v>
      </c>
      <c r="G220" s="107">
        <v>43541</v>
      </c>
      <c r="H220" s="84" t="s">
        <v>168</v>
      </c>
      <c r="I220" s="94">
        <v>9.1100000000000012</v>
      </c>
      <c r="J220" s="97" t="s">
        <v>170</v>
      </c>
      <c r="K220" s="98">
        <v>2.9270999999999998E-2</v>
      </c>
      <c r="L220" s="98">
        <v>1.5300000000000001E-2</v>
      </c>
      <c r="M220" s="94">
        <v>1210037.92</v>
      </c>
      <c r="N220" s="96">
        <v>113.23</v>
      </c>
      <c r="O220" s="94">
        <v>1370.1259499999999</v>
      </c>
      <c r="P220" s="95">
        <f t="shared" si="4"/>
        <v>2.7728783631322785E-4</v>
      </c>
      <c r="Q220" s="95">
        <f>O220/'סכום נכסי הקרן'!$C$42</f>
        <v>2.3579741166675206E-5</v>
      </c>
    </row>
    <row r="221" spans="2:17" s="132" customFormat="1">
      <c r="B221" s="87" t="s">
        <v>3097</v>
      </c>
      <c r="C221" s="97" t="s">
        <v>2830</v>
      </c>
      <c r="D221" s="84">
        <v>90145362</v>
      </c>
      <c r="E221" s="84"/>
      <c r="F221" s="154" t="s">
        <v>669</v>
      </c>
      <c r="G221" s="153">
        <v>43831</v>
      </c>
      <c r="H221" s="84" t="s">
        <v>168</v>
      </c>
      <c r="I221" s="94">
        <v>6.9099999999999984</v>
      </c>
      <c r="J221" s="97" t="s">
        <v>170</v>
      </c>
      <c r="K221" s="98">
        <v>2.8999999999999998E-2</v>
      </c>
      <c r="L221" s="98">
        <v>1.15E-2</v>
      </c>
      <c r="M221" s="94">
        <v>56024479.219999999</v>
      </c>
      <c r="N221" s="96">
        <v>115.44</v>
      </c>
      <c r="O221" s="94">
        <v>64674.659340000006</v>
      </c>
      <c r="P221" s="95">
        <f t="shared" si="4"/>
        <v>1.3088940000504109E-2</v>
      </c>
      <c r="Q221" s="95">
        <f>O221/'סכום נכסי הקרן'!$C$42</f>
        <v>1.1130449191770241E-3</v>
      </c>
    </row>
    <row r="222" spans="2:17" s="132" customFormat="1">
      <c r="B222" s="87" t="s">
        <v>3098</v>
      </c>
      <c r="C222" s="97" t="s">
        <v>2825</v>
      </c>
      <c r="D222" s="84">
        <v>90141407</v>
      </c>
      <c r="E222" s="84"/>
      <c r="F222" s="84" t="s">
        <v>2834</v>
      </c>
      <c r="G222" s="107">
        <v>42372</v>
      </c>
      <c r="H222" s="84" t="s">
        <v>168</v>
      </c>
      <c r="I222" s="94">
        <v>9.64</v>
      </c>
      <c r="J222" s="97" t="s">
        <v>170</v>
      </c>
      <c r="K222" s="98">
        <v>6.7000000000000004E-2</v>
      </c>
      <c r="L222" s="98">
        <v>2.0400000000000001E-2</v>
      </c>
      <c r="M222" s="94">
        <v>21099797.07</v>
      </c>
      <c r="N222" s="96">
        <v>151.85</v>
      </c>
      <c r="O222" s="94">
        <v>32040.043269999998</v>
      </c>
      <c r="P222" s="95">
        <f t="shared" si="4"/>
        <v>6.4843047996576498E-3</v>
      </c>
      <c r="Q222" s="95">
        <f>O222/'סכום נכסי הקרן'!$C$42</f>
        <v>5.5140618807758069E-4</v>
      </c>
    </row>
    <row r="223" spans="2:17" s="132" customFormat="1">
      <c r="B223" s="87" t="s">
        <v>3099</v>
      </c>
      <c r="C223" s="97" t="s">
        <v>2830</v>
      </c>
      <c r="D223" s="84">
        <v>90800100</v>
      </c>
      <c r="E223" s="84"/>
      <c r="F223" s="84" t="s">
        <v>2835</v>
      </c>
      <c r="G223" s="107">
        <v>41529</v>
      </c>
      <c r="H223" s="84" t="s">
        <v>2781</v>
      </c>
      <c r="I223" s="94">
        <v>2.82</v>
      </c>
      <c r="J223" s="97" t="s">
        <v>170</v>
      </c>
      <c r="K223" s="98">
        <v>7.6999999999999999E-2</v>
      </c>
      <c r="L223" s="98">
        <v>0</v>
      </c>
      <c r="M223" s="94">
        <v>30918998.09</v>
      </c>
      <c r="N223" s="96">
        <v>0</v>
      </c>
      <c r="O223" s="96">
        <v>0</v>
      </c>
      <c r="P223" s="95">
        <f t="shared" si="4"/>
        <v>0</v>
      </c>
      <c r="Q223" s="95">
        <f>O223/'סכום נכסי הקרן'!$C$42</f>
        <v>0</v>
      </c>
    </row>
    <row r="224" spans="2:17" s="132" customFormat="1">
      <c r="B224" s="87" t="s">
        <v>3137</v>
      </c>
      <c r="C224" s="97" t="s">
        <v>2830</v>
      </c>
      <c r="D224" s="84">
        <v>9912270</v>
      </c>
      <c r="E224" s="84"/>
      <c r="F224" s="84" t="s">
        <v>942</v>
      </c>
      <c r="G224" s="107">
        <v>43803</v>
      </c>
      <c r="H224" s="84"/>
      <c r="I224" s="94">
        <v>7</v>
      </c>
      <c r="J224" s="97" t="s">
        <v>171</v>
      </c>
      <c r="K224" s="98">
        <v>2.3629999999999998E-2</v>
      </c>
      <c r="L224" s="98">
        <v>2.5900000000000003E-2</v>
      </c>
      <c r="M224" s="94">
        <v>25094311.460000001</v>
      </c>
      <c r="N224" s="96">
        <v>99.04</v>
      </c>
      <c r="O224" s="94">
        <v>96386.476159999991</v>
      </c>
      <c r="P224" s="95">
        <f t="shared" si="4"/>
        <v>1.9506817912807881E-2</v>
      </c>
      <c r="Q224" s="95">
        <f>O224/'סכום נכסי הקרן'!$C$42</f>
        <v>1.6588023603382668E-3</v>
      </c>
    </row>
    <row r="225" spans="2:17" s="132" customFormat="1">
      <c r="B225" s="87" t="s">
        <v>3136</v>
      </c>
      <c r="C225" s="97" t="s">
        <v>2825</v>
      </c>
      <c r="D225" s="84">
        <v>7202</v>
      </c>
      <c r="E225" s="84"/>
      <c r="F225" s="84" t="s">
        <v>942</v>
      </c>
      <c r="G225" s="155">
        <v>43734</v>
      </c>
      <c r="H225" s="84"/>
      <c r="I225" s="94">
        <v>2.2799999999999998</v>
      </c>
      <c r="J225" s="97" t="s">
        <v>170</v>
      </c>
      <c r="K225" s="98">
        <v>2.2499999999999999E-2</v>
      </c>
      <c r="L225" s="98">
        <v>1.9900000000000001E-2</v>
      </c>
      <c r="M225" s="94">
        <v>12020470.91</v>
      </c>
      <c r="N225" s="96">
        <v>100.63</v>
      </c>
      <c r="O225" s="94">
        <v>12096.200409999999</v>
      </c>
      <c r="P225" s="95">
        <f t="shared" si="4"/>
        <v>2.4480444584675442E-3</v>
      </c>
      <c r="Q225" s="95">
        <f>O225/'סכום נכסי הקרן'!$C$42</f>
        <v>2.0817449283989586E-4</v>
      </c>
    </row>
    <row r="226" spans="2:17" s="132" customFormat="1">
      <c r="B226" s="87" t="s">
        <v>3136</v>
      </c>
      <c r="C226" s="97" t="s">
        <v>2825</v>
      </c>
      <c r="D226" s="84">
        <v>7203</v>
      </c>
      <c r="E226" s="84"/>
      <c r="F226" s="84" t="s">
        <v>942</v>
      </c>
      <c r="G226" s="155">
        <v>43734</v>
      </c>
      <c r="H226" s="84"/>
      <c r="I226" s="94">
        <v>0.42</v>
      </c>
      <c r="J226" s="97" t="s">
        <v>170</v>
      </c>
      <c r="K226" s="98">
        <v>0.02</v>
      </c>
      <c r="L226" s="98">
        <v>1.6200000000000003E-2</v>
      </c>
      <c r="M226" s="94">
        <v>4022859.84</v>
      </c>
      <c r="N226" s="96">
        <v>100.16</v>
      </c>
      <c r="O226" s="94">
        <v>4029.29639</v>
      </c>
      <c r="P226" s="95">
        <f t="shared" si="4"/>
        <v>8.1545413970722904E-4</v>
      </c>
      <c r="Q226" s="95">
        <f>O226/'סכום נכסי הקרן'!$C$42</f>
        <v>6.9343819055480845E-5</v>
      </c>
    </row>
    <row r="227" spans="2:17" s="132" customFormat="1">
      <c r="B227" s="87" t="s">
        <v>3136</v>
      </c>
      <c r="C227" s="97" t="s">
        <v>2825</v>
      </c>
      <c r="D227" s="84">
        <v>7250</v>
      </c>
      <c r="E227" s="84"/>
      <c r="F227" s="84" t="s">
        <v>942</v>
      </c>
      <c r="G227" s="107">
        <v>43768</v>
      </c>
      <c r="H227" s="84"/>
      <c r="I227" s="94">
        <v>2.2799999999999998</v>
      </c>
      <c r="J227" s="97" t="s">
        <v>170</v>
      </c>
      <c r="K227" s="98">
        <v>2.2499999999999999E-2</v>
      </c>
      <c r="L227" s="98">
        <v>2.1899999999999999E-2</v>
      </c>
      <c r="M227" s="94">
        <v>6411302.04</v>
      </c>
      <c r="N227" s="96">
        <v>100.17</v>
      </c>
      <c r="O227" s="94">
        <v>6422.20154</v>
      </c>
      <c r="P227" s="95">
        <f t="shared" si="4"/>
        <v>1.2997333342924275E-3</v>
      </c>
      <c r="Q227" s="95">
        <f>O227/'סכום נכסי הקרן'!$C$42</f>
        <v>1.1052549587388146E-4</v>
      </c>
    </row>
    <row r="228" spans="2:17" s="132" customFormat="1">
      <c r="B228" s="87" t="s">
        <v>3136</v>
      </c>
      <c r="C228" s="97" t="s">
        <v>2825</v>
      </c>
      <c r="D228" s="84">
        <v>7251</v>
      </c>
      <c r="E228" s="84"/>
      <c r="F228" s="84" t="s">
        <v>942</v>
      </c>
      <c r="G228" s="107">
        <v>43768</v>
      </c>
      <c r="H228" s="84"/>
      <c r="I228" s="94">
        <v>0.42000000000000004</v>
      </c>
      <c r="J228" s="97" t="s">
        <v>170</v>
      </c>
      <c r="K228" s="98">
        <v>0.02</v>
      </c>
      <c r="L228" s="98">
        <v>2.23E-2</v>
      </c>
      <c r="M228" s="94">
        <v>2461636.9500000002</v>
      </c>
      <c r="N228" s="96">
        <v>99.91</v>
      </c>
      <c r="O228" s="94">
        <v>2459.42146</v>
      </c>
      <c r="P228" s="95">
        <f t="shared" ref="P228:P229" si="5">O228/$O$10</f>
        <v>4.9774085019389628E-4</v>
      </c>
      <c r="Q228" s="95">
        <f>O228/'סכום נכסי הקרן'!$C$42</f>
        <v>4.2326416375491934E-5</v>
      </c>
    </row>
    <row r="229" spans="2:17" s="132" customFormat="1">
      <c r="B229" s="87" t="s">
        <v>3101</v>
      </c>
      <c r="C229" s="97" t="s">
        <v>2825</v>
      </c>
      <c r="D229" s="84">
        <v>6718</v>
      </c>
      <c r="E229" s="84"/>
      <c r="F229" s="84" t="s">
        <v>942</v>
      </c>
      <c r="G229" s="107">
        <v>43482</v>
      </c>
      <c r="H229" s="84"/>
      <c r="I229" s="94">
        <v>3.71</v>
      </c>
      <c r="J229" s="97" t="s">
        <v>170</v>
      </c>
      <c r="K229" s="98">
        <v>4.1239999999999999E-2</v>
      </c>
      <c r="L229" s="98">
        <v>1.9199999999999998E-2</v>
      </c>
      <c r="M229" s="94">
        <v>64205895.450000003</v>
      </c>
      <c r="N229" s="96">
        <v>108.36</v>
      </c>
      <c r="O229" s="94">
        <v>69573.511169999998</v>
      </c>
      <c r="P229" s="95">
        <f t="shared" si="5"/>
        <v>1.408037587861429E-2</v>
      </c>
      <c r="Q229" s="95">
        <f>O229/'סכום נכסי הקרן'!$C$42</f>
        <v>1.1973537071138505E-3</v>
      </c>
    </row>
    <row r="230" spans="2:17" s="132" customFormat="1">
      <c r="B230" s="83"/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94"/>
      <c r="N230" s="96"/>
      <c r="O230" s="84"/>
      <c r="P230" s="95"/>
      <c r="Q230" s="84"/>
    </row>
    <row r="231" spans="2:17" s="132" customFormat="1">
      <c r="B231" s="81" t="s">
        <v>42</v>
      </c>
      <c r="C231" s="82"/>
      <c r="D231" s="82"/>
      <c r="E231" s="82"/>
      <c r="F231" s="82"/>
      <c r="G231" s="82"/>
      <c r="H231" s="82"/>
      <c r="I231" s="91">
        <v>4.3543151899898529</v>
      </c>
      <c r="J231" s="82"/>
      <c r="K231" s="82"/>
      <c r="L231" s="104">
        <v>4.016319899991961E-2</v>
      </c>
      <c r="M231" s="91"/>
      <c r="N231" s="93"/>
      <c r="O231" s="91">
        <f>O232</f>
        <v>1966866.1940400004</v>
      </c>
      <c r="P231" s="92">
        <f t="shared" ref="P231:P292" si="6">O231/$O$10</f>
        <v>0.39805688758977603</v>
      </c>
      <c r="Q231" s="92">
        <f>O231/'סכום נכסי הקרן'!$C$42</f>
        <v>3.3849585700458255E-2</v>
      </c>
    </row>
    <row r="232" spans="2:17" s="132" customFormat="1">
      <c r="B232" s="102" t="s">
        <v>40</v>
      </c>
      <c r="C232" s="82"/>
      <c r="D232" s="82"/>
      <c r="E232" s="82"/>
      <c r="F232" s="82"/>
      <c r="G232" s="82"/>
      <c r="H232" s="82"/>
      <c r="I232" s="91">
        <v>4.3543151899898529</v>
      </c>
      <c r="J232" s="82"/>
      <c r="K232" s="82"/>
      <c r="L232" s="104">
        <v>4.016319899991961E-2</v>
      </c>
      <c r="M232" s="91"/>
      <c r="N232" s="93"/>
      <c r="O232" s="91">
        <f>SUM(O233:O351)</f>
        <v>1966866.1940400004</v>
      </c>
      <c r="P232" s="92">
        <f t="shared" si="6"/>
        <v>0.39805688758977603</v>
      </c>
      <c r="Q232" s="92">
        <f>O232/'סכום נכסי הקרן'!$C$42</f>
        <v>3.3849585700458255E-2</v>
      </c>
    </row>
    <row r="233" spans="2:17" s="132" customFormat="1">
      <c r="B233" s="87" t="s">
        <v>3102</v>
      </c>
      <c r="C233" s="97" t="s">
        <v>2825</v>
      </c>
      <c r="D233" s="84">
        <v>508506</v>
      </c>
      <c r="E233" s="84"/>
      <c r="F233" s="84" t="s">
        <v>1785</v>
      </c>
      <c r="G233" s="107">
        <v>43754</v>
      </c>
      <c r="H233" s="84" t="s">
        <v>361</v>
      </c>
      <c r="I233" s="94">
        <v>5.73</v>
      </c>
      <c r="J233" s="97" t="s">
        <v>169</v>
      </c>
      <c r="K233" s="98">
        <v>4.8000000000000001E-2</v>
      </c>
      <c r="L233" s="98">
        <v>3.2600000000000004E-2</v>
      </c>
      <c r="M233" s="94">
        <v>26145069</v>
      </c>
      <c r="N233" s="96">
        <v>110.59</v>
      </c>
      <c r="O233" s="94">
        <v>99926.206330000001</v>
      </c>
      <c r="P233" s="95">
        <f t="shared" si="6"/>
        <v>2.0223193016842628E-2</v>
      </c>
      <c r="Q233" s="95">
        <f>O233/'סכום נכסי הקרן'!$C$42</f>
        <v>1.7197207899238619E-3</v>
      </c>
    </row>
    <row r="234" spans="2:17" s="132" customFormat="1">
      <c r="B234" s="87" t="s">
        <v>3102</v>
      </c>
      <c r="C234" s="97" t="s">
        <v>2825</v>
      </c>
      <c r="D234" s="84">
        <v>6831</v>
      </c>
      <c r="E234" s="84"/>
      <c r="F234" s="84" t="s">
        <v>1785</v>
      </c>
      <c r="G234" s="107">
        <v>43754</v>
      </c>
      <c r="H234" s="84" t="s">
        <v>361</v>
      </c>
      <c r="I234" s="94">
        <v>5.7200000000000006</v>
      </c>
      <c r="J234" s="97" t="s">
        <v>169</v>
      </c>
      <c r="K234" s="98">
        <v>4.5999999999999999E-2</v>
      </c>
      <c r="L234" s="98">
        <v>3.6799999999999999E-2</v>
      </c>
      <c r="M234" s="94">
        <v>11932316.76</v>
      </c>
      <c r="N234" s="96">
        <v>106.85</v>
      </c>
      <c r="O234" s="94">
        <v>44062.893979999993</v>
      </c>
      <c r="P234" s="95">
        <f t="shared" si="6"/>
        <v>8.9175046523375101E-3</v>
      </c>
      <c r="Q234" s="95">
        <f>O234/'סכום נכסי הקרן'!$C$42</f>
        <v>7.5831833934905842E-4</v>
      </c>
    </row>
    <row r="235" spans="2:17" s="132" customFormat="1">
      <c r="B235" s="87" t="s">
        <v>3127</v>
      </c>
      <c r="C235" s="97" t="s">
        <v>2830</v>
      </c>
      <c r="D235" s="84">
        <v>6828</v>
      </c>
      <c r="E235" s="84"/>
      <c r="F235" s="84" t="s">
        <v>960</v>
      </c>
      <c r="G235" s="107">
        <v>43551</v>
      </c>
      <c r="H235" s="84" t="s">
        <v>961</v>
      </c>
      <c r="I235" s="94">
        <v>7.3100000000000005</v>
      </c>
      <c r="J235" s="97" t="s">
        <v>169</v>
      </c>
      <c r="K235" s="98">
        <v>4.9294999999999999E-2</v>
      </c>
      <c r="L235" s="98">
        <v>4.1200000000000001E-2</v>
      </c>
      <c r="M235" s="94">
        <v>18838235.960000001</v>
      </c>
      <c r="N235" s="96">
        <v>107.46</v>
      </c>
      <c r="O235" s="94">
        <v>69961.769840000008</v>
      </c>
      <c r="P235" s="95">
        <f>O235/$O$10</f>
        <v>1.4158952163177146E-2</v>
      </c>
      <c r="Q235" s="95">
        <f>O235/'סכום נכסי הקרן'!$C$42</f>
        <v>1.2040356029967203E-3</v>
      </c>
    </row>
    <row r="236" spans="2:17" s="132" customFormat="1">
      <c r="B236" s="87" t="s">
        <v>3103</v>
      </c>
      <c r="C236" s="97" t="s">
        <v>2830</v>
      </c>
      <c r="D236" s="84">
        <v>67859</v>
      </c>
      <c r="E236" s="84"/>
      <c r="F236" s="145" t="s">
        <v>1012</v>
      </c>
      <c r="G236" s="153">
        <v>43830</v>
      </c>
      <c r="H236" s="84" t="s">
        <v>961</v>
      </c>
      <c r="I236" s="94">
        <v>9.86</v>
      </c>
      <c r="J236" s="97" t="s">
        <v>169</v>
      </c>
      <c r="K236" s="98">
        <v>4.4800000000000006E-2</v>
      </c>
      <c r="L236" s="98">
        <v>4.4299999999999999E-2</v>
      </c>
      <c r="M236" s="94">
        <v>4205216.12</v>
      </c>
      <c r="N236" s="96">
        <v>101.8</v>
      </c>
      <c r="O236" s="94">
        <v>14794.824859999999</v>
      </c>
      <c r="P236" s="95">
        <f t="shared" si="6"/>
        <v>2.9941955146988888E-3</v>
      </c>
      <c r="Q236" s="95">
        <f>O236/'סכום נכסי הקרן'!$C$42</f>
        <v>2.5461757060005446E-4</v>
      </c>
    </row>
    <row r="237" spans="2:17" s="132" customFormat="1">
      <c r="B237" s="87" t="s">
        <v>3104</v>
      </c>
      <c r="C237" s="97" t="s">
        <v>2830</v>
      </c>
      <c r="D237" s="84">
        <v>493038</v>
      </c>
      <c r="E237" s="84"/>
      <c r="F237" s="84" t="s">
        <v>965</v>
      </c>
      <c r="G237" s="107">
        <v>43090</v>
      </c>
      <c r="H237" s="84" t="s">
        <v>932</v>
      </c>
      <c r="I237" s="94">
        <v>1.61</v>
      </c>
      <c r="J237" s="97" t="s">
        <v>169</v>
      </c>
      <c r="K237" s="98">
        <v>4.1210000000000004E-2</v>
      </c>
      <c r="L237" s="98">
        <v>3.0500000000000003E-2</v>
      </c>
      <c r="M237" s="94">
        <v>3964632.19</v>
      </c>
      <c r="N237" s="96">
        <v>102.75</v>
      </c>
      <c r="O237" s="94">
        <v>14078.567949999999</v>
      </c>
      <c r="P237" s="95">
        <f t="shared" si="6"/>
        <v>2.8492385282128663E-3</v>
      </c>
      <c r="Q237" s="95">
        <f>O237/'סכום נכסי הקרן'!$C$42</f>
        <v>2.4229085527388862E-4</v>
      </c>
    </row>
    <row r="238" spans="2:17" s="132" customFormat="1">
      <c r="B238" s="87" t="s">
        <v>3103</v>
      </c>
      <c r="C238" s="97" t="s">
        <v>2830</v>
      </c>
      <c r="D238" s="84">
        <v>6496</v>
      </c>
      <c r="E238" s="84"/>
      <c r="F238" s="84" t="s">
        <v>925</v>
      </c>
      <c r="G238" s="107">
        <v>43343</v>
      </c>
      <c r="H238" s="84" t="s">
        <v>932</v>
      </c>
      <c r="I238" s="94">
        <v>10.599999999999998</v>
      </c>
      <c r="J238" s="97" t="s">
        <v>169</v>
      </c>
      <c r="K238" s="98">
        <v>4.4999999999999998E-2</v>
      </c>
      <c r="L238" s="98">
        <v>4.5099999999999987E-2</v>
      </c>
      <c r="M238" s="94">
        <v>1497012.97</v>
      </c>
      <c r="N238" s="96">
        <v>100.82</v>
      </c>
      <c r="O238" s="94">
        <v>5216.1009800000002</v>
      </c>
      <c r="P238" s="95">
        <f t="shared" si="6"/>
        <v>1.0556411654968709E-3</v>
      </c>
      <c r="Q238" s="95">
        <f>O238/'סכום נכסי הקרן'!$C$42</f>
        <v>8.976861653313032E-5</v>
      </c>
    </row>
    <row r="239" spans="2:17" s="132" customFormat="1">
      <c r="B239" s="87" t="s">
        <v>3103</v>
      </c>
      <c r="C239" s="97" t="s">
        <v>2830</v>
      </c>
      <c r="D239" s="84">
        <v>66624</v>
      </c>
      <c r="E239" s="84"/>
      <c r="F239" s="84" t="s">
        <v>925</v>
      </c>
      <c r="G239" s="107">
        <v>43434</v>
      </c>
      <c r="H239" s="84" t="s">
        <v>932</v>
      </c>
      <c r="I239" s="94">
        <v>10.600000000000001</v>
      </c>
      <c r="J239" s="97" t="s">
        <v>169</v>
      </c>
      <c r="K239" s="98">
        <v>4.4999999999999998E-2</v>
      </c>
      <c r="L239" s="98">
        <v>4.5100000000000001E-2</v>
      </c>
      <c r="M239" s="94">
        <v>1368509.61</v>
      </c>
      <c r="N239" s="96">
        <v>100.82</v>
      </c>
      <c r="O239" s="94">
        <v>4768.3516399999999</v>
      </c>
      <c r="P239" s="95">
        <f t="shared" si="6"/>
        <v>9.6502508330437175E-4</v>
      </c>
      <c r="Q239" s="95">
        <f>O239/'סכום נכסי הקרן'!$C$42</f>
        <v>8.2062891709255807E-5</v>
      </c>
    </row>
    <row r="240" spans="2:17" s="132" customFormat="1">
      <c r="B240" s="87" t="s">
        <v>3103</v>
      </c>
      <c r="C240" s="97" t="s">
        <v>2830</v>
      </c>
      <c r="D240" s="84">
        <v>6785</v>
      </c>
      <c r="E240" s="84"/>
      <c r="F240" s="84" t="s">
        <v>925</v>
      </c>
      <c r="G240" s="107">
        <v>43524</v>
      </c>
      <c r="H240" s="84" t="s">
        <v>932</v>
      </c>
      <c r="I240" s="94">
        <v>10.6</v>
      </c>
      <c r="J240" s="97" t="s">
        <v>169</v>
      </c>
      <c r="K240" s="98">
        <v>4.4999999999999998E-2</v>
      </c>
      <c r="L240" s="98">
        <v>4.5100000000000001E-2</v>
      </c>
      <c r="M240" s="94">
        <v>1297933.43</v>
      </c>
      <c r="N240" s="96">
        <v>100.82</v>
      </c>
      <c r="O240" s="94">
        <v>4522.44031</v>
      </c>
      <c r="P240" s="95">
        <f t="shared" si="6"/>
        <v>9.1525723486634452E-4</v>
      </c>
      <c r="Q240" s="95">
        <f>O240/'סכום נכסי הקרן'!$C$42</f>
        <v>7.7830780412222969E-5</v>
      </c>
    </row>
    <row r="241" spans="2:17" s="132" customFormat="1">
      <c r="B241" s="87" t="s">
        <v>3103</v>
      </c>
      <c r="C241" s="97" t="s">
        <v>2830</v>
      </c>
      <c r="D241" s="84">
        <v>6484</v>
      </c>
      <c r="E241" s="84"/>
      <c r="F241" s="84" t="s">
        <v>925</v>
      </c>
      <c r="G241" s="107">
        <v>43336</v>
      </c>
      <c r="H241" s="84" t="s">
        <v>932</v>
      </c>
      <c r="I241" s="94">
        <v>10.6</v>
      </c>
      <c r="J241" s="97" t="s">
        <v>169</v>
      </c>
      <c r="K241" s="98">
        <v>4.4999999999999998E-2</v>
      </c>
      <c r="L241" s="98">
        <v>4.5100000000000008E-2</v>
      </c>
      <c r="M241" s="94">
        <v>7746160.8499999996</v>
      </c>
      <c r="N241" s="96">
        <v>100.82</v>
      </c>
      <c r="O241" s="94">
        <v>26990.251899999999</v>
      </c>
      <c r="P241" s="95">
        <f t="shared" si="6"/>
        <v>5.462321585033833E-3</v>
      </c>
      <c r="Q241" s="95">
        <f>O241/'סכום נכסי הקרן'!$C$42</f>
        <v>4.6449974458579059E-4</v>
      </c>
    </row>
    <row r="242" spans="2:17" s="132" customFormat="1">
      <c r="B242" s="87" t="s">
        <v>3132</v>
      </c>
      <c r="C242" s="97" t="s">
        <v>2830</v>
      </c>
      <c r="D242" s="84">
        <v>535150</v>
      </c>
      <c r="E242" s="84"/>
      <c r="F242" s="84" t="s">
        <v>925</v>
      </c>
      <c r="G242" s="107">
        <v>43496</v>
      </c>
      <c r="H242" s="84" t="s">
        <v>926</v>
      </c>
      <c r="I242" s="94">
        <v>8.620000000000001</v>
      </c>
      <c r="J242" s="97" t="s">
        <v>169</v>
      </c>
      <c r="K242" s="98">
        <v>5.3899999999999997E-2</v>
      </c>
      <c r="L242" s="98">
        <v>3.8200000000000005E-2</v>
      </c>
      <c r="M242" s="94">
        <v>23380193.969999999</v>
      </c>
      <c r="N242" s="96">
        <v>115.53</v>
      </c>
      <c r="O242" s="94">
        <v>93350.493239999996</v>
      </c>
      <c r="P242" s="95">
        <f t="shared" si="6"/>
        <v>1.8892391819374126E-2</v>
      </c>
      <c r="Q242" s="95">
        <f>O242/'סכום נכסי הקרן'!$C$42</f>
        <v>1.6065533744402576E-3</v>
      </c>
    </row>
    <row r="243" spans="2:17" s="132" customFormat="1">
      <c r="B243" s="87" t="s">
        <v>3105</v>
      </c>
      <c r="C243" s="97" t="s">
        <v>2830</v>
      </c>
      <c r="D243" s="84">
        <v>483880</v>
      </c>
      <c r="E243" s="84"/>
      <c r="F243" s="84" t="s">
        <v>925</v>
      </c>
      <c r="G243" s="107">
        <v>43005</v>
      </c>
      <c r="H243" s="84" t="s">
        <v>926</v>
      </c>
      <c r="I243" s="94">
        <v>7.07</v>
      </c>
      <c r="J243" s="97" t="s">
        <v>169</v>
      </c>
      <c r="K243" s="98">
        <v>5.3499999999999999E-2</v>
      </c>
      <c r="L243" s="98">
        <v>4.4400000000000002E-2</v>
      </c>
      <c r="M243" s="94">
        <v>14411317.369999999</v>
      </c>
      <c r="N243" s="96">
        <v>108.16</v>
      </c>
      <c r="O243" s="94">
        <v>53869.643229999994</v>
      </c>
      <c r="P243" s="95">
        <f t="shared" si="6"/>
        <v>1.0902207066592834E-2</v>
      </c>
      <c r="Q243" s="95">
        <f>O243/'סכום נכסי הקרן'!$C$42</f>
        <v>9.270915889919005E-4</v>
      </c>
    </row>
    <row r="244" spans="2:17" s="132" customFormat="1">
      <c r="B244" s="87" t="s">
        <v>3106</v>
      </c>
      <c r="C244" s="97" t="s">
        <v>2830</v>
      </c>
      <c r="D244" s="84">
        <v>4623</v>
      </c>
      <c r="E244" s="84"/>
      <c r="F244" s="84" t="s">
        <v>925</v>
      </c>
      <c r="G244" s="107">
        <v>42354</v>
      </c>
      <c r="H244" s="84" t="s">
        <v>932</v>
      </c>
      <c r="I244" s="94">
        <v>4.76</v>
      </c>
      <c r="J244" s="97" t="s">
        <v>169</v>
      </c>
      <c r="K244" s="98">
        <v>5.0199999999999995E-2</v>
      </c>
      <c r="L244" s="98">
        <v>3.6400000000000002E-2</v>
      </c>
      <c r="M244" s="94">
        <v>5272513</v>
      </c>
      <c r="N244" s="96">
        <v>109.43</v>
      </c>
      <c r="O244" s="94">
        <v>19940.121149999999</v>
      </c>
      <c r="P244" s="95">
        <f t="shared" si="6"/>
        <v>4.0355071367760989E-3</v>
      </c>
      <c r="Q244" s="95">
        <f>O244/'סכום נכסי הקרן'!$C$42</f>
        <v>3.431676449520177E-4</v>
      </c>
    </row>
    <row r="245" spans="2:17" s="132" customFormat="1">
      <c r="B245" s="87" t="s">
        <v>3107</v>
      </c>
      <c r="C245" s="97" t="s">
        <v>2830</v>
      </c>
      <c r="D245" s="84">
        <v>508309</v>
      </c>
      <c r="E245" s="84"/>
      <c r="F245" s="84" t="s">
        <v>925</v>
      </c>
      <c r="G245" s="107">
        <v>43185</v>
      </c>
      <c r="H245" s="84" t="s">
        <v>932</v>
      </c>
      <c r="I245" s="94">
        <v>5.6800000000000006</v>
      </c>
      <c r="J245" s="97" t="s">
        <v>178</v>
      </c>
      <c r="K245" s="98">
        <v>4.2199999999999994E-2</v>
      </c>
      <c r="L245" s="98">
        <v>4.2700000000000002E-2</v>
      </c>
      <c r="M245" s="94">
        <v>8029718.4100000001</v>
      </c>
      <c r="N245" s="96">
        <v>100</v>
      </c>
      <c r="O245" s="94">
        <v>21306.85815</v>
      </c>
      <c r="P245" s="95">
        <f t="shared" si="6"/>
        <v>4.3121091130683019E-3</v>
      </c>
      <c r="Q245" s="95">
        <f>O245/'סכום נכסי הקרן'!$C$42</f>
        <v>3.6668906260191927E-4</v>
      </c>
    </row>
    <row r="246" spans="2:17" s="132" customFormat="1">
      <c r="B246" s="87" t="s">
        <v>3119</v>
      </c>
      <c r="C246" s="97" t="s">
        <v>2830</v>
      </c>
      <c r="D246" s="84">
        <v>487557</v>
      </c>
      <c r="E246" s="84"/>
      <c r="F246" s="154" t="s">
        <v>1136</v>
      </c>
      <c r="G246" s="153">
        <v>43727</v>
      </c>
      <c r="H246" s="154" t="s">
        <v>926</v>
      </c>
      <c r="I246" s="94">
        <v>2.09</v>
      </c>
      <c r="J246" s="97" t="s">
        <v>169</v>
      </c>
      <c r="K246" s="98">
        <v>5.5494000000000002E-2</v>
      </c>
      <c r="L246" s="98">
        <v>5.6899999999999992E-2</v>
      </c>
      <c r="M246" s="94">
        <v>5945712.9400000004</v>
      </c>
      <c r="N246" s="96">
        <v>99.99</v>
      </c>
      <c r="O246" s="94">
        <v>20546.330089999999</v>
      </c>
      <c r="P246" s="95">
        <f>O246/$O$10</f>
        <v>4.1581924748111425E-3</v>
      </c>
      <c r="Q246" s="95">
        <f>O246/'סכום נכסי הקרן'!$C$42</f>
        <v>3.5360044486951766E-4</v>
      </c>
    </row>
    <row r="247" spans="2:17" s="132" customFormat="1">
      <c r="B247" s="87" t="s">
        <v>3119</v>
      </c>
      <c r="C247" s="97" t="s">
        <v>2830</v>
      </c>
      <c r="D247" s="84">
        <v>487556</v>
      </c>
      <c r="E247" s="84"/>
      <c r="F247" s="154" t="s">
        <v>1136</v>
      </c>
      <c r="G247" s="153">
        <v>43727</v>
      </c>
      <c r="H247" s="154" t="s">
        <v>926</v>
      </c>
      <c r="I247" s="94">
        <v>2.52</v>
      </c>
      <c r="J247" s="97" t="s">
        <v>169</v>
      </c>
      <c r="K247" s="98">
        <v>7.7994000000000008E-2</v>
      </c>
      <c r="L247" s="98">
        <v>7.909999999999999E-2</v>
      </c>
      <c r="M247" s="94">
        <v>2144345.61</v>
      </c>
      <c r="N247" s="96">
        <v>100.5</v>
      </c>
      <c r="O247" s="94">
        <v>7447.9130700000005</v>
      </c>
      <c r="P247" s="95">
        <f>O247/$O$10</f>
        <v>1.5073181412477521E-3</v>
      </c>
      <c r="Q247" s="95">
        <f>O247/'סכום נכסי הקרן'!$C$42</f>
        <v>1.2817789665431659E-4</v>
      </c>
    </row>
    <row r="248" spans="2:17" s="132" customFormat="1">
      <c r="B248" s="87" t="s">
        <v>3128</v>
      </c>
      <c r="C248" s="97" t="s">
        <v>2830</v>
      </c>
      <c r="D248" s="84">
        <v>6812</v>
      </c>
      <c r="E248" s="84"/>
      <c r="F248" s="84" t="s">
        <v>942</v>
      </c>
      <c r="G248" s="107">
        <v>43536</v>
      </c>
      <c r="H248" s="84"/>
      <c r="I248" s="94">
        <v>5.25</v>
      </c>
      <c r="J248" s="97" t="s">
        <v>169</v>
      </c>
      <c r="K248" s="98">
        <v>4.0494000000000002E-2</v>
      </c>
      <c r="L248" s="98">
        <v>3.7699999999999997E-2</v>
      </c>
      <c r="M248" s="94">
        <v>5838322.2000000002</v>
      </c>
      <c r="N248" s="96">
        <v>102.54</v>
      </c>
      <c r="O248" s="94">
        <v>20689.7431</v>
      </c>
      <c r="P248" s="95">
        <f t="shared" si="6"/>
        <v>4.1872165825890201E-3</v>
      </c>
      <c r="Q248" s="95">
        <f>O248/'סכום נכסי הקרן'!$C$42</f>
        <v>3.5606856953771605E-4</v>
      </c>
    </row>
    <row r="249" spans="2:17" s="132" customFormat="1">
      <c r="B249" s="87" t="s">
        <v>3128</v>
      </c>
      <c r="C249" s="97" t="s">
        <v>2830</v>
      </c>
      <c r="D249" s="84">
        <v>6872</v>
      </c>
      <c r="E249" s="84"/>
      <c r="F249" s="84" t="s">
        <v>942</v>
      </c>
      <c r="G249" s="107">
        <v>43570</v>
      </c>
      <c r="H249" s="84"/>
      <c r="I249" s="94">
        <v>5.28</v>
      </c>
      <c r="J249" s="97" t="s">
        <v>169</v>
      </c>
      <c r="K249" s="98">
        <v>4.0494000000000002E-2</v>
      </c>
      <c r="L249" s="98">
        <v>3.78E-2</v>
      </c>
      <c r="M249" s="94">
        <v>4710764.7</v>
      </c>
      <c r="N249" s="96">
        <v>102.54</v>
      </c>
      <c r="O249" s="94">
        <v>16693.924749999998</v>
      </c>
      <c r="P249" s="95">
        <f t="shared" si="6"/>
        <v>3.3785377712927359E-3</v>
      </c>
      <c r="Q249" s="95">
        <f>O249/'סכום נכסי הקרן'!$C$42</f>
        <v>2.8730090446134029E-4</v>
      </c>
    </row>
    <row r="250" spans="2:17" s="132" customFormat="1">
      <c r="B250" s="87" t="s">
        <v>3128</v>
      </c>
      <c r="C250" s="97" t="s">
        <v>2830</v>
      </c>
      <c r="D250" s="84">
        <v>7258</v>
      </c>
      <c r="E250" s="84"/>
      <c r="F250" s="84" t="s">
        <v>942</v>
      </c>
      <c r="G250" s="107">
        <v>43774</v>
      </c>
      <c r="H250" s="84"/>
      <c r="I250" s="94">
        <v>5.28</v>
      </c>
      <c r="J250" s="97" t="s">
        <v>169</v>
      </c>
      <c r="K250" s="98">
        <v>4.0548000000000001E-2</v>
      </c>
      <c r="L250" s="98">
        <v>3.78E-2</v>
      </c>
      <c r="M250" s="94">
        <v>3388628</v>
      </c>
      <c r="N250" s="96">
        <v>102.54</v>
      </c>
      <c r="O250" s="94">
        <v>12008.560650000001</v>
      </c>
      <c r="P250" s="95">
        <f t="shared" si="6"/>
        <v>2.4303078121209729E-3</v>
      </c>
      <c r="Q250" s="95">
        <f>O250/'סכום נכסי הקרן'!$C$42</f>
        <v>2.0666622065753957E-4</v>
      </c>
    </row>
    <row r="251" spans="2:17" s="132" customFormat="1">
      <c r="B251" s="87" t="s">
        <v>3138</v>
      </c>
      <c r="C251" s="97" t="s">
        <v>2830</v>
      </c>
      <c r="D251" s="84">
        <v>7030</v>
      </c>
      <c r="E251" s="84"/>
      <c r="F251" s="84" t="s">
        <v>942</v>
      </c>
      <c r="G251" s="107">
        <v>43649</v>
      </c>
      <c r="H251" s="84"/>
      <c r="I251" s="94">
        <v>1.3399999999999999</v>
      </c>
      <c r="J251" s="97" t="s">
        <v>169</v>
      </c>
      <c r="K251" s="98">
        <v>4.2645999999999996E-2</v>
      </c>
      <c r="L251" s="98">
        <v>4.0999999999999995E-2</v>
      </c>
      <c r="M251" s="94">
        <v>1245969.8799999999</v>
      </c>
      <c r="N251" s="96">
        <v>100.49</v>
      </c>
      <c r="O251" s="94">
        <v>4327.1718600000004</v>
      </c>
      <c r="P251" s="95">
        <f t="shared" si="6"/>
        <v>8.7573855703914358E-4</v>
      </c>
      <c r="Q251" s="95">
        <f>O251/'סכום נכסי הקרן'!$C$42</f>
        <v>7.4470228406753794E-5</v>
      </c>
    </row>
    <row r="252" spans="2:17" s="132" customFormat="1">
      <c r="B252" s="87" t="s">
        <v>3138</v>
      </c>
      <c r="C252" s="97" t="s">
        <v>2830</v>
      </c>
      <c r="D252" s="84">
        <v>7059</v>
      </c>
      <c r="E252" s="84"/>
      <c r="F252" s="84" t="s">
        <v>942</v>
      </c>
      <c r="G252" s="107">
        <v>43668</v>
      </c>
      <c r="H252" s="84"/>
      <c r="I252" s="94">
        <v>1.34</v>
      </c>
      <c r="J252" s="97" t="s">
        <v>169</v>
      </c>
      <c r="K252" s="98">
        <v>4.2645999999999996E-2</v>
      </c>
      <c r="L252" s="98">
        <v>4.0999999999999995E-2</v>
      </c>
      <c r="M252" s="94">
        <v>279081.69</v>
      </c>
      <c r="N252" s="96">
        <v>100.49</v>
      </c>
      <c r="O252" s="94">
        <v>969.23246999999992</v>
      </c>
      <c r="P252" s="95">
        <f t="shared" si="6"/>
        <v>1.9615450279649509E-4</v>
      </c>
      <c r="Q252" s="95">
        <f>O252/'סכום נכסי הקרן'!$C$42</f>
        <v>1.6680401369623931E-5</v>
      </c>
    </row>
    <row r="253" spans="2:17" s="132" customFormat="1">
      <c r="B253" s="87" t="s">
        <v>3138</v>
      </c>
      <c r="C253" s="97" t="s">
        <v>2830</v>
      </c>
      <c r="D253" s="84">
        <v>7107</v>
      </c>
      <c r="E253" s="84"/>
      <c r="F253" s="84" t="s">
        <v>942</v>
      </c>
      <c r="G253" s="107">
        <v>43697</v>
      </c>
      <c r="H253" s="84"/>
      <c r="I253" s="94">
        <v>1.34</v>
      </c>
      <c r="J253" s="97" t="s">
        <v>169</v>
      </c>
      <c r="K253" s="98">
        <v>4.2645999999999996E-2</v>
      </c>
      <c r="L253" s="98">
        <v>4.1000000000000009E-2</v>
      </c>
      <c r="M253" s="94">
        <v>429482.08</v>
      </c>
      <c r="N253" s="96">
        <v>100.49</v>
      </c>
      <c r="O253" s="94">
        <v>1491.56315</v>
      </c>
      <c r="P253" s="95">
        <f t="shared" si="6"/>
        <v>3.0186445164989576E-4</v>
      </c>
      <c r="Q253" s="95">
        <f>O253/'סכום נכסי הקרן'!$C$42</f>
        <v>2.5669664172662917E-5</v>
      </c>
    </row>
    <row r="254" spans="2:17" s="132" customFormat="1">
      <c r="B254" s="87" t="s">
        <v>3138</v>
      </c>
      <c r="C254" s="97" t="s">
        <v>2830</v>
      </c>
      <c r="D254" s="84">
        <v>7182</v>
      </c>
      <c r="E254" s="84"/>
      <c r="F254" s="84" t="s">
        <v>942</v>
      </c>
      <c r="G254" s="107">
        <v>43728</v>
      </c>
      <c r="H254" s="84"/>
      <c r="I254" s="94">
        <v>1.34</v>
      </c>
      <c r="J254" s="97" t="s">
        <v>169</v>
      </c>
      <c r="K254" s="98">
        <v>4.2645999999999996E-2</v>
      </c>
      <c r="L254" s="98">
        <v>4.0999999999999995E-2</v>
      </c>
      <c r="M254" s="94">
        <v>611443.97</v>
      </c>
      <c r="N254" s="96">
        <v>100.49</v>
      </c>
      <c r="O254" s="94">
        <v>2123.50488</v>
      </c>
      <c r="P254" s="95">
        <f t="shared" si="6"/>
        <v>4.2975762452771623E-4</v>
      </c>
      <c r="Q254" s="95">
        <f>O254/'סכום נכסי הקרן'!$C$42</f>
        <v>3.6545323031486044E-5</v>
      </c>
    </row>
    <row r="255" spans="2:17" s="132" customFormat="1">
      <c r="B255" s="87" t="s">
        <v>3138</v>
      </c>
      <c r="C255" s="97" t="s">
        <v>2830</v>
      </c>
      <c r="D255" s="84">
        <v>7223</v>
      </c>
      <c r="E255" s="84"/>
      <c r="F255" s="84" t="s">
        <v>942</v>
      </c>
      <c r="G255" s="107">
        <v>43759</v>
      </c>
      <c r="H255" s="84"/>
      <c r="I255" s="94">
        <v>1.3399999999999999</v>
      </c>
      <c r="J255" s="97" t="s">
        <v>169</v>
      </c>
      <c r="K255" s="98">
        <v>4.2645999999999996E-2</v>
      </c>
      <c r="L255" s="98">
        <v>4.0999999999999995E-2</v>
      </c>
      <c r="M255" s="94">
        <v>765716.08</v>
      </c>
      <c r="N255" s="96">
        <v>100.49</v>
      </c>
      <c r="O255" s="94">
        <v>2659.2818299999999</v>
      </c>
      <c r="P255" s="95">
        <f t="shared" si="6"/>
        <v>5.381888466441943E-4</v>
      </c>
      <c r="Q255" s="95">
        <f>O255/'סכום נכסי הקרן'!$C$42</f>
        <v>4.5765994900426766E-5</v>
      </c>
    </row>
    <row r="256" spans="2:17" s="132" customFormat="1">
      <c r="B256" s="87" t="s">
        <v>3138</v>
      </c>
      <c r="C256" s="97" t="s">
        <v>2830</v>
      </c>
      <c r="D256" s="84">
        <v>7272</v>
      </c>
      <c r="E256" s="84"/>
      <c r="F256" s="84" t="s">
        <v>942</v>
      </c>
      <c r="G256" s="107">
        <v>43799</v>
      </c>
      <c r="H256" s="84"/>
      <c r="I256" s="94">
        <v>1.34</v>
      </c>
      <c r="J256" s="97" t="s">
        <v>169</v>
      </c>
      <c r="K256" s="98">
        <v>4.2645999999999996E-2</v>
      </c>
      <c r="L256" s="98">
        <v>4.0999999999999995E-2</v>
      </c>
      <c r="M256" s="94">
        <v>1015469.75</v>
      </c>
      <c r="N256" s="96">
        <v>100.49</v>
      </c>
      <c r="O256" s="94">
        <v>3526.65996</v>
      </c>
      <c r="P256" s="95">
        <f t="shared" si="6"/>
        <v>7.1372993827384607E-4</v>
      </c>
      <c r="Q256" s="95">
        <f>O256/'סכום נכסי הקרן'!$C$42</f>
        <v>6.0693492477590937E-5</v>
      </c>
    </row>
    <row r="257" spans="2:17" s="132" customFormat="1">
      <c r="B257" s="87" t="s">
        <v>3138</v>
      </c>
      <c r="C257" s="97" t="s">
        <v>2830</v>
      </c>
      <c r="D257" s="84">
        <v>7313</v>
      </c>
      <c r="E257" s="84"/>
      <c r="F257" s="84" t="s">
        <v>942</v>
      </c>
      <c r="G257" s="107">
        <v>43819</v>
      </c>
      <c r="H257" s="84"/>
      <c r="I257" s="94">
        <v>1.3399999999999999</v>
      </c>
      <c r="J257" s="97" t="s">
        <v>169</v>
      </c>
      <c r="K257" s="98">
        <v>4.2645999999999996E-2</v>
      </c>
      <c r="L257" s="98">
        <v>4.0999999999999995E-2</v>
      </c>
      <c r="M257" s="94">
        <v>982372.84</v>
      </c>
      <c r="N257" s="96">
        <v>100.49</v>
      </c>
      <c r="O257" s="94">
        <v>3411.7165800000002</v>
      </c>
      <c r="P257" s="95">
        <f t="shared" si="6"/>
        <v>6.9046755050670018E-4</v>
      </c>
      <c r="Q257" s="95">
        <f>O257/'סכום נכסי הקרן'!$C$42</f>
        <v>5.8715327514564883E-5</v>
      </c>
    </row>
    <row r="258" spans="2:17" s="132" customFormat="1">
      <c r="B258" s="87" t="s">
        <v>3129</v>
      </c>
      <c r="C258" s="97" t="s">
        <v>2830</v>
      </c>
      <c r="D258" s="84">
        <v>6861</v>
      </c>
      <c r="E258" s="84"/>
      <c r="F258" s="84" t="s">
        <v>942</v>
      </c>
      <c r="G258" s="107">
        <v>43563</v>
      </c>
      <c r="H258" s="84"/>
      <c r="I258" s="94">
        <v>2.7800000000000002</v>
      </c>
      <c r="J258" s="97" t="s">
        <v>169</v>
      </c>
      <c r="K258" s="98">
        <v>4.3909999999999998E-2</v>
      </c>
      <c r="L258" s="98">
        <v>4.5899999999999996E-2</v>
      </c>
      <c r="M258" s="94">
        <v>27532806.43</v>
      </c>
      <c r="N258" s="96">
        <v>100.35</v>
      </c>
      <c r="O258" s="94">
        <v>95486.412689999997</v>
      </c>
      <c r="P258" s="95">
        <f t="shared" si="6"/>
        <v>1.932466192040377E-2</v>
      </c>
      <c r="Q258" s="95">
        <f>O258/'סכום נכסי הקרן'!$C$42</f>
        <v>1.6433123510758488E-3</v>
      </c>
    </row>
    <row r="259" spans="2:17" s="132" customFormat="1">
      <c r="B259" s="87" t="s">
        <v>3130</v>
      </c>
      <c r="C259" s="97" t="s">
        <v>2830</v>
      </c>
      <c r="D259" s="84">
        <v>6518</v>
      </c>
      <c r="E259" s="84"/>
      <c r="F259" s="84" t="s">
        <v>942</v>
      </c>
      <c r="G259" s="107">
        <v>43347</v>
      </c>
      <c r="H259" s="84"/>
      <c r="I259" s="94">
        <v>4.84</v>
      </c>
      <c r="J259" s="97" t="s">
        <v>169</v>
      </c>
      <c r="K259" s="98">
        <v>4.5298999999999999E-2</v>
      </c>
      <c r="L259" s="98">
        <v>4.6000000000000006E-2</v>
      </c>
      <c r="M259" s="94">
        <v>10184779.859999999</v>
      </c>
      <c r="N259" s="96">
        <v>100.23</v>
      </c>
      <c r="O259" s="94">
        <v>35279.554539999997</v>
      </c>
      <c r="P259" s="95">
        <f t="shared" si="6"/>
        <v>7.1399212200098199E-3</v>
      </c>
      <c r="Q259" s="95">
        <f>O259/'סכום נכסי הקרן'!$C$42</f>
        <v>6.0715787809785017E-4</v>
      </c>
    </row>
    <row r="260" spans="2:17" s="132" customFormat="1">
      <c r="B260" s="87" t="s">
        <v>3108</v>
      </c>
      <c r="C260" s="97" t="s">
        <v>2830</v>
      </c>
      <c r="D260" s="84">
        <v>6932</v>
      </c>
      <c r="E260" s="84"/>
      <c r="F260" s="84" t="s">
        <v>942</v>
      </c>
      <c r="G260" s="107">
        <v>43613</v>
      </c>
      <c r="H260" s="84"/>
      <c r="I260" s="94">
        <v>4.46</v>
      </c>
      <c r="J260" s="97" t="s">
        <v>169</v>
      </c>
      <c r="K260" s="98">
        <v>5.2000000000000005E-2</v>
      </c>
      <c r="L260" s="98">
        <v>4.3100000000000006E-2</v>
      </c>
      <c r="M260" s="94">
        <v>12287197.140000001</v>
      </c>
      <c r="N260" s="96">
        <v>101.63</v>
      </c>
      <c r="O260" s="94">
        <v>43156.72694</v>
      </c>
      <c r="P260" s="95">
        <f t="shared" si="6"/>
        <v>8.7341134116563444E-3</v>
      </c>
      <c r="Q260" s="95">
        <f>O260/'סכום נכסי הקרן'!$C$42</f>
        <v>7.4272328821016703E-4</v>
      </c>
    </row>
    <row r="261" spans="2:17" s="132" customFormat="1">
      <c r="B261" s="87" t="s">
        <v>3108</v>
      </c>
      <c r="C261" s="97" t="s">
        <v>2830</v>
      </c>
      <c r="D261" s="84">
        <v>464740</v>
      </c>
      <c r="E261" s="84"/>
      <c r="F261" s="84" t="s">
        <v>942</v>
      </c>
      <c r="G261" s="107">
        <v>42817</v>
      </c>
      <c r="H261" s="84"/>
      <c r="I261" s="94">
        <v>4.3</v>
      </c>
      <c r="J261" s="97" t="s">
        <v>169</v>
      </c>
      <c r="K261" s="98">
        <v>5.7820000000000003E-2</v>
      </c>
      <c r="L261" s="98">
        <v>4.4299999999999999E-2</v>
      </c>
      <c r="M261" s="94">
        <v>2891105.21</v>
      </c>
      <c r="N261" s="96">
        <v>106.58</v>
      </c>
      <c r="O261" s="94">
        <v>10649.1109</v>
      </c>
      <c r="P261" s="95">
        <f t="shared" si="6"/>
        <v>2.1551806387731074E-3</v>
      </c>
      <c r="Q261" s="95">
        <f>O261/'סכום נכסי הקרן'!$C$42</f>
        <v>1.8327021590768328E-4</v>
      </c>
    </row>
    <row r="262" spans="2:17" s="132" customFormat="1">
      <c r="B262" s="87" t="s">
        <v>3108</v>
      </c>
      <c r="C262" s="97" t="s">
        <v>2830</v>
      </c>
      <c r="D262" s="84">
        <v>7291</v>
      </c>
      <c r="E262" s="84"/>
      <c r="F262" s="84" t="s">
        <v>942</v>
      </c>
      <c r="G262" s="107">
        <v>43798</v>
      </c>
      <c r="H262" s="84"/>
      <c r="I262" s="94">
        <v>4.46</v>
      </c>
      <c r="J262" s="97" t="s">
        <v>169</v>
      </c>
      <c r="K262" s="98">
        <v>5.2000000000000005E-2</v>
      </c>
      <c r="L262" s="98">
        <v>4.3299999999999998E-2</v>
      </c>
      <c r="M262" s="94">
        <v>722776.32</v>
      </c>
      <c r="N262" s="96">
        <v>101.63</v>
      </c>
      <c r="O262" s="94">
        <v>2538.6310600000002</v>
      </c>
      <c r="P262" s="95">
        <f t="shared" si="6"/>
        <v>5.1377139001341891E-4</v>
      </c>
      <c r="Q262" s="95">
        <f>O262/'סכום נכסי הקרן'!$C$42</f>
        <v>4.3689606282168669E-5</v>
      </c>
    </row>
    <row r="263" spans="2:17" s="132" customFormat="1">
      <c r="B263" s="87" t="s">
        <v>3109</v>
      </c>
      <c r="C263" s="97" t="s">
        <v>2830</v>
      </c>
      <c r="D263" s="84">
        <v>491862</v>
      </c>
      <c r="E263" s="84"/>
      <c r="F263" s="84" t="s">
        <v>942</v>
      </c>
      <c r="G263" s="107">
        <v>43083</v>
      </c>
      <c r="H263" s="84"/>
      <c r="I263" s="94">
        <v>2.56</v>
      </c>
      <c r="J263" s="97" t="s">
        <v>178</v>
      </c>
      <c r="K263" s="98">
        <v>3.7000000000000005E-2</v>
      </c>
      <c r="L263" s="98">
        <v>3.0799999999999998E-2</v>
      </c>
      <c r="M263" s="94">
        <v>2183192.16</v>
      </c>
      <c r="N263" s="96">
        <v>101.5</v>
      </c>
      <c r="O263" s="94">
        <v>5879.9967400000005</v>
      </c>
      <c r="P263" s="95">
        <f t="shared" si="6"/>
        <v>1.1900012356991221E-3</v>
      </c>
      <c r="Q263" s="95">
        <f>O263/'סכום נכסי הקרן'!$C$42</f>
        <v>1.0119420129959149E-4</v>
      </c>
    </row>
    <row r="264" spans="2:17" s="132" customFormat="1">
      <c r="B264" s="87" t="s">
        <v>3109</v>
      </c>
      <c r="C264" s="97" t="s">
        <v>2830</v>
      </c>
      <c r="D264" s="84">
        <v>491863</v>
      </c>
      <c r="E264" s="84"/>
      <c r="F264" s="84" t="s">
        <v>942</v>
      </c>
      <c r="G264" s="107">
        <v>43083</v>
      </c>
      <c r="H264" s="84"/>
      <c r="I264" s="94">
        <v>8.4500000000000011</v>
      </c>
      <c r="J264" s="97" t="s">
        <v>178</v>
      </c>
      <c r="K264" s="98">
        <v>3.875E-2</v>
      </c>
      <c r="L264" s="98">
        <v>3.5700000000000003E-2</v>
      </c>
      <c r="M264" s="94">
        <v>1481872.29</v>
      </c>
      <c r="N264" s="96">
        <v>103</v>
      </c>
      <c r="O264" s="94">
        <v>4050.1124199999999</v>
      </c>
      <c r="P264" s="95">
        <f t="shared" si="6"/>
        <v>8.1966691439362281E-4</v>
      </c>
      <c r="Q264" s="95">
        <f>O264/'סכום נכסי הקרן'!$C$42</f>
        <v>6.9702061010914031E-5</v>
      </c>
    </row>
    <row r="265" spans="2:17" s="132" customFormat="1">
      <c r="B265" s="87" t="s">
        <v>3109</v>
      </c>
      <c r="C265" s="97" t="s">
        <v>2830</v>
      </c>
      <c r="D265" s="84">
        <v>491864</v>
      </c>
      <c r="E265" s="84"/>
      <c r="F265" s="84" t="s">
        <v>942</v>
      </c>
      <c r="G265" s="107">
        <v>43083</v>
      </c>
      <c r="H265" s="84"/>
      <c r="I265" s="94">
        <v>8.2000000000000011</v>
      </c>
      <c r="J265" s="97" t="s">
        <v>178</v>
      </c>
      <c r="K265" s="98">
        <v>4.4999999999999998E-2</v>
      </c>
      <c r="L265" s="98">
        <v>4.2000000000000003E-2</v>
      </c>
      <c r="M265" s="94">
        <v>5927489.1399999997</v>
      </c>
      <c r="N265" s="96">
        <v>103</v>
      </c>
      <c r="O265" s="94">
        <v>16200.45001</v>
      </c>
      <c r="P265" s="95">
        <f t="shared" si="6"/>
        <v>3.278667724360312E-3</v>
      </c>
      <c r="Q265" s="95">
        <f>O265/'סכום נכסי הקרן'!$C$42</f>
        <v>2.7880824972292568E-4</v>
      </c>
    </row>
    <row r="266" spans="2:17" s="132" customFormat="1">
      <c r="B266" s="87" t="s">
        <v>3131</v>
      </c>
      <c r="C266" s="97" t="s">
        <v>2830</v>
      </c>
      <c r="D266" s="84">
        <v>6922</v>
      </c>
      <c r="E266" s="84"/>
      <c r="F266" s="84" t="s">
        <v>942</v>
      </c>
      <c r="G266" s="107">
        <v>43613</v>
      </c>
      <c r="H266" s="84"/>
      <c r="I266" s="94">
        <v>3.62</v>
      </c>
      <c r="J266" s="97" t="s">
        <v>169</v>
      </c>
      <c r="K266" s="98">
        <v>6.2994000000000008E-2</v>
      </c>
      <c r="L266" s="98">
        <v>6.4799999999999996E-2</v>
      </c>
      <c r="M266" s="94">
        <v>8440760.0299999993</v>
      </c>
      <c r="N266" s="96">
        <v>100</v>
      </c>
      <c r="O266" s="94">
        <v>29171.266179999999</v>
      </c>
      <c r="P266" s="95">
        <f t="shared" si="6"/>
        <v>5.9037180352429931E-3</v>
      </c>
      <c r="Q266" s="95">
        <f>O266/'סכום נכסי הקרן'!$C$42</f>
        <v>5.020347990844098E-4</v>
      </c>
    </row>
    <row r="267" spans="2:17" s="132" customFormat="1">
      <c r="B267" s="87" t="s">
        <v>3139</v>
      </c>
      <c r="C267" s="97" t="s">
        <v>2830</v>
      </c>
      <c r="D267" s="84">
        <v>7276</v>
      </c>
      <c r="E267" s="84"/>
      <c r="F267" s="84" t="s">
        <v>942</v>
      </c>
      <c r="G267" s="107">
        <v>43798</v>
      </c>
      <c r="H267" s="84"/>
      <c r="I267" s="94">
        <v>6.3199999999999994</v>
      </c>
      <c r="J267" s="97" t="s">
        <v>171</v>
      </c>
      <c r="K267" s="98">
        <v>2.6249999999999999E-2</v>
      </c>
      <c r="L267" s="98">
        <v>2.7299999999999994E-2</v>
      </c>
      <c r="M267" s="94">
        <v>2929295.22</v>
      </c>
      <c r="N267" s="96">
        <v>99.75</v>
      </c>
      <c r="O267" s="94">
        <v>11331.992130000001</v>
      </c>
      <c r="P267" s="95">
        <f t="shared" si="6"/>
        <v>2.2933830125954672E-3</v>
      </c>
      <c r="Q267" s="95">
        <f>O267/'סכום נכסי הקרן'!$C$42</f>
        <v>1.9502253886089849E-4</v>
      </c>
    </row>
    <row r="268" spans="2:17" s="132" customFormat="1">
      <c r="B268" s="87" t="s">
        <v>3139</v>
      </c>
      <c r="C268" s="97" t="s">
        <v>2830</v>
      </c>
      <c r="D268" s="84">
        <v>7275</v>
      </c>
      <c r="E268" s="84"/>
      <c r="F268" s="84" t="s">
        <v>942</v>
      </c>
      <c r="G268" s="107">
        <v>43799</v>
      </c>
      <c r="H268" s="84"/>
      <c r="I268" s="94">
        <v>6.1199999999999992</v>
      </c>
      <c r="J268" s="97" t="s">
        <v>172</v>
      </c>
      <c r="K268" s="98">
        <v>3.6693999999999997E-2</v>
      </c>
      <c r="L268" s="98">
        <v>3.7100000000000001E-2</v>
      </c>
      <c r="M268" s="94">
        <v>2752651.89</v>
      </c>
      <c r="N268" s="96">
        <v>100.07</v>
      </c>
      <c r="O268" s="94">
        <v>12560.052230000001</v>
      </c>
      <c r="P268" s="95">
        <f t="shared" si="6"/>
        <v>2.5419193810888936E-3</v>
      </c>
      <c r="Q268" s="95">
        <f>O268/'סכום נכסי הקרן'!$C$42</f>
        <v>2.1615733985866172E-4</v>
      </c>
    </row>
    <row r="269" spans="2:17" s="132" customFormat="1">
      <c r="B269" s="87" t="s">
        <v>3110</v>
      </c>
      <c r="C269" s="97" t="s">
        <v>2830</v>
      </c>
      <c r="D269" s="84">
        <v>6654</v>
      </c>
      <c r="E269" s="84"/>
      <c r="F269" s="84" t="s">
        <v>942</v>
      </c>
      <c r="G269" s="107">
        <v>43451</v>
      </c>
      <c r="H269" s="84"/>
      <c r="I269" s="94">
        <v>3.0100000000000002</v>
      </c>
      <c r="J269" s="97" t="s">
        <v>169</v>
      </c>
      <c r="K269" s="98">
        <v>4.4465999999999999E-2</v>
      </c>
      <c r="L269" s="98">
        <v>4.5499999999999999E-2</v>
      </c>
      <c r="M269" s="94">
        <v>14803055.66</v>
      </c>
      <c r="N269" s="96">
        <v>100</v>
      </c>
      <c r="O269" s="94">
        <v>51159.362159999997</v>
      </c>
      <c r="P269" s="95">
        <f t="shared" si="6"/>
        <v>1.0353696928746749E-2</v>
      </c>
      <c r="Q269" s="95">
        <f>O269/'סכום נכסי הקרן'!$C$42</f>
        <v>8.8044790187719437E-4</v>
      </c>
    </row>
    <row r="270" spans="2:17" s="132" customFormat="1">
      <c r="B270" s="87" t="s">
        <v>3132</v>
      </c>
      <c r="C270" s="97" t="s">
        <v>2830</v>
      </c>
      <c r="D270" s="84">
        <v>7088</v>
      </c>
      <c r="E270" s="84"/>
      <c r="F270" s="84" t="s">
        <v>942</v>
      </c>
      <c r="G270" s="107">
        <v>43684</v>
      </c>
      <c r="H270" s="84"/>
      <c r="I270" s="94">
        <v>8.69</v>
      </c>
      <c r="J270" s="97" t="s">
        <v>169</v>
      </c>
      <c r="K270" s="98">
        <v>4.36E-2</v>
      </c>
      <c r="L270" s="98">
        <v>3.9299999999999995E-2</v>
      </c>
      <c r="M270" s="94">
        <v>13154447.43</v>
      </c>
      <c r="N270" s="96">
        <v>106.45</v>
      </c>
      <c r="O270" s="94">
        <v>48394.05603</v>
      </c>
      <c r="P270" s="95">
        <f t="shared" si="6"/>
        <v>9.7940507491153031E-3</v>
      </c>
      <c r="Q270" s="95">
        <f>O270/'סכום נכסי הקרן'!$C$42</f>
        <v>8.3285723855750448E-4</v>
      </c>
    </row>
    <row r="271" spans="2:17" s="132" customFormat="1">
      <c r="B271" s="87" t="s">
        <v>3111</v>
      </c>
      <c r="C271" s="97" t="s">
        <v>2830</v>
      </c>
      <c r="D271" s="84">
        <v>469140</v>
      </c>
      <c r="E271" s="84"/>
      <c r="F271" s="84" t="s">
        <v>942</v>
      </c>
      <c r="G271" s="107">
        <v>42870</v>
      </c>
      <c r="H271" s="84"/>
      <c r="I271" s="94">
        <v>3.2699999999999996</v>
      </c>
      <c r="J271" s="97" t="s">
        <v>169</v>
      </c>
      <c r="K271" s="98">
        <v>4.2994000000000004E-2</v>
      </c>
      <c r="L271" s="98">
        <v>4.4900000000000002E-2</v>
      </c>
      <c r="M271" s="94">
        <v>8450919.4900000002</v>
      </c>
      <c r="N271" s="96">
        <v>100.46</v>
      </c>
      <c r="O271" s="94">
        <v>29340.727890000002</v>
      </c>
      <c r="P271" s="95">
        <f t="shared" si="6"/>
        <v>5.9380139121321509E-3</v>
      </c>
      <c r="Q271" s="95">
        <f>O271/'סכום נכסי הקרן'!$C$42</f>
        <v>5.0495121947587986E-4</v>
      </c>
    </row>
    <row r="272" spans="2:17" s="132" customFormat="1">
      <c r="B272" s="87" t="s">
        <v>3140</v>
      </c>
      <c r="C272" s="97" t="s">
        <v>2830</v>
      </c>
      <c r="D272" s="84">
        <v>72808</v>
      </c>
      <c r="E272" s="84"/>
      <c r="F272" s="84" t="s">
        <v>942</v>
      </c>
      <c r="G272" s="107">
        <v>43797</v>
      </c>
      <c r="H272" s="84"/>
      <c r="I272" s="94">
        <v>6.06</v>
      </c>
      <c r="J272" s="97" t="s">
        <v>169</v>
      </c>
      <c r="K272" s="98">
        <v>4.7100000000000003E-2</v>
      </c>
      <c r="L272" s="98">
        <v>4.5899999999999996E-2</v>
      </c>
      <c r="M272" s="94">
        <v>288076.21000000002</v>
      </c>
      <c r="N272" s="96">
        <v>103.01</v>
      </c>
      <c r="O272" s="94">
        <v>1025.5586700000001</v>
      </c>
      <c r="P272" s="95">
        <f t="shared" si="6"/>
        <v>2.0755387095366793E-4</v>
      </c>
      <c r="Q272" s="95">
        <f>O272/'סכום נכסי הקרן'!$C$42</f>
        <v>1.7649770073940775E-5</v>
      </c>
    </row>
    <row r="273" spans="2:17" s="132" customFormat="1">
      <c r="B273" s="87" t="s">
        <v>3140</v>
      </c>
      <c r="C273" s="97" t="s">
        <v>2830</v>
      </c>
      <c r="D273" s="84">
        <v>7125</v>
      </c>
      <c r="E273" s="84"/>
      <c r="F273" s="84" t="s">
        <v>942</v>
      </c>
      <c r="G273" s="107">
        <v>43706</v>
      </c>
      <c r="H273" s="84"/>
      <c r="I273" s="94">
        <v>6.0600000000000005</v>
      </c>
      <c r="J273" s="97" t="s">
        <v>169</v>
      </c>
      <c r="K273" s="98">
        <v>4.7100000000000003E-2</v>
      </c>
      <c r="L273" s="98">
        <v>4.5899999999999996E-2</v>
      </c>
      <c r="M273" s="94">
        <v>672607.99</v>
      </c>
      <c r="N273" s="96">
        <v>103.01</v>
      </c>
      <c r="O273" s="94">
        <v>2394.5016600000004</v>
      </c>
      <c r="P273" s="95">
        <f t="shared" si="6"/>
        <v>4.8460229831413126E-4</v>
      </c>
      <c r="Q273" s="95">
        <f>O273/'סכום נכסי הקרן'!$C$42</f>
        <v>4.1209152608177463E-5</v>
      </c>
    </row>
    <row r="274" spans="2:17" s="132" customFormat="1">
      <c r="B274" s="87" t="s">
        <v>3140</v>
      </c>
      <c r="C274" s="97" t="s">
        <v>2830</v>
      </c>
      <c r="D274" s="84">
        <v>7204</v>
      </c>
      <c r="E274" s="84"/>
      <c r="F274" s="84" t="s">
        <v>942</v>
      </c>
      <c r="G274" s="107">
        <v>43738</v>
      </c>
      <c r="H274" s="84"/>
      <c r="I274" s="94">
        <v>6.06</v>
      </c>
      <c r="J274" s="97" t="s">
        <v>169</v>
      </c>
      <c r="K274" s="98">
        <v>4.7100000000000003E-2</v>
      </c>
      <c r="L274" s="98">
        <v>4.5899999999999996E-2</v>
      </c>
      <c r="M274" s="94">
        <v>331144.76</v>
      </c>
      <c r="N274" s="96">
        <v>103.01</v>
      </c>
      <c r="O274" s="94">
        <v>1178.88383</v>
      </c>
      <c r="P274" s="95">
        <f t="shared" si="6"/>
        <v>2.385840122839445E-4</v>
      </c>
      <c r="Q274" s="95">
        <f>O274/'סכום נכסי הקרן'!$C$42</f>
        <v>2.0288481928963346E-5</v>
      </c>
    </row>
    <row r="275" spans="2:17" s="132" customFormat="1">
      <c r="B275" s="87" t="s">
        <v>3140</v>
      </c>
      <c r="C275" s="97" t="s">
        <v>2830</v>
      </c>
      <c r="D275" s="84">
        <v>7246</v>
      </c>
      <c r="E275" s="84"/>
      <c r="F275" s="84" t="s">
        <v>942</v>
      </c>
      <c r="G275" s="107">
        <v>43769</v>
      </c>
      <c r="H275" s="84"/>
      <c r="I275" s="94">
        <v>6.0600000000000005</v>
      </c>
      <c r="J275" s="97" t="s">
        <v>169</v>
      </c>
      <c r="K275" s="98">
        <v>4.7100000000000003E-2</v>
      </c>
      <c r="L275" s="98">
        <v>4.5899999999999996E-2</v>
      </c>
      <c r="M275" s="94">
        <v>626829.15</v>
      </c>
      <c r="N275" s="96">
        <v>103.01</v>
      </c>
      <c r="O275" s="94">
        <v>2231.52783</v>
      </c>
      <c r="P275" s="95">
        <f t="shared" si="6"/>
        <v>4.5161944684972394E-4</v>
      </c>
      <c r="Q275" s="95">
        <f>O275/'סכום נכסי הקרן'!$C$42</f>
        <v>3.840438803281727E-5</v>
      </c>
    </row>
    <row r="276" spans="2:17" s="132" customFormat="1">
      <c r="B276" s="87" t="s">
        <v>3140</v>
      </c>
      <c r="C276" s="97" t="s">
        <v>2830</v>
      </c>
      <c r="D276" s="84">
        <v>7280</v>
      </c>
      <c r="E276" s="84"/>
      <c r="F276" s="84" t="s">
        <v>942</v>
      </c>
      <c r="G276" s="107">
        <v>37488</v>
      </c>
      <c r="H276" s="84"/>
      <c r="I276" s="94">
        <v>6.06</v>
      </c>
      <c r="J276" s="97" t="s">
        <v>169</v>
      </c>
      <c r="K276" s="98">
        <v>4.7100000000000003E-2</v>
      </c>
      <c r="L276" s="98">
        <v>4.5899999999999996E-2</v>
      </c>
      <c r="M276" s="94">
        <v>113295.67999999999</v>
      </c>
      <c r="N276" s="96">
        <v>103.01</v>
      </c>
      <c r="O276" s="94">
        <v>403.33552000000003</v>
      </c>
      <c r="P276" s="95">
        <f t="shared" si="6"/>
        <v>8.1627556684895023E-5</v>
      </c>
      <c r="Q276" s="95">
        <f>O276/'סכום נכסי הקרן'!$C$42</f>
        <v>6.9413670801040971E-6</v>
      </c>
    </row>
    <row r="277" spans="2:17" s="132" customFormat="1">
      <c r="B277" s="87" t="s">
        <v>3140</v>
      </c>
      <c r="C277" s="97" t="s">
        <v>2830</v>
      </c>
      <c r="D277" s="84">
        <v>7337</v>
      </c>
      <c r="E277" s="84"/>
      <c r="F277" s="84" t="s">
        <v>942</v>
      </c>
      <c r="G277" s="107">
        <v>43830</v>
      </c>
      <c r="H277" s="84"/>
      <c r="I277" s="94">
        <v>6.04</v>
      </c>
      <c r="J277" s="97" t="s">
        <v>169</v>
      </c>
      <c r="K277" s="98">
        <v>4.7994000000000002E-2</v>
      </c>
      <c r="L277" s="98">
        <v>5.1000000000000004E-2</v>
      </c>
      <c r="M277" s="94">
        <v>760209.02</v>
      </c>
      <c r="N277" s="96">
        <v>100</v>
      </c>
      <c r="O277" s="94">
        <v>2627.2823699999999</v>
      </c>
      <c r="P277" s="95">
        <f t="shared" si="6"/>
        <v>5.3171275513845225E-4</v>
      </c>
      <c r="Q277" s="95">
        <f>O277/'סכום נכסי הקרן'!$C$42</f>
        <v>4.5215287146680931E-5</v>
      </c>
    </row>
    <row r="278" spans="2:17" s="132" customFormat="1">
      <c r="B278" s="87" t="s">
        <v>3112</v>
      </c>
      <c r="C278" s="97" t="s">
        <v>2830</v>
      </c>
      <c r="D278" s="84">
        <v>6734</v>
      </c>
      <c r="E278" s="84"/>
      <c r="F278" s="84" t="s">
        <v>942</v>
      </c>
      <c r="G278" s="107">
        <v>43489</v>
      </c>
      <c r="H278" s="84"/>
      <c r="I278" s="94">
        <v>0.55000000000000004</v>
      </c>
      <c r="J278" s="97" t="s">
        <v>169</v>
      </c>
      <c r="K278" s="98">
        <v>3.5672999999999996E-2</v>
      </c>
      <c r="L278" s="98">
        <v>2.58E-2</v>
      </c>
      <c r="M278" s="94">
        <v>147651.01999999999</v>
      </c>
      <c r="N278" s="96">
        <v>100.74</v>
      </c>
      <c r="O278" s="94">
        <v>514.05802000000006</v>
      </c>
      <c r="P278" s="95">
        <f t="shared" si="6"/>
        <v>1.040357173771229E-4</v>
      </c>
      <c r="Q278" s="95">
        <f>O278/'סכום נכסי הקרן'!$C$42</f>
        <v>8.8468910878255737E-6</v>
      </c>
    </row>
    <row r="279" spans="2:17" s="132" customFormat="1">
      <c r="B279" s="87" t="s">
        <v>3112</v>
      </c>
      <c r="C279" s="97" t="s">
        <v>2830</v>
      </c>
      <c r="D279" s="84">
        <v>6852</v>
      </c>
      <c r="E279" s="84"/>
      <c r="F279" s="84" t="s">
        <v>942</v>
      </c>
      <c r="G279" s="107">
        <v>43560</v>
      </c>
      <c r="H279" s="84"/>
      <c r="I279" s="94">
        <v>0.54999999999999993</v>
      </c>
      <c r="J279" s="97" t="s">
        <v>169</v>
      </c>
      <c r="K279" s="98">
        <v>3.5672999999999996E-2</v>
      </c>
      <c r="L279" s="98">
        <v>2.58E-2</v>
      </c>
      <c r="M279" s="94">
        <v>527995.25</v>
      </c>
      <c r="N279" s="96">
        <v>100.74</v>
      </c>
      <c r="O279" s="94">
        <v>1838.2548400000001</v>
      </c>
      <c r="P279" s="95">
        <f t="shared" si="6"/>
        <v>3.720283578133228E-4</v>
      </c>
      <c r="Q279" s="95">
        <f>O279/'סכום נכסי הקרן'!$C$42</f>
        <v>3.1636196165460517E-5</v>
      </c>
    </row>
    <row r="280" spans="2:17" s="132" customFormat="1">
      <c r="B280" s="87" t="s">
        <v>3112</v>
      </c>
      <c r="C280" s="97" t="s">
        <v>2830</v>
      </c>
      <c r="D280" s="84">
        <v>6911</v>
      </c>
      <c r="E280" s="84"/>
      <c r="F280" s="84" t="s">
        <v>942</v>
      </c>
      <c r="G280" s="107">
        <v>43606</v>
      </c>
      <c r="H280" s="84"/>
      <c r="I280" s="94">
        <v>0.55000000000000004</v>
      </c>
      <c r="J280" s="97" t="s">
        <v>169</v>
      </c>
      <c r="K280" s="98">
        <v>3.5672999999999996E-2</v>
      </c>
      <c r="L280" s="98">
        <v>2.5800000000000003E-2</v>
      </c>
      <c r="M280" s="94">
        <v>231700.62</v>
      </c>
      <c r="N280" s="96">
        <v>100.74</v>
      </c>
      <c r="O280" s="94">
        <v>806.68296999999995</v>
      </c>
      <c r="P280" s="95">
        <f t="shared" si="6"/>
        <v>1.6325752777839766E-4</v>
      </c>
      <c r="Q280" s="95">
        <f>O280/'סכום נכסי הקרן'!$C$42</f>
        <v>1.3882939474407313E-5</v>
      </c>
    </row>
    <row r="281" spans="2:17" s="132" customFormat="1">
      <c r="B281" s="87" t="s">
        <v>3112</v>
      </c>
      <c r="C281" s="97" t="s">
        <v>2830</v>
      </c>
      <c r="D281" s="84">
        <v>7162</v>
      </c>
      <c r="E281" s="84"/>
      <c r="F281" s="84" t="s">
        <v>942</v>
      </c>
      <c r="G281" s="107">
        <v>43720</v>
      </c>
      <c r="H281" s="84"/>
      <c r="I281" s="94">
        <v>0.55000000000000004</v>
      </c>
      <c r="J281" s="97" t="s">
        <v>169</v>
      </c>
      <c r="K281" s="98">
        <v>3.5672999999999996E-2</v>
      </c>
      <c r="L281" s="98">
        <v>2.5799999999999997E-2</v>
      </c>
      <c r="M281" s="94">
        <v>129907.76</v>
      </c>
      <c r="N281" s="96">
        <v>100.74</v>
      </c>
      <c r="O281" s="94">
        <v>452.28354999999999</v>
      </c>
      <c r="P281" s="95">
        <f t="shared" si="6"/>
        <v>9.1533721392230842E-5</v>
      </c>
      <c r="Q281" s="95">
        <f>O281/'סכום נכסי הקרן'!$C$42</f>
        <v>7.7837581595655523E-6</v>
      </c>
    </row>
    <row r="282" spans="2:17" s="132" customFormat="1">
      <c r="B282" s="87" t="s">
        <v>3112</v>
      </c>
      <c r="C282" s="97" t="s">
        <v>2830</v>
      </c>
      <c r="D282" s="84">
        <v>7217</v>
      </c>
      <c r="E282" s="84"/>
      <c r="F282" s="84" t="s">
        <v>942</v>
      </c>
      <c r="G282" s="107">
        <v>43749</v>
      </c>
      <c r="H282" s="84"/>
      <c r="I282" s="94">
        <v>0.55000000000000004</v>
      </c>
      <c r="J282" s="97" t="s">
        <v>169</v>
      </c>
      <c r="K282" s="98">
        <v>3.5672999999999996E-2</v>
      </c>
      <c r="L282" s="98">
        <v>2.58E-2</v>
      </c>
      <c r="M282" s="94">
        <v>117959.89</v>
      </c>
      <c r="N282" s="96">
        <v>100.74</v>
      </c>
      <c r="O282" s="94">
        <v>410.68615999999997</v>
      </c>
      <c r="P282" s="95">
        <f t="shared" si="6"/>
        <v>8.311518857823844E-5</v>
      </c>
      <c r="Q282" s="95">
        <f>O282/'סכום נכסי הקרן'!$C$42</f>
        <v>7.0678709161999011E-6</v>
      </c>
    </row>
    <row r="283" spans="2:17" s="132" customFormat="1">
      <c r="B283" s="87" t="s">
        <v>3112</v>
      </c>
      <c r="C283" s="97" t="s">
        <v>2830</v>
      </c>
      <c r="D283" s="84">
        <v>6660</v>
      </c>
      <c r="E283" s="84"/>
      <c r="F283" s="84" t="s">
        <v>942</v>
      </c>
      <c r="G283" s="107">
        <v>43454</v>
      </c>
      <c r="H283" s="84"/>
      <c r="I283" s="94">
        <v>0.54999999999999993</v>
      </c>
      <c r="J283" s="97" t="s">
        <v>169</v>
      </c>
      <c r="K283" s="98">
        <v>3.5672999999999996E-2</v>
      </c>
      <c r="L283" s="98">
        <v>2.5799999999999997E-2</v>
      </c>
      <c r="M283" s="94">
        <v>27278752.579999998</v>
      </c>
      <c r="N283" s="96">
        <v>100.74</v>
      </c>
      <c r="O283" s="94">
        <v>94973.009900000005</v>
      </c>
      <c r="P283" s="95">
        <f t="shared" si="6"/>
        <v>1.9220758809309298E-2</v>
      </c>
      <c r="Q283" s="95">
        <f>O283/'סכום נכסי הקרן'!$C$42</f>
        <v>1.6344767364358599E-3</v>
      </c>
    </row>
    <row r="284" spans="2:17" s="132" customFormat="1">
      <c r="B284" s="87" t="s">
        <v>3112</v>
      </c>
      <c r="C284" s="97" t="s">
        <v>2830</v>
      </c>
      <c r="D284" s="84">
        <v>6700</v>
      </c>
      <c r="E284" s="84"/>
      <c r="F284" s="84" t="s">
        <v>942</v>
      </c>
      <c r="G284" s="107">
        <v>43475</v>
      </c>
      <c r="H284" s="84"/>
      <c r="I284" s="94">
        <v>0.54999999999999993</v>
      </c>
      <c r="J284" s="97" t="s">
        <v>169</v>
      </c>
      <c r="K284" s="98">
        <v>3.5672999999999996E-2</v>
      </c>
      <c r="L284" s="98">
        <v>2.58E-2</v>
      </c>
      <c r="M284" s="94">
        <v>122814.33</v>
      </c>
      <c r="N284" s="96">
        <v>100.74</v>
      </c>
      <c r="O284" s="94">
        <v>427.58724000000001</v>
      </c>
      <c r="P284" s="95">
        <f t="shared" si="6"/>
        <v>8.6535650693094943E-5</v>
      </c>
      <c r="Q284" s="95">
        <f>O284/'סכום נכסי הקרן'!$C$42</f>
        <v>7.3587369433978177E-6</v>
      </c>
    </row>
    <row r="285" spans="2:17" s="132" customFormat="1">
      <c r="B285" s="87" t="s">
        <v>3133</v>
      </c>
      <c r="C285" s="97" t="s">
        <v>2830</v>
      </c>
      <c r="D285" s="84">
        <v>6954</v>
      </c>
      <c r="E285" s="84"/>
      <c r="F285" s="84" t="s">
        <v>942</v>
      </c>
      <c r="G285" s="107">
        <v>43644</v>
      </c>
      <c r="H285" s="84"/>
      <c r="I285" s="94">
        <v>5.7299999999999995</v>
      </c>
      <c r="J285" s="97" t="s">
        <v>169</v>
      </c>
      <c r="K285" s="98">
        <v>4.9446000000000004E-2</v>
      </c>
      <c r="L285" s="98">
        <v>4.6700000000000005E-2</v>
      </c>
      <c r="M285" s="94">
        <v>1153095.54</v>
      </c>
      <c r="N285" s="96">
        <v>102.15</v>
      </c>
      <c r="O285" s="94">
        <v>4070.7776100000001</v>
      </c>
      <c r="P285" s="95">
        <f t="shared" si="6"/>
        <v>8.2384916188853511E-4</v>
      </c>
      <c r="Q285" s="95">
        <f>O285/'סכום נכסי הקרן'!$C$42</f>
        <v>7.0057707023866465E-5</v>
      </c>
    </row>
    <row r="286" spans="2:17" s="132" customFormat="1">
      <c r="B286" s="87" t="s">
        <v>3133</v>
      </c>
      <c r="C286" s="97" t="s">
        <v>2830</v>
      </c>
      <c r="D286" s="84">
        <v>7020</v>
      </c>
      <c r="E286" s="84"/>
      <c r="F286" s="84" t="s">
        <v>942</v>
      </c>
      <c r="G286" s="107">
        <v>39206</v>
      </c>
      <c r="H286" s="84"/>
      <c r="I286" s="94">
        <v>5.74</v>
      </c>
      <c r="J286" s="97" t="s">
        <v>169</v>
      </c>
      <c r="K286" s="98">
        <v>4.9446000000000004E-2</v>
      </c>
      <c r="L286" s="98">
        <v>4.5200000000000004E-2</v>
      </c>
      <c r="M286" s="94">
        <v>115309.55</v>
      </c>
      <c r="N286" s="96">
        <v>102.15</v>
      </c>
      <c r="O286" s="94">
        <v>407.07774000000001</v>
      </c>
      <c r="P286" s="95">
        <f t="shared" si="6"/>
        <v>8.2384911938846733E-5</v>
      </c>
      <c r="Q286" s="95">
        <f>O286/'סכום נכסי הקרן'!$C$42</f>
        <v>7.0057703409785843E-6</v>
      </c>
    </row>
    <row r="287" spans="2:17" s="132" customFormat="1">
      <c r="B287" s="87" t="s">
        <v>3133</v>
      </c>
      <c r="C287" s="97" t="s">
        <v>2830</v>
      </c>
      <c r="D287" s="84">
        <v>7082</v>
      </c>
      <c r="E287" s="84"/>
      <c r="F287" s="84" t="s">
        <v>942</v>
      </c>
      <c r="G287" s="107">
        <v>43682</v>
      </c>
      <c r="H287" s="84"/>
      <c r="I287" s="94">
        <v>5.75</v>
      </c>
      <c r="J287" s="97" t="s">
        <v>169</v>
      </c>
      <c r="K287" s="98">
        <v>4.9446000000000004E-2</v>
      </c>
      <c r="L287" s="98">
        <v>4.5200000000000004E-2</v>
      </c>
      <c r="M287" s="94">
        <v>76873.039999999994</v>
      </c>
      <c r="N287" s="96">
        <v>102.15</v>
      </c>
      <c r="O287" s="94">
        <v>271.38521000000003</v>
      </c>
      <c r="P287" s="95">
        <f t="shared" si="6"/>
        <v>5.4923284744961567E-5</v>
      </c>
      <c r="Q287" s="95">
        <f>O287/'סכום נכסי הקרן'!$C$42</f>
        <v>4.670514421147776E-6</v>
      </c>
    </row>
    <row r="288" spans="2:17" s="132" customFormat="1">
      <c r="B288" s="87" t="s">
        <v>3133</v>
      </c>
      <c r="C288" s="97" t="s">
        <v>2830</v>
      </c>
      <c r="D288" s="84">
        <v>7144</v>
      </c>
      <c r="E288" s="84"/>
      <c r="F288" s="84" t="s">
        <v>942</v>
      </c>
      <c r="G288" s="107">
        <v>43738</v>
      </c>
      <c r="H288" s="84"/>
      <c r="I288" s="94">
        <v>5.72</v>
      </c>
      <c r="J288" s="97" t="s">
        <v>169</v>
      </c>
      <c r="K288" s="98">
        <v>4.7994000000000002E-2</v>
      </c>
      <c r="L288" s="98">
        <v>4.5199999999999997E-2</v>
      </c>
      <c r="M288" s="94">
        <v>265211.96999999997</v>
      </c>
      <c r="N288" s="96">
        <v>102.15</v>
      </c>
      <c r="O288" s="94">
        <v>936.27889000000005</v>
      </c>
      <c r="P288" s="95">
        <f t="shared" si="6"/>
        <v>1.8948531526889967E-4</v>
      </c>
      <c r="Q288" s="95">
        <f>O288/'סכום נכסי הקרן'!$C$42</f>
        <v>1.6113273298722625E-5</v>
      </c>
    </row>
    <row r="289" spans="2:17" s="132" customFormat="1">
      <c r="B289" s="87" t="s">
        <v>3133</v>
      </c>
      <c r="C289" s="97" t="s">
        <v>2830</v>
      </c>
      <c r="D289" s="84">
        <v>7196</v>
      </c>
      <c r="E289" s="84"/>
      <c r="F289" s="84" t="s">
        <v>942</v>
      </c>
      <c r="G289" s="107">
        <v>43735</v>
      </c>
      <c r="H289" s="84"/>
      <c r="I289" s="94">
        <v>5.7499999999999991</v>
      </c>
      <c r="J289" s="97" t="s">
        <v>169</v>
      </c>
      <c r="K289" s="98">
        <v>4.9446000000000004E-2</v>
      </c>
      <c r="L289" s="98">
        <v>4.5199999999999997E-2</v>
      </c>
      <c r="M289" s="94">
        <v>438176.31</v>
      </c>
      <c r="N289" s="96">
        <v>102.15</v>
      </c>
      <c r="O289" s="94">
        <v>1546.8955100000001</v>
      </c>
      <c r="P289" s="95">
        <f t="shared" si="6"/>
        <v>3.1306268520098251E-4</v>
      </c>
      <c r="Q289" s="95">
        <f>O289/'סכום נכסי הקרן'!$C$42</f>
        <v>2.6621928982289577E-5</v>
      </c>
    </row>
    <row r="290" spans="2:17" s="132" customFormat="1">
      <c r="B290" s="87" t="s">
        <v>3133</v>
      </c>
      <c r="C290" s="97" t="s">
        <v>2830</v>
      </c>
      <c r="D290" s="84">
        <v>7257</v>
      </c>
      <c r="E290" s="84"/>
      <c r="F290" s="84" t="s">
        <v>942</v>
      </c>
      <c r="G290" s="107">
        <v>43774</v>
      </c>
      <c r="H290" s="84"/>
      <c r="I290" s="94">
        <v>5.75</v>
      </c>
      <c r="J290" s="97" t="s">
        <v>169</v>
      </c>
      <c r="K290" s="98">
        <v>4.9446000000000004E-2</v>
      </c>
      <c r="L290" s="98">
        <v>4.5199999999999997E-2</v>
      </c>
      <c r="M290" s="94">
        <v>84560.34</v>
      </c>
      <c r="N290" s="96">
        <v>102.15</v>
      </c>
      <c r="O290" s="94">
        <v>298.52368000000001</v>
      </c>
      <c r="P290" s="95">
        <f t="shared" si="6"/>
        <v>6.0415602898012706E-5</v>
      </c>
      <c r="Q290" s="95">
        <f>O290/'סכום נכסי הקרן'!$C$42</f>
        <v>5.1375649855572597E-6</v>
      </c>
    </row>
    <row r="291" spans="2:17" s="132" customFormat="1">
      <c r="B291" s="87" t="s">
        <v>3133</v>
      </c>
      <c r="C291" s="97" t="s">
        <v>2830</v>
      </c>
      <c r="D291" s="84">
        <v>7301</v>
      </c>
      <c r="E291" s="84"/>
      <c r="F291" s="84" t="s">
        <v>942</v>
      </c>
      <c r="G291" s="107">
        <v>43804</v>
      </c>
      <c r="H291" s="84"/>
      <c r="I291" s="94">
        <v>5.7200000000000006</v>
      </c>
      <c r="J291" s="97" t="s">
        <v>169</v>
      </c>
      <c r="K291" s="98">
        <v>4.7994000000000002E-2</v>
      </c>
      <c r="L291" s="98">
        <v>4.5200000000000004E-2</v>
      </c>
      <c r="M291" s="94">
        <v>1306841.6000000001</v>
      </c>
      <c r="N291" s="96">
        <v>102.15</v>
      </c>
      <c r="O291" s="94">
        <v>4613.5481799999998</v>
      </c>
      <c r="P291" s="95">
        <f t="shared" si="6"/>
        <v>9.3369576173564929E-4</v>
      </c>
      <c r="Q291" s="95">
        <f>O291/'סכום נכסי הקרן'!$C$42</f>
        <v>7.9398738447648164E-5</v>
      </c>
    </row>
    <row r="292" spans="2:17" s="132" customFormat="1">
      <c r="B292" s="87" t="s">
        <v>3133</v>
      </c>
      <c r="C292" s="97" t="s">
        <v>2830</v>
      </c>
      <c r="D292" s="84">
        <v>7336</v>
      </c>
      <c r="E292" s="84"/>
      <c r="F292" s="84" t="s">
        <v>942</v>
      </c>
      <c r="G292" s="107">
        <v>43830</v>
      </c>
      <c r="H292" s="84"/>
      <c r="I292" s="94">
        <v>5.7200000000000006</v>
      </c>
      <c r="J292" s="97" t="s">
        <v>169</v>
      </c>
      <c r="K292" s="98">
        <v>4.7994000000000002E-2</v>
      </c>
      <c r="L292" s="98">
        <v>4.9100000000000012E-2</v>
      </c>
      <c r="M292" s="94">
        <v>161433.37</v>
      </c>
      <c r="N292" s="96">
        <v>100</v>
      </c>
      <c r="O292" s="94">
        <v>557.91372999999999</v>
      </c>
      <c r="P292" s="95">
        <f t="shared" si="6"/>
        <v>1.1291129187148261E-4</v>
      </c>
      <c r="Q292" s="95">
        <f>O292/'סכום נכסי הקרן'!$C$42</f>
        <v>9.6016438099974064E-6</v>
      </c>
    </row>
    <row r="293" spans="2:17" s="132" customFormat="1">
      <c r="B293" s="87" t="s">
        <v>3113</v>
      </c>
      <c r="C293" s="97" t="s">
        <v>2830</v>
      </c>
      <c r="D293" s="84">
        <v>7319</v>
      </c>
      <c r="E293" s="84"/>
      <c r="F293" s="84" t="s">
        <v>942</v>
      </c>
      <c r="G293" s="107">
        <v>43818</v>
      </c>
      <c r="H293" s="84"/>
      <c r="I293" s="94">
        <v>2.58</v>
      </c>
      <c r="J293" s="97" t="s">
        <v>169</v>
      </c>
      <c r="K293" s="98">
        <v>3.7089999999999998E-2</v>
      </c>
      <c r="L293" s="98">
        <v>3.6399999999999995E-2</v>
      </c>
      <c r="M293" s="94">
        <v>22060333.629999999</v>
      </c>
      <c r="N293" s="96">
        <v>100.66</v>
      </c>
      <c r="O293" s="94">
        <v>76743.697440000004</v>
      </c>
      <c r="P293" s="95">
        <f t="shared" ref="P293:P347" si="7">O293/$O$10</f>
        <v>1.5531487316049013E-2</v>
      </c>
      <c r="Q293" s="95">
        <f>O293/'סכום נכסי הקרן'!$C$42</f>
        <v>1.3207519511683103E-3</v>
      </c>
    </row>
    <row r="294" spans="2:17" s="132" customFormat="1">
      <c r="B294" s="87" t="s">
        <v>3113</v>
      </c>
      <c r="C294" s="97" t="s">
        <v>2830</v>
      </c>
      <c r="D294" s="84">
        <v>7320</v>
      </c>
      <c r="E294" s="84"/>
      <c r="F294" s="84" t="s">
        <v>942</v>
      </c>
      <c r="G294" s="107">
        <v>43819</v>
      </c>
      <c r="H294" s="84"/>
      <c r="I294" s="94">
        <v>2.58</v>
      </c>
      <c r="J294" s="97" t="s">
        <v>169</v>
      </c>
      <c r="K294" s="98">
        <v>3.7089999999999998E-2</v>
      </c>
      <c r="L294" s="98">
        <v>3.6400000000000002E-2</v>
      </c>
      <c r="M294" s="94">
        <v>673395.45</v>
      </c>
      <c r="N294" s="96">
        <v>100.65</v>
      </c>
      <c r="O294" s="94">
        <v>2342.3818999999999</v>
      </c>
      <c r="P294" s="95">
        <f t="shared" si="7"/>
        <v>4.7405423484626913E-4</v>
      </c>
      <c r="Q294" s="95">
        <f>O294/'סכום נכסי הקרן'!$C$42</f>
        <v>4.0312176348097694E-5</v>
      </c>
    </row>
    <row r="295" spans="2:17" s="132" customFormat="1">
      <c r="B295" s="87" t="s">
        <v>3114</v>
      </c>
      <c r="C295" s="97" t="s">
        <v>2830</v>
      </c>
      <c r="D295" s="84">
        <v>475042</v>
      </c>
      <c r="E295" s="84"/>
      <c r="F295" s="84" t="s">
        <v>942</v>
      </c>
      <c r="G295" s="107">
        <v>42921</v>
      </c>
      <c r="H295" s="84"/>
      <c r="I295" s="94">
        <v>3.6700000000000004</v>
      </c>
      <c r="J295" s="97" t="s">
        <v>169</v>
      </c>
      <c r="K295" s="98">
        <v>4.5548000000000005E-2</v>
      </c>
      <c r="L295" s="98">
        <v>5.33E-2</v>
      </c>
      <c r="M295" s="94">
        <v>6579426.7000000002</v>
      </c>
      <c r="N295" s="96">
        <v>100.48</v>
      </c>
      <c r="O295" s="94">
        <v>22847.643929999998</v>
      </c>
      <c r="P295" s="95">
        <f t="shared" si="7"/>
        <v>4.6239353033235763E-3</v>
      </c>
      <c r="Q295" s="95">
        <f>O295/'סכום נכסי הקרן'!$C$42</f>
        <v>3.9320584369470404E-4</v>
      </c>
    </row>
    <row r="296" spans="2:17" s="132" customFormat="1">
      <c r="B296" s="87" t="s">
        <v>3114</v>
      </c>
      <c r="C296" s="97" t="s">
        <v>2830</v>
      </c>
      <c r="D296" s="84">
        <v>6497</v>
      </c>
      <c r="E296" s="84"/>
      <c r="F296" s="84" t="s">
        <v>942</v>
      </c>
      <c r="G296" s="107">
        <v>43342</v>
      </c>
      <c r="H296" s="84"/>
      <c r="I296" s="94">
        <v>4.82</v>
      </c>
      <c r="J296" s="97" t="s">
        <v>169</v>
      </c>
      <c r="K296" s="98">
        <v>4.5548000000000005E-2</v>
      </c>
      <c r="L296" s="98">
        <v>4.6600000000000003E-2</v>
      </c>
      <c r="M296" s="94">
        <v>1248792.8600000001</v>
      </c>
      <c r="N296" s="96">
        <v>100.48</v>
      </c>
      <c r="O296" s="94">
        <v>4336.5441799999999</v>
      </c>
      <c r="P296" s="95">
        <f t="shared" si="7"/>
        <v>8.7763533910800013E-4</v>
      </c>
      <c r="Q296" s="95">
        <f>O296/'סכום נכסי הקרן'!$C$42</f>
        <v>7.4631525169092496E-5</v>
      </c>
    </row>
    <row r="297" spans="2:17" s="132" customFormat="1">
      <c r="B297" s="87" t="s">
        <v>3115</v>
      </c>
      <c r="C297" s="97" t="s">
        <v>2830</v>
      </c>
      <c r="D297" s="84">
        <v>491469</v>
      </c>
      <c r="E297" s="84"/>
      <c r="F297" s="84" t="s">
        <v>942</v>
      </c>
      <c r="G297" s="107">
        <v>43079</v>
      </c>
      <c r="H297" s="84"/>
      <c r="I297" s="94">
        <v>3.2600000000000002</v>
      </c>
      <c r="J297" s="97" t="s">
        <v>169</v>
      </c>
      <c r="K297" s="98">
        <v>4.5419999999999995E-2</v>
      </c>
      <c r="L297" s="98">
        <v>4.6399999999999997E-2</v>
      </c>
      <c r="M297" s="94">
        <v>13019194.32</v>
      </c>
      <c r="N297" s="96">
        <v>100</v>
      </c>
      <c r="O297" s="94">
        <v>44994.334080000001</v>
      </c>
      <c r="P297" s="95">
        <f t="shared" si="7"/>
        <v>9.1060106871180199E-3</v>
      </c>
      <c r="Q297" s="95">
        <f>O297/'סכום נכסי הקרן'!$C$42</f>
        <v>7.7434833751839616E-4</v>
      </c>
    </row>
    <row r="298" spans="2:17" s="132" customFormat="1">
      <c r="B298" s="87" t="s">
        <v>3115</v>
      </c>
      <c r="C298" s="97" t="s">
        <v>2830</v>
      </c>
      <c r="D298" s="84">
        <v>6864</v>
      </c>
      <c r="E298" s="84"/>
      <c r="F298" s="84" t="s">
        <v>942</v>
      </c>
      <c r="G298" s="107">
        <v>43565</v>
      </c>
      <c r="H298" s="84"/>
      <c r="I298" s="94">
        <v>1.8999999999999997</v>
      </c>
      <c r="J298" s="97" t="s">
        <v>169</v>
      </c>
      <c r="K298" s="98">
        <v>4.5419999999999995E-2</v>
      </c>
      <c r="L298" s="98">
        <v>4.6799999999999994E-2</v>
      </c>
      <c r="M298" s="94">
        <v>5511479.3399999999</v>
      </c>
      <c r="N298" s="96">
        <v>100</v>
      </c>
      <c r="O298" s="94">
        <v>19047.67194</v>
      </c>
      <c r="P298" s="95">
        <f t="shared" si="7"/>
        <v>3.8548921280169776E-3</v>
      </c>
      <c r="Q298" s="95">
        <f>O298/'סכום נכסי הקרן'!$C$42</f>
        <v>3.2780867640156894E-4</v>
      </c>
    </row>
    <row r="299" spans="2:17" s="132" customFormat="1">
      <c r="B299" s="87" t="s">
        <v>3115</v>
      </c>
      <c r="C299" s="97" t="s">
        <v>2830</v>
      </c>
      <c r="D299" s="84">
        <v>6800</v>
      </c>
      <c r="E299" s="84"/>
      <c r="F299" s="84" t="s">
        <v>942</v>
      </c>
      <c r="G299" s="107">
        <v>37833</v>
      </c>
      <c r="H299" s="84"/>
      <c r="I299" s="94">
        <v>3.2199999999999998</v>
      </c>
      <c r="J299" s="97" t="s">
        <v>169</v>
      </c>
      <c r="K299" s="98">
        <v>4.5419999999999995E-2</v>
      </c>
      <c r="L299" s="98">
        <v>5.0399999999999993E-2</v>
      </c>
      <c r="M299" s="94">
        <v>50607.77</v>
      </c>
      <c r="N299" s="96">
        <v>100</v>
      </c>
      <c r="O299" s="94">
        <v>174.90045000000001</v>
      </c>
      <c r="P299" s="95">
        <f t="shared" si="7"/>
        <v>3.539657602332829E-5</v>
      </c>
      <c r="Q299" s="95">
        <f>O299/'סכום נכסי הקרן'!$C$42</f>
        <v>3.0100206049925695E-6</v>
      </c>
    </row>
    <row r="300" spans="2:17" s="132" customFormat="1">
      <c r="B300" s="87" t="s">
        <v>3115</v>
      </c>
      <c r="C300" s="97" t="s">
        <v>2830</v>
      </c>
      <c r="D300" s="84">
        <v>6783</v>
      </c>
      <c r="E300" s="84"/>
      <c r="F300" s="84" t="s">
        <v>942</v>
      </c>
      <c r="G300" s="107">
        <v>43521</v>
      </c>
      <c r="H300" s="84"/>
      <c r="I300" s="94">
        <v>3.2199999999999998</v>
      </c>
      <c r="J300" s="97" t="s">
        <v>169</v>
      </c>
      <c r="K300" s="98">
        <v>4.5419999999999995E-2</v>
      </c>
      <c r="L300" s="98">
        <v>5.0399999999999993E-2</v>
      </c>
      <c r="M300" s="94">
        <v>404293.56</v>
      </c>
      <c r="N300" s="96">
        <v>100</v>
      </c>
      <c r="O300" s="94">
        <v>1397.2385099999999</v>
      </c>
      <c r="P300" s="95">
        <f t="shared" si="7"/>
        <v>2.8277491076745051E-4</v>
      </c>
      <c r="Q300" s="95">
        <f>O300/'סכום נכסי הקרן'!$C$42</f>
        <v>2.4046345822375619E-5</v>
      </c>
    </row>
    <row r="301" spans="2:17" s="132" customFormat="1">
      <c r="B301" s="87" t="s">
        <v>3116</v>
      </c>
      <c r="C301" s="97" t="s">
        <v>2830</v>
      </c>
      <c r="D301" s="84">
        <v>6438</v>
      </c>
      <c r="E301" s="84"/>
      <c r="F301" s="84" t="s">
        <v>942</v>
      </c>
      <c r="G301" s="107">
        <v>43304</v>
      </c>
      <c r="H301" s="84"/>
      <c r="I301" s="94">
        <v>4.6100000000000003</v>
      </c>
      <c r="J301" s="97" t="s">
        <v>171</v>
      </c>
      <c r="K301" s="98">
        <v>1.8600000000000002E-2</v>
      </c>
      <c r="L301" s="98">
        <v>2.0499999999999997E-2</v>
      </c>
      <c r="M301" s="94">
        <v>20999505.100000001</v>
      </c>
      <c r="N301" s="96">
        <v>100.01</v>
      </c>
      <c r="O301" s="94">
        <v>81448.421989999988</v>
      </c>
      <c r="P301" s="95">
        <f t="shared" si="7"/>
        <v>1.6483635467771283E-2</v>
      </c>
      <c r="Q301" s="95">
        <f>O301/'סכום נכסי הקרן'!$C$42</f>
        <v>1.4017198265300623E-3</v>
      </c>
    </row>
    <row r="302" spans="2:17" s="132" customFormat="1">
      <c r="B302" s="87" t="s">
        <v>3141</v>
      </c>
      <c r="C302" s="97" t="s">
        <v>2830</v>
      </c>
      <c r="D302" s="84">
        <v>7323</v>
      </c>
      <c r="E302" s="84"/>
      <c r="F302" s="84" t="s">
        <v>942</v>
      </c>
      <c r="G302" s="107">
        <v>43822</v>
      </c>
      <c r="H302" s="84"/>
      <c r="I302" s="94">
        <v>3.81</v>
      </c>
      <c r="J302" s="97" t="s">
        <v>169</v>
      </c>
      <c r="K302" s="98">
        <v>5.7054000000000001E-2</v>
      </c>
      <c r="L302" s="98">
        <v>5.8099999999999999E-2</v>
      </c>
      <c r="M302" s="94">
        <v>1962552.99</v>
      </c>
      <c r="N302" s="96">
        <v>100</v>
      </c>
      <c r="O302" s="94">
        <v>6782.5830300000007</v>
      </c>
      <c r="P302" s="95">
        <f t="shared" si="7"/>
        <v>1.3726677996307691E-3</v>
      </c>
      <c r="Q302" s="95">
        <f>O302/'סכום נכסי הקרן'!$C$42</f>
        <v>1.1672762806140828E-4</v>
      </c>
    </row>
    <row r="303" spans="2:17" s="132" customFormat="1">
      <c r="B303" s="87" t="s">
        <v>3141</v>
      </c>
      <c r="C303" s="97" t="s">
        <v>2830</v>
      </c>
      <c r="D303" s="84">
        <v>7324</v>
      </c>
      <c r="E303" s="84"/>
      <c r="F303" s="84" t="s">
        <v>942</v>
      </c>
      <c r="G303" s="107">
        <v>43822</v>
      </c>
      <c r="H303" s="84"/>
      <c r="I303" s="94">
        <v>3.7999999999999994</v>
      </c>
      <c r="J303" s="97" t="s">
        <v>169</v>
      </c>
      <c r="K303" s="98">
        <v>5.9271000000000004E-2</v>
      </c>
      <c r="L303" s="98">
        <v>5.6100000000000004E-2</v>
      </c>
      <c r="M303" s="94">
        <v>1996900.32</v>
      </c>
      <c r="N303" s="96">
        <v>100</v>
      </c>
      <c r="O303" s="94">
        <v>6901.28737</v>
      </c>
      <c r="P303" s="95">
        <f t="shared" si="7"/>
        <v>1.3966913352769551E-3</v>
      </c>
      <c r="Q303" s="95">
        <f>O303/'סכום נכסי הקרן'!$C$42</f>
        <v>1.1877051879897951E-4</v>
      </c>
    </row>
    <row r="304" spans="2:17" s="132" customFormat="1">
      <c r="B304" s="87" t="s">
        <v>3141</v>
      </c>
      <c r="C304" s="97" t="s">
        <v>2830</v>
      </c>
      <c r="D304" s="84">
        <v>7325</v>
      </c>
      <c r="E304" s="84"/>
      <c r="F304" s="84" t="s">
        <v>942</v>
      </c>
      <c r="G304" s="107">
        <v>37530</v>
      </c>
      <c r="H304" s="84"/>
      <c r="I304" s="94">
        <v>3.7999999999999994</v>
      </c>
      <c r="J304" s="97" t="s">
        <v>169</v>
      </c>
      <c r="K304" s="98">
        <v>5.9138000000000003E-2</v>
      </c>
      <c r="L304" s="98">
        <v>5.6799999999999996E-2</v>
      </c>
      <c r="M304" s="94">
        <v>1996900.32</v>
      </c>
      <c r="N304" s="96">
        <v>100</v>
      </c>
      <c r="O304" s="94">
        <v>6901.2877400000007</v>
      </c>
      <c r="P304" s="95">
        <f t="shared" si="7"/>
        <v>1.3966914101580269E-3</v>
      </c>
      <c r="Q304" s="95">
        <f>O304/'סכום נכסי הקרן'!$C$42</f>
        <v>1.1877052516664539E-4</v>
      </c>
    </row>
    <row r="305" spans="2:17" s="132" customFormat="1">
      <c r="B305" s="87" t="s">
        <v>3142</v>
      </c>
      <c r="C305" s="97" t="s">
        <v>2830</v>
      </c>
      <c r="D305" s="84">
        <v>7056</v>
      </c>
      <c r="E305" s="84"/>
      <c r="F305" s="84" t="s">
        <v>942</v>
      </c>
      <c r="G305" s="107">
        <v>43664</v>
      </c>
      <c r="H305" s="84"/>
      <c r="I305" s="94">
        <v>1.1399999999999999</v>
      </c>
      <c r="J305" s="97" t="s">
        <v>169</v>
      </c>
      <c r="K305" s="98">
        <v>3.6840000000000005E-2</v>
      </c>
      <c r="L305" s="98">
        <v>3.4200000000000001E-2</v>
      </c>
      <c r="M305" s="94">
        <v>14969945.24</v>
      </c>
      <c r="N305" s="96">
        <v>100.76</v>
      </c>
      <c r="O305" s="94">
        <v>52129.327090000006</v>
      </c>
      <c r="P305" s="95">
        <f t="shared" si="7"/>
        <v>1.0549999667731741E-2</v>
      </c>
      <c r="Q305" s="95">
        <f>O305/'סכום נכסי הקרן'!$C$42</f>
        <v>8.971409088158283E-4</v>
      </c>
    </row>
    <row r="306" spans="2:17" s="132" customFormat="1">
      <c r="B306" s="87" t="s">
        <v>3142</v>
      </c>
      <c r="C306" s="97" t="s">
        <v>2830</v>
      </c>
      <c r="D306" s="84">
        <v>7296</v>
      </c>
      <c r="E306" s="84"/>
      <c r="F306" s="84" t="s">
        <v>942</v>
      </c>
      <c r="G306" s="107">
        <v>43801</v>
      </c>
      <c r="H306" s="84"/>
      <c r="I306" s="94">
        <v>1.1399999999999999</v>
      </c>
      <c r="J306" s="97" t="s">
        <v>169</v>
      </c>
      <c r="K306" s="98">
        <v>3.6840000000000005E-2</v>
      </c>
      <c r="L306" s="98">
        <v>3.4099999999999998E-2</v>
      </c>
      <c r="M306" s="94">
        <v>63930.87</v>
      </c>
      <c r="N306" s="96">
        <v>100.76</v>
      </c>
      <c r="O306" s="94">
        <v>222.62429</v>
      </c>
      <c r="P306" s="95">
        <f t="shared" si="7"/>
        <v>4.5054987597942051E-5</v>
      </c>
      <c r="Q306" s="95">
        <f>O306/'סכום נכסי הקרן'!$C$42</f>
        <v>3.8313434875201358E-6</v>
      </c>
    </row>
    <row r="307" spans="2:17" s="132" customFormat="1">
      <c r="B307" s="87" t="s">
        <v>3117</v>
      </c>
      <c r="C307" s="97" t="s">
        <v>2830</v>
      </c>
      <c r="D307" s="84">
        <v>6588</v>
      </c>
      <c r="E307" s="84"/>
      <c r="F307" s="84" t="s">
        <v>942</v>
      </c>
      <c r="G307" s="107">
        <v>43397</v>
      </c>
      <c r="H307" s="84"/>
      <c r="I307" s="94">
        <v>0.52</v>
      </c>
      <c r="J307" s="97" t="s">
        <v>169</v>
      </c>
      <c r="K307" s="98">
        <v>3.5110000000000002E-2</v>
      </c>
      <c r="L307" s="98">
        <v>3.4500000000000003E-2</v>
      </c>
      <c r="M307" s="94">
        <v>18291541.399999999</v>
      </c>
      <c r="N307" s="96">
        <v>100.31</v>
      </c>
      <c r="O307" s="94">
        <v>63411.537759999999</v>
      </c>
      <c r="P307" s="95">
        <f t="shared" si="7"/>
        <v>1.2833307844994065E-2</v>
      </c>
      <c r="Q307" s="95">
        <f>O307/'סכום נכסי הקרן'!$C$42</f>
        <v>1.0913067133438727E-3</v>
      </c>
    </row>
    <row r="308" spans="2:17" s="132" customFormat="1">
      <c r="B308" s="87" t="s">
        <v>3118</v>
      </c>
      <c r="C308" s="97" t="s">
        <v>2830</v>
      </c>
      <c r="D308" s="84">
        <v>487447</v>
      </c>
      <c r="E308" s="84"/>
      <c r="F308" s="84" t="s">
        <v>942</v>
      </c>
      <c r="G308" s="107">
        <v>43051</v>
      </c>
      <c r="H308" s="84"/>
      <c r="I308" s="94">
        <v>2.37</v>
      </c>
      <c r="J308" s="97" t="s">
        <v>169</v>
      </c>
      <c r="K308" s="98">
        <v>4.5494000000000007E-2</v>
      </c>
      <c r="L308" s="98">
        <v>4.6500000000000007E-2</v>
      </c>
      <c r="M308" s="94">
        <v>11203575.82</v>
      </c>
      <c r="N308" s="96">
        <v>100</v>
      </c>
      <c r="O308" s="94">
        <v>38719.556929999999</v>
      </c>
      <c r="P308" s="95">
        <f t="shared" si="7"/>
        <v>7.8361132888013305E-3</v>
      </c>
      <c r="Q308" s="95">
        <f>O308/'סכום נכסי הקרן'!$C$42</f>
        <v>6.6636000179234997E-4</v>
      </c>
    </row>
    <row r="309" spans="2:17" s="132" customFormat="1">
      <c r="B309" s="87" t="s">
        <v>3120</v>
      </c>
      <c r="C309" s="97" t="s">
        <v>2830</v>
      </c>
      <c r="D309" s="84">
        <v>6524</v>
      </c>
      <c r="E309" s="84"/>
      <c r="F309" s="84" t="s">
        <v>942</v>
      </c>
      <c r="G309" s="107">
        <v>43357</v>
      </c>
      <c r="H309" s="84"/>
      <c r="I309" s="94">
        <v>7.21</v>
      </c>
      <c r="J309" s="97" t="s">
        <v>172</v>
      </c>
      <c r="K309" s="98">
        <v>2.8268000000000001E-2</v>
      </c>
      <c r="L309" s="98">
        <v>3.2000000000000001E-2</v>
      </c>
      <c r="M309" s="94">
        <v>2771201.05</v>
      </c>
      <c r="N309" s="96">
        <v>100.68</v>
      </c>
      <c r="O309" s="94">
        <v>12721.76924</v>
      </c>
      <c r="P309" s="95">
        <f t="shared" si="7"/>
        <v>2.5746478757195839E-3</v>
      </c>
      <c r="Q309" s="95">
        <f>O309/'סכום נכסי הקרן'!$C$42</f>
        <v>2.1894047467779903E-4</v>
      </c>
    </row>
    <row r="310" spans="2:17" s="132" customFormat="1">
      <c r="B310" s="87" t="s">
        <v>3120</v>
      </c>
      <c r="C310" s="97" t="s">
        <v>2830</v>
      </c>
      <c r="D310" s="84">
        <v>471677</v>
      </c>
      <c r="E310" s="84"/>
      <c r="F310" s="84" t="s">
        <v>942</v>
      </c>
      <c r="G310" s="107">
        <v>42891</v>
      </c>
      <c r="H310" s="84"/>
      <c r="I310" s="94">
        <v>7.2099999999999991</v>
      </c>
      <c r="J310" s="97" t="s">
        <v>172</v>
      </c>
      <c r="K310" s="98">
        <v>2.8268000000000001E-2</v>
      </c>
      <c r="L310" s="98">
        <v>3.2000000000000001E-2</v>
      </c>
      <c r="M310" s="94">
        <v>7984872.54</v>
      </c>
      <c r="N310" s="96">
        <v>100.68</v>
      </c>
      <c r="O310" s="94">
        <v>36656.202130000005</v>
      </c>
      <c r="P310" s="95">
        <f t="shared" si="7"/>
        <v>7.4185289141396344E-3</v>
      </c>
      <c r="Q310" s="95">
        <f>O310/'סכום נכסי הקרן'!$C$42</f>
        <v>6.3084985608711998E-4</v>
      </c>
    </row>
    <row r="311" spans="2:17" s="132" customFormat="1">
      <c r="B311" s="87" t="s">
        <v>3126</v>
      </c>
      <c r="C311" s="97" t="s">
        <v>2830</v>
      </c>
      <c r="D311" s="84">
        <v>6781</v>
      </c>
      <c r="E311" s="84"/>
      <c r="F311" s="84" t="s">
        <v>942</v>
      </c>
      <c r="G311" s="107">
        <v>43517</v>
      </c>
      <c r="H311" s="84"/>
      <c r="I311" s="94">
        <v>0.68999999999999984</v>
      </c>
      <c r="J311" s="97" t="s">
        <v>169</v>
      </c>
      <c r="K311" s="98">
        <v>4.011E-2</v>
      </c>
      <c r="L311" s="98">
        <v>3.7399999999999996E-2</v>
      </c>
      <c r="M311" s="94">
        <v>19766203.280000001</v>
      </c>
      <c r="N311" s="96">
        <v>100.53</v>
      </c>
      <c r="O311" s="94">
        <v>68674.050969999997</v>
      </c>
      <c r="P311" s="95">
        <f t="shared" si="7"/>
        <v>1.3898341976761789E-2</v>
      </c>
      <c r="Q311" s="95">
        <f>O311/'סכום נכסי הקרן'!$C$42</f>
        <v>1.1818740800724637E-3</v>
      </c>
    </row>
    <row r="312" spans="2:17" s="132" customFormat="1">
      <c r="B312" s="87" t="s">
        <v>3126</v>
      </c>
      <c r="C312" s="97" t="s">
        <v>2830</v>
      </c>
      <c r="D312" s="84">
        <v>6888</v>
      </c>
      <c r="E312" s="84"/>
      <c r="F312" s="84" t="s">
        <v>942</v>
      </c>
      <c r="G312" s="107">
        <v>43584</v>
      </c>
      <c r="H312" s="84"/>
      <c r="I312" s="94">
        <v>0.69</v>
      </c>
      <c r="J312" s="97" t="s">
        <v>169</v>
      </c>
      <c r="K312" s="98">
        <v>4.011E-2</v>
      </c>
      <c r="L312" s="98">
        <v>3.7399999999999996E-2</v>
      </c>
      <c r="M312" s="94">
        <v>26723.19</v>
      </c>
      <c r="N312" s="96">
        <v>100.53</v>
      </c>
      <c r="O312" s="94">
        <v>92.844820000000013</v>
      </c>
      <c r="P312" s="95">
        <f t="shared" si="7"/>
        <v>1.8790053024461806E-5</v>
      </c>
      <c r="Q312" s="95">
        <f>O312/'סכום נכסי הקרן'!$C$42</f>
        <v>1.5978507846424994E-6</v>
      </c>
    </row>
    <row r="313" spans="2:17" s="132" customFormat="1">
      <c r="B313" s="87" t="s">
        <v>3126</v>
      </c>
      <c r="C313" s="97" t="s">
        <v>2830</v>
      </c>
      <c r="D313" s="84">
        <v>6952</v>
      </c>
      <c r="E313" s="84"/>
      <c r="F313" s="84" t="s">
        <v>942</v>
      </c>
      <c r="G313" s="107">
        <v>43627</v>
      </c>
      <c r="H313" s="84"/>
      <c r="I313" s="94">
        <v>0.69</v>
      </c>
      <c r="J313" s="97" t="s">
        <v>169</v>
      </c>
      <c r="K313" s="98">
        <v>4.011E-2</v>
      </c>
      <c r="L313" s="98">
        <v>3.7399999999999996E-2</v>
      </c>
      <c r="M313" s="94">
        <v>30077.55</v>
      </c>
      <c r="N313" s="96">
        <v>100.53</v>
      </c>
      <c r="O313" s="94">
        <v>104.49894</v>
      </c>
      <c r="P313" s="95">
        <f t="shared" si="7"/>
        <v>2.1148628686016652E-5</v>
      </c>
      <c r="Q313" s="95">
        <f>O313/'סכום נכסי הקרן'!$C$42</f>
        <v>1.7984171144207016E-6</v>
      </c>
    </row>
    <row r="314" spans="2:17" s="132" customFormat="1">
      <c r="B314" s="87" t="s">
        <v>3126</v>
      </c>
      <c r="C314" s="97" t="s">
        <v>2830</v>
      </c>
      <c r="D314" s="84">
        <v>7033</v>
      </c>
      <c r="E314" s="84"/>
      <c r="F314" s="84" t="s">
        <v>942</v>
      </c>
      <c r="G314" s="107">
        <v>43658</v>
      </c>
      <c r="H314" s="84"/>
      <c r="I314" s="94">
        <v>0.69</v>
      </c>
      <c r="J314" s="97" t="s">
        <v>169</v>
      </c>
      <c r="K314" s="98">
        <v>4.011E-2</v>
      </c>
      <c r="L314" s="98">
        <v>3.7399999999999996E-2</v>
      </c>
      <c r="M314" s="94">
        <v>52027.98</v>
      </c>
      <c r="N314" s="96">
        <v>100.53</v>
      </c>
      <c r="O314" s="94">
        <v>180.76170000000002</v>
      </c>
      <c r="P314" s="95">
        <f t="shared" si="7"/>
        <v>3.6582783269889022E-5</v>
      </c>
      <c r="Q314" s="95">
        <f>O314/'סכום נכסי הקרן'!$C$42</f>
        <v>3.1108921766266775E-6</v>
      </c>
    </row>
    <row r="315" spans="2:17" s="132" customFormat="1">
      <c r="B315" s="87" t="s">
        <v>3126</v>
      </c>
      <c r="C315" s="97" t="s">
        <v>2830</v>
      </c>
      <c r="D315" s="84">
        <v>7083</v>
      </c>
      <c r="E315" s="84"/>
      <c r="F315" s="84" t="s">
        <v>942</v>
      </c>
      <c r="G315" s="107">
        <v>43682</v>
      </c>
      <c r="H315" s="84"/>
      <c r="I315" s="94">
        <v>0.69000000000000006</v>
      </c>
      <c r="J315" s="97" t="s">
        <v>169</v>
      </c>
      <c r="K315" s="98">
        <v>4.011E-2</v>
      </c>
      <c r="L315" s="98">
        <v>3.7399999999999996E-2</v>
      </c>
      <c r="M315" s="94">
        <v>22830.1</v>
      </c>
      <c r="N315" s="96">
        <v>100.53</v>
      </c>
      <c r="O315" s="94">
        <v>79.319000000000003</v>
      </c>
      <c r="P315" s="95">
        <f t="shared" si="7"/>
        <v>1.6052680330979003E-5</v>
      </c>
      <c r="Q315" s="95">
        <f>O315/'סכום נכסי הקרן'!$C$42</f>
        <v>1.365072670581497E-6</v>
      </c>
    </row>
    <row r="316" spans="2:17" s="132" customFormat="1">
      <c r="B316" s="87" t="s">
        <v>3126</v>
      </c>
      <c r="C316" s="97" t="s">
        <v>2830</v>
      </c>
      <c r="D316" s="84">
        <v>95004002</v>
      </c>
      <c r="E316" s="84"/>
      <c r="F316" s="84" t="s">
        <v>942</v>
      </c>
      <c r="G316" s="107">
        <v>43721</v>
      </c>
      <c r="H316" s="84"/>
      <c r="I316" s="94">
        <v>0.69000000000000006</v>
      </c>
      <c r="J316" s="97" t="s">
        <v>169</v>
      </c>
      <c r="K316" s="98">
        <v>4.011E-2</v>
      </c>
      <c r="L316" s="98">
        <v>3.7399999999999996E-2</v>
      </c>
      <c r="M316" s="94">
        <v>34427.919999999998</v>
      </c>
      <c r="N316" s="96">
        <v>100.53</v>
      </c>
      <c r="O316" s="94">
        <v>119.61348</v>
      </c>
      <c r="P316" s="95">
        <f t="shared" si="7"/>
        <v>2.4207528558301921E-5</v>
      </c>
      <c r="Q316" s="95">
        <f>O316/'סכום נכסי הקרן'!$C$42</f>
        <v>2.0585369530774023E-6</v>
      </c>
    </row>
    <row r="317" spans="2:17" s="132" customFormat="1">
      <c r="B317" s="87" t="s">
        <v>3126</v>
      </c>
      <c r="C317" s="97" t="s">
        <v>2830</v>
      </c>
      <c r="D317" s="84">
        <v>95004003</v>
      </c>
      <c r="E317" s="84"/>
      <c r="F317" s="84" t="s">
        <v>942</v>
      </c>
      <c r="G317" s="107">
        <v>43749</v>
      </c>
      <c r="H317" s="84"/>
      <c r="I317" s="94">
        <v>0.69</v>
      </c>
      <c r="J317" s="97" t="s">
        <v>169</v>
      </c>
      <c r="K317" s="98">
        <v>4.011E-2</v>
      </c>
      <c r="L317" s="98">
        <v>3.7399999999999996E-2</v>
      </c>
      <c r="M317" s="94">
        <v>108796.83</v>
      </c>
      <c r="N317" s="96">
        <v>100.53</v>
      </c>
      <c r="O317" s="94">
        <v>377.99464</v>
      </c>
      <c r="P317" s="95">
        <f t="shared" si="7"/>
        <v>7.6499037087500958E-5</v>
      </c>
      <c r="Q317" s="95">
        <f>O317/'סכום נכסי הקרן'!$C$42</f>
        <v>6.5052528737161535E-6</v>
      </c>
    </row>
    <row r="318" spans="2:17" s="132" customFormat="1">
      <c r="B318" s="87" t="s">
        <v>3126</v>
      </c>
      <c r="C318" s="97" t="s">
        <v>2830</v>
      </c>
      <c r="D318" s="84">
        <v>95004004</v>
      </c>
      <c r="E318" s="84"/>
      <c r="F318" s="84" t="s">
        <v>942</v>
      </c>
      <c r="G318" s="107">
        <v>43784</v>
      </c>
      <c r="H318" s="84"/>
      <c r="I318" s="94">
        <v>0.69</v>
      </c>
      <c r="J318" s="97" t="s">
        <v>169</v>
      </c>
      <c r="K318" s="98">
        <v>4.011E-2</v>
      </c>
      <c r="L318" s="98">
        <v>3.7399999999999996E-2</v>
      </c>
      <c r="M318" s="94">
        <v>88991.87</v>
      </c>
      <c r="N318" s="96">
        <v>100.53</v>
      </c>
      <c r="O318" s="94">
        <v>309.18596000000002</v>
      </c>
      <c r="P318" s="95">
        <f t="shared" si="7"/>
        <v>6.2573448716030978E-5</v>
      </c>
      <c r="Q318" s="95">
        <f>O318/'סכום נכסי הקרן'!$C$42</f>
        <v>5.3210618404607218E-6</v>
      </c>
    </row>
    <row r="319" spans="2:17" s="132" customFormat="1">
      <c r="B319" s="87" t="s">
        <v>3121</v>
      </c>
      <c r="C319" s="97" t="s">
        <v>2830</v>
      </c>
      <c r="D319" s="84">
        <v>7334</v>
      </c>
      <c r="E319" s="84"/>
      <c r="F319" s="84" t="s">
        <v>942</v>
      </c>
      <c r="G319" s="107">
        <v>37537</v>
      </c>
      <c r="H319" s="84"/>
      <c r="I319" s="94">
        <v>3.1799999999999997</v>
      </c>
      <c r="J319" s="97" t="s">
        <v>169</v>
      </c>
      <c r="K319" s="98">
        <v>4.5663999999999996E-2</v>
      </c>
      <c r="L319" s="98">
        <v>4.0399999999999991E-2</v>
      </c>
      <c r="M319" s="94">
        <v>1124025.96</v>
      </c>
      <c r="N319" s="96">
        <v>101.97</v>
      </c>
      <c r="O319" s="94">
        <v>3961.15861</v>
      </c>
      <c r="P319" s="95">
        <f t="shared" si="7"/>
        <v>8.0166432893298101E-4</v>
      </c>
      <c r="Q319" s="95">
        <f>O319/'סכום נכסי הקרן'!$C$42</f>
        <v>6.8171174149315935E-5</v>
      </c>
    </row>
    <row r="320" spans="2:17" s="132" customFormat="1">
      <c r="B320" s="87" t="s">
        <v>3121</v>
      </c>
      <c r="C320" s="97" t="s">
        <v>2830</v>
      </c>
      <c r="D320" s="84">
        <v>6989</v>
      </c>
      <c r="E320" s="84"/>
      <c r="F320" s="84" t="s">
        <v>942</v>
      </c>
      <c r="G320" s="107">
        <v>43636</v>
      </c>
      <c r="H320" s="84"/>
      <c r="I320" s="94">
        <v>3.1700000000000008</v>
      </c>
      <c r="J320" s="97" t="s">
        <v>169</v>
      </c>
      <c r="K320" s="98">
        <v>4.4410999999999999E-2</v>
      </c>
      <c r="L320" s="98">
        <v>4.0500000000000008E-2</v>
      </c>
      <c r="M320" s="94">
        <v>589652.96</v>
      </c>
      <c r="N320" s="96">
        <v>102.28</v>
      </c>
      <c r="O320" s="94">
        <v>2084.30348</v>
      </c>
      <c r="P320" s="95">
        <f t="shared" si="7"/>
        <v>4.2182399522418447E-4</v>
      </c>
      <c r="Q320" s="95">
        <f>O320/'סכום נכסי הקרן'!$C$42</f>
        <v>3.5870670554922631E-5</v>
      </c>
    </row>
    <row r="321" spans="2:17" s="132" customFormat="1">
      <c r="B321" s="87" t="s">
        <v>3121</v>
      </c>
      <c r="C321" s="97" t="s">
        <v>2830</v>
      </c>
      <c r="D321" s="84">
        <v>7051</v>
      </c>
      <c r="E321" s="84"/>
      <c r="F321" s="84" t="s">
        <v>942</v>
      </c>
      <c r="G321" s="107">
        <v>43669</v>
      </c>
      <c r="H321" s="84"/>
      <c r="I321" s="94">
        <v>3.17</v>
      </c>
      <c r="J321" s="97" t="s">
        <v>169</v>
      </c>
      <c r="K321" s="98">
        <v>4.4410999999999999E-2</v>
      </c>
      <c r="L321" s="98">
        <v>4.0500000000000008E-2</v>
      </c>
      <c r="M321" s="94">
        <v>386959.76</v>
      </c>
      <c r="N321" s="96">
        <v>102.28</v>
      </c>
      <c r="O321" s="94">
        <v>1367.8241399999999</v>
      </c>
      <c r="P321" s="95">
        <f t="shared" si="7"/>
        <v>2.7682199307122211E-4</v>
      </c>
      <c r="Q321" s="95">
        <f>O321/'סכום נכסי הקרן'!$C$42</f>
        <v>2.3540127228982204E-5</v>
      </c>
    </row>
    <row r="322" spans="2:17" s="132" customFormat="1">
      <c r="B322" s="87" t="s">
        <v>3121</v>
      </c>
      <c r="C322" s="97" t="s">
        <v>2830</v>
      </c>
      <c r="D322" s="84">
        <v>7132</v>
      </c>
      <c r="E322" s="84"/>
      <c r="F322" s="84" t="s">
        <v>942</v>
      </c>
      <c r="G322" s="107">
        <v>43706</v>
      </c>
      <c r="H322" s="84"/>
      <c r="I322" s="94">
        <v>3.1700000000000004</v>
      </c>
      <c r="J322" s="97" t="s">
        <v>169</v>
      </c>
      <c r="K322" s="98">
        <v>4.4410999999999999E-2</v>
      </c>
      <c r="L322" s="98">
        <v>4.0500000000000001E-2</v>
      </c>
      <c r="M322" s="94">
        <v>866052.79</v>
      </c>
      <c r="N322" s="96">
        <v>102.28</v>
      </c>
      <c r="O322" s="94">
        <v>3061.3207599999996</v>
      </c>
      <c r="P322" s="95">
        <f t="shared" si="7"/>
        <v>6.1955399779207608E-4</v>
      </c>
      <c r="Q322" s="95">
        <f>O322/'סכום נכסי הקרן'!$C$42</f>
        <v>5.2685047786277913E-5</v>
      </c>
    </row>
    <row r="323" spans="2:17" s="132" customFormat="1">
      <c r="B323" s="87" t="s">
        <v>3121</v>
      </c>
      <c r="C323" s="97" t="s">
        <v>2830</v>
      </c>
      <c r="D323" s="84">
        <v>7238</v>
      </c>
      <c r="E323" s="84"/>
      <c r="F323" s="84" t="s">
        <v>942</v>
      </c>
      <c r="G323" s="107">
        <v>43769</v>
      </c>
      <c r="H323" s="84"/>
      <c r="I323" s="94">
        <v>3.17</v>
      </c>
      <c r="J323" s="97" t="s">
        <v>169</v>
      </c>
      <c r="K323" s="98">
        <v>4.4410999999999999E-2</v>
      </c>
      <c r="L323" s="98">
        <v>4.0500000000000008E-2</v>
      </c>
      <c r="M323" s="94">
        <v>515946.34</v>
      </c>
      <c r="N323" s="96">
        <v>102.28</v>
      </c>
      <c r="O323" s="94">
        <v>1823.7655600000001</v>
      </c>
      <c r="P323" s="95">
        <f t="shared" si="7"/>
        <v>3.6909599885688051E-4</v>
      </c>
      <c r="Q323" s="95">
        <f>O323/'סכום נכסי הקרן'!$C$42</f>
        <v>3.1386836993705919E-5</v>
      </c>
    </row>
    <row r="324" spans="2:17" s="132" customFormat="1">
      <c r="B324" s="87" t="s">
        <v>3121</v>
      </c>
      <c r="C324" s="97" t="s">
        <v>2830</v>
      </c>
      <c r="D324" s="84">
        <v>6556</v>
      </c>
      <c r="E324" s="84"/>
      <c r="F324" s="84" t="s">
        <v>942</v>
      </c>
      <c r="G324" s="107">
        <v>43383</v>
      </c>
      <c r="H324" s="84"/>
      <c r="I324" s="94">
        <v>3.17</v>
      </c>
      <c r="J324" s="97" t="s">
        <v>169</v>
      </c>
      <c r="K324" s="98">
        <v>4.4410999999999999E-2</v>
      </c>
      <c r="L324" s="98">
        <v>4.0500000000000001E-2</v>
      </c>
      <c r="M324" s="94">
        <v>5431455.96</v>
      </c>
      <c r="N324" s="96">
        <v>102.28</v>
      </c>
      <c r="O324" s="94">
        <v>19199.093920000003</v>
      </c>
      <c r="P324" s="95">
        <f t="shared" si="7"/>
        <v>3.8855371013527982E-3</v>
      </c>
      <c r="Q324" s="95">
        <f>O324/'סכום נכסי הקרן'!$C$42</f>
        <v>3.3041463470441366E-4</v>
      </c>
    </row>
    <row r="325" spans="2:17" s="132" customFormat="1">
      <c r="B325" s="87" t="s">
        <v>3121</v>
      </c>
      <c r="C325" s="97" t="s">
        <v>2830</v>
      </c>
      <c r="D325" s="84">
        <v>6708</v>
      </c>
      <c r="E325" s="84"/>
      <c r="F325" s="84" t="s">
        <v>942</v>
      </c>
      <c r="G325" s="107">
        <v>43480</v>
      </c>
      <c r="H325" s="84"/>
      <c r="I325" s="94">
        <v>3.17</v>
      </c>
      <c r="J325" s="97" t="s">
        <v>169</v>
      </c>
      <c r="K325" s="98">
        <v>4.4410999999999999E-2</v>
      </c>
      <c r="L325" s="98">
        <v>4.0500000000000001E-2</v>
      </c>
      <c r="M325" s="94">
        <v>368533.1</v>
      </c>
      <c r="N325" s="96">
        <v>102.28</v>
      </c>
      <c r="O325" s="94">
        <v>1302.68967</v>
      </c>
      <c r="P325" s="95">
        <f t="shared" si="7"/>
        <v>2.6363999600320892E-4</v>
      </c>
      <c r="Q325" s="95">
        <f>O325/'סכום נכסי הקרן'!$C$42</f>
        <v>2.2419169010777104E-5</v>
      </c>
    </row>
    <row r="326" spans="2:17" s="132" customFormat="1">
      <c r="B326" s="87" t="s">
        <v>3121</v>
      </c>
      <c r="C326" s="97" t="s">
        <v>2830</v>
      </c>
      <c r="D326" s="84">
        <v>6793</v>
      </c>
      <c r="E326" s="84"/>
      <c r="F326" s="84" t="s">
        <v>942</v>
      </c>
      <c r="G326" s="107">
        <v>43529</v>
      </c>
      <c r="H326" s="84"/>
      <c r="I326" s="94">
        <v>3.1600000000000006</v>
      </c>
      <c r="J326" s="97" t="s">
        <v>169</v>
      </c>
      <c r="K326" s="98">
        <v>4.4410999999999999E-2</v>
      </c>
      <c r="L326" s="98">
        <v>4.2500000000000003E-2</v>
      </c>
      <c r="M326" s="94">
        <v>571226.31000000006</v>
      </c>
      <c r="N326" s="96">
        <v>102.28</v>
      </c>
      <c r="O326" s="94">
        <v>2019.1690100000001</v>
      </c>
      <c r="P326" s="95">
        <f t="shared" si="7"/>
        <v>4.0864199815617122E-4</v>
      </c>
      <c r="Q326" s="95">
        <f>O326/'סכום נכסי הקרן'!$C$42</f>
        <v>3.4749712336717528E-5</v>
      </c>
    </row>
    <row r="327" spans="2:17" s="132" customFormat="1">
      <c r="B327" s="87" t="s">
        <v>3121</v>
      </c>
      <c r="C327" s="97" t="s">
        <v>2830</v>
      </c>
      <c r="D327" s="84">
        <v>6871</v>
      </c>
      <c r="E327" s="84"/>
      <c r="F327" s="84" t="s">
        <v>942</v>
      </c>
      <c r="G327" s="107">
        <v>43570</v>
      </c>
      <c r="H327" s="84"/>
      <c r="I327" s="94">
        <v>3.1700000000000004</v>
      </c>
      <c r="J327" s="97" t="s">
        <v>169</v>
      </c>
      <c r="K327" s="98">
        <v>4.4410999999999999E-2</v>
      </c>
      <c r="L327" s="98">
        <v>4.0500000000000008E-2</v>
      </c>
      <c r="M327" s="94">
        <v>423813.07</v>
      </c>
      <c r="N327" s="96">
        <v>102.28</v>
      </c>
      <c r="O327" s="94">
        <v>1498.0931599999999</v>
      </c>
      <c r="P327" s="95">
        <f t="shared" si="7"/>
        <v>3.0318600339775055E-4</v>
      </c>
      <c r="Q327" s="95">
        <f>O327/'סכום נכסי הקרן'!$C$42</f>
        <v>2.5782045042185024E-5</v>
      </c>
    </row>
    <row r="328" spans="2:17" s="132" customFormat="1">
      <c r="B328" s="87" t="s">
        <v>3121</v>
      </c>
      <c r="C328" s="97" t="s">
        <v>2830</v>
      </c>
      <c r="D328" s="84">
        <v>6915</v>
      </c>
      <c r="E328" s="84"/>
      <c r="F328" s="84" t="s">
        <v>942</v>
      </c>
      <c r="G328" s="107">
        <v>43608</v>
      </c>
      <c r="H328" s="84"/>
      <c r="I328" s="94">
        <v>3.17</v>
      </c>
      <c r="J328" s="97" t="s">
        <v>169</v>
      </c>
      <c r="K328" s="98">
        <v>4.4410999999999999E-2</v>
      </c>
      <c r="L328" s="98">
        <v>4.0500000000000001E-2</v>
      </c>
      <c r="M328" s="94">
        <v>571226.31000000006</v>
      </c>
      <c r="N328" s="96">
        <v>102.28</v>
      </c>
      <c r="O328" s="94">
        <v>2019.1690100000001</v>
      </c>
      <c r="P328" s="95">
        <f t="shared" si="7"/>
        <v>4.0864199815617122E-4</v>
      </c>
      <c r="Q328" s="95">
        <f>O328/'סכום נכסי הקרן'!$C$42</f>
        <v>3.4749712336717528E-5</v>
      </c>
    </row>
    <row r="329" spans="2:17" s="132" customFormat="1">
      <c r="B329" s="87" t="s">
        <v>3143</v>
      </c>
      <c r="C329" s="97" t="s">
        <v>2830</v>
      </c>
      <c r="D329" s="84">
        <v>6826</v>
      </c>
      <c r="E329" s="84"/>
      <c r="F329" s="84" t="s">
        <v>942</v>
      </c>
      <c r="G329" s="107">
        <v>43550</v>
      </c>
      <c r="H329" s="84"/>
      <c r="I329" s="94">
        <v>4.51</v>
      </c>
      <c r="J329" s="97" t="s">
        <v>169</v>
      </c>
      <c r="K329" s="98">
        <v>4.5494000000000007E-2</v>
      </c>
      <c r="L329" s="98">
        <v>4.1900000000000007E-2</v>
      </c>
      <c r="M329" s="94">
        <v>11592762</v>
      </c>
      <c r="N329" s="96">
        <v>102.36</v>
      </c>
      <c r="O329" s="94">
        <v>41010.108569999997</v>
      </c>
      <c r="P329" s="95">
        <f t="shared" si="7"/>
        <v>8.2996780495587733E-3</v>
      </c>
      <c r="Q329" s="95">
        <f>O329/'סכום נכסי הקרן'!$C$42</f>
        <v>7.0578018414865339E-4</v>
      </c>
    </row>
    <row r="330" spans="2:17" s="132" customFormat="1">
      <c r="B330" s="87" t="s">
        <v>3122</v>
      </c>
      <c r="C330" s="97" t="s">
        <v>2830</v>
      </c>
      <c r="D330" s="84">
        <v>521872</v>
      </c>
      <c r="E330" s="84"/>
      <c r="F330" s="84" t="s">
        <v>942</v>
      </c>
      <c r="G330" s="107">
        <v>43301</v>
      </c>
      <c r="H330" s="84"/>
      <c r="I330" s="94">
        <v>4.0299999999999994</v>
      </c>
      <c r="J330" s="97" t="s">
        <v>169</v>
      </c>
      <c r="K330" s="98">
        <v>4.3041000000000003E-2</v>
      </c>
      <c r="L330" s="98">
        <v>4.7300000000000002E-2</v>
      </c>
      <c r="M330" s="94">
        <v>6137748.4400000004</v>
      </c>
      <c r="N330" s="96">
        <v>99.95</v>
      </c>
      <c r="O330" s="94">
        <v>21201.453390000002</v>
      </c>
      <c r="P330" s="95">
        <f t="shared" si="7"/>
        <v>4.2907771633760019E-3</v>
      </c>
      <c r="Q330" s="95">
        <f>O330/'סכום נכסי הקרן'!$C$42</f>
        <v>3.648750564088861E-4</v>
      </c>
    </row>
    <row r="331" spans="2:17" s="132" customFormat="1">
      <c r="B331" s="87" t="s">
        <v>3144</v>
      </c>
      <c r="C331" s="97" t="s">
        <v>2830</v>
      </c>
      <c r="D331" s="84">
        <v>7197</v>
      </c>
      <c r="E331" s="84"/>
      <c r="F331" s="84" t="s">
        <v>942</v>
      </c>
      <c r="G331" s="107">
        <v>43735</v>
      </c>
      <c r="H331" s="84"/>
      <c r="I331" s="94">
        <v>10.97</v>
      </c>
      <c r="J331" s="97" t="s">
        <v>172</v>
      </c>
      <c r="K331" s="98">
        <v>3.6040000000000003E-2</v>
      </c>
      <c r="L331" s="98">
        <v>3.6499999999999998E-2</v>
      </c>
      <c r="M331" s="94">
        <v>337317.05</v>
      </c>
      <c r="N331" s="96">
        <v>100.73</v>
      </c>
      <c r="O331" s="94">
        <v>1549.2923999999998</v>
      </c>
      <c r="P331" s="95">
        <f t="shared" si="7"/>
        <v>3.135477708545903E-4</v>
      </c>
      <c r="Q331" s="95">
        <f>O331/'סכום נכסי הקרן'!$C$42</f>
        <v>2.6663179238008759E-5</v>
      </c>
    </row>
    <row r="332" spans="2:17" s="132" customFormat="1">
      <c r="B332" s="87" t="s">
        <v>3144</v>
      </c>
      <c r="C332" s="97" t="s">
        <v>2830</v>
      </c>
      <c r="D332" s="84">
        <v>7247</v>
      </c>
      <c r="E332" s="84"/>
      <c r="F332" s="84" t="s">
        <v>942</v>
      </c>
      <c r="G332" s="107">
        <v>43769</v>
      </c>
      <c r="H332" s="84"/>
      <c r="I332" s="94">
        <v>10.94</v>
      </c>
      <c r="J332" s="97" t="s">
        <v>172</v>
      </c>
      <c r="K332" s="98">
        <v>3.6040000000000003E-2</v>
      </c>
      <c r="L332" s="98">
        <v>3.6999999999999998E-2</v>
      </c>
      <c r="M332" s="94">
        <v>325456.74</v>
      </c>
      <c r="N332" s="96">
        <v>100.73</v>
      </c>
      <c r="O332" s="94">
        <v>1494.81817</v>
      </c>
      <c r="P332" s="95">
        <f t="shared" si="7"/>
        <v>3.0252320674679494E-4</v>
      </c>
      <c r="Q332" s="95">
        <f>O332/'סכום נכסי הקרן'!$C$42</f>
        <v>2.5725682766495372E-5</v>
      </c>
    </row>
    <row r="333" spans="2:17" s="132" customFormat="1">
      <c r="B333" s="87" t="s">
        <v>3144</v>
      </c>
      <c r="C333" s="97" t="s">
        <v>2830</v>
      </c>
      <c r="D333" s="84">
        <v>7129</v>
      </c>
      <c r="E333" s="84"/>
      <c r="F333" s="84" t="s">
        <v>942</v>
      </c>
      <c r="G333" s="107">
        <v>43707</v>
      </c>
      <c r="H333" s="84"/>
      <c r="I333" s="94">
        <v>10.969999999999999</v>
      </c>
      <c r="J333" s="97" t="s">
        <v>172</v>
      </c>
      <c r="K333" s="98">
        <v>3.6040000000000003E-2</v>
      </c>
      <c r="L333" s="98">
        <v>3.6499999999999998E-2</v>
      </c>
      <c r="M333" s="94">
        <v>71720.149999999994</v>
      </c>
      <c r="N333" s="96">
        <v>100.73</v>
      </c>
      <c r="O333" s="94">
        <v>329.40964000000002</v>
      </c>
      <c r="P333" s="95">
        <f t="shared" si="7"/>
        <v>6.666634285433344E-5</v>
      </c>
      <c r="Q333" s="95">
        <f>O333/'סכום נכסי הקרן'!$C$42</f>
        <v>5.6691095070549245E-6</v>
      </c>
    </row>
    <row r="334" spans="2:17" s="132" customFormat="1">
      <c r="B334" s="87" t="s">
        <v>3144</v>
      </c>
      <c r="C334" s="97" t="s">
        <v>2830</v>
      </c>
      <c r="D334" s="84">
        <v>7281</v>
      </c>
      <c r="E334" s="84"/>
      <c r="F334" s="84" t="s">
        <v>942</v>
      </c>
      <c r="G334" s="107">
        <v>43798</v>
      </c>
      <c r="H334" s="84"/>
      <c r="I334" s="94">
        <v>10.94</v>
      </c>
      <c r="J334" s="97" t="s">
        <v>172</v>
      </c>
      <c r="K334" s="98">
        <v>3.6073000000000001E-2</v>
      </c>
      <c r="L334" s="98">
        <v>3.7100000000000001E-2</v>
      </c>
      <c r="M334" s="94">
        <v>609513.96</v>
      </c>
      <c r="N334" s="96">
        <v>100.75</v>
      </c>
      <c r="O334" s="94">
        <v>2800.0447799999997</v>
      </c>
      <c r="P334" s="95">
        <f t="shared" si="7"/>
        <v>5.6667663190113873E-4</v>
      </c>
      <c r="Q334" s="95">
        <f>O334/'סכום נכסי הקרן'!$C$42</f>
        <v>4.8188512280568084E-5</v>
      </c>
    </row>
    <row r="335" spans="2:17" s="132" customFormat="1">
      <c r="B335" s="87" t="s">
        <v>3144</v>
      </c>
      <c r="C335" s="97" t="s">
        <v>2830</v>
      </c>
      <c r="D335" s="84">
        <v>7338</v>
      </c>
      <c r="E335" s="84"/>
      <c r="F335" s="84" t="s">
        <v>942</v>
      </c>
      <c r="G335" s="107">
        <v>43830</v>
      </c>
      <c r="H335" s="84"/>
      <c r="I335" s="94">
        <v>10.92</v>
      </c>
      <c r="J335" s="97" t="s">
        <v>172</v>
      </c>
      <c r="K335" s="98">
        <v>3.6039000000000002E-2</v>
      </c>
      <c r="L335" s="98">
        <v>3.7700000000000004E-2</v>
      </c>
      <c r="M335" s="94">
        <v>221668.85</v>
      </c>
      <c r="N335" s="96">
        <v>100</v>
      </c>
      <c r="O335" s="94">
        <v>1010.7434599999999</v>
      </c>
      <c r="P335" s="95">
        <f t="shared" si="7"/>
        <v>2.0455554986835008E-4</v>
      </c>
      <c r="Q335" s="95">
        <f>O335/'סכום נכסי הקרן'!$C$42</f>
        <v>1.7394801676962424E-5</v>
      </c>
    </row>
    <row r="336" spans="2:17" s="132" customFormat="1">
      <c r="B336" s="87" t="s">
        <v>3123</v>
      </c>
      <c r="C336" s="97" t="s">
        <v>2830</v>
      </c>
      <c r="D336" s="84">
        <v>474437</v>
      </c>
      <c r="E336" s="84"/>
      <c r="F336" s="84" t="s">
        <v>942</v>
      </c>
      <c r="G336" s="107">
        <v>42887</v>
      </c>
      <c r="H336" s="84"/>
      <c r="I336" s="94">
        <v>2.14</v>
      </c>
      <c r="J336" s="97" t="s">
        <v>169</v>
      </c>
      <c r="K336" s="98">
        <v>5.4100000000000002E-2</v>
      </c>
      <c r="L336" s="98">
        <v>5.8400000000000001E-2</v>
      </c>
      <c r="M336" s="94">
        <v>5771603.9900000002</v>
      </c>
      <c r="N336" s="96">
        <v>99.96</v>
      </c>
      <c r="O336" s="94">
        <v>19938.684069999999</v>
      </c>
      <c r="P336" s="95">
        <f t="shared" si="7"/>
        <v>4.0352162986937975E-3</v>
      </c>
      <c r="Q336" s="95">
        <f>O336/'סכום נכסי הקרן'!$C$42</f>
        <v>3.4314291293782891E-4</v>
      </c>
    </row>
    <row r="337" spans="2:17" s="132" customFormat="1">
      <c r="B337" s="87" t="s">
        <v>3123</v>
      </c>
      <c r="C337" s="97" t="s">
        <v>2830</v>
      </c>
      <c r="D337" s="84">
        <v>474436</v>
      </c>
      <c r="E337" s="84"/>
      <c r="F337" s="84" t="s">
        <v>942</v>
      </c>
      <c r="G337" s="107">
        <v>42887</v>
      </c>
      <c r="H337" s="84"/>
      <c r="I337" s="94">
        <v>2.2399999999999993</v>
      </c>
      <c r="J337" s="97" t="s">
        <v>169</v>
      </c>
      <c r="K337" s="98">
        <v>5.2994000000000006E-2</v>
      </c>
      <c r="L337" s="98">
        <v>5.4600000000000003E-2</v>
      </c>
      <c r="M337" s="94">
        <v>3135029.96</v>
      </c>
      <c r="N337" s="96">
        <v>99.96</v>
      </c>
      <c r="O337" s="94">
        <v>10830.329720000002</v>
      </c>
      <c r="P337" s="95">
        <f t="shared" si="7"/>
        <v>2.1918559345713053E-3</v>
      </c>
      <c r="Q337" s="95">
        <f>O337/'סכום נכסי הקרן'!$C$42</f>
        <v>1.8638897507732775E-4</v>
      </c>
    </row>
    <row r="338" spans="2:17" s="132" customFormat="1">
      <c r="B338" s="87" t="s">
        <v>3124</v>
      </c>
      <c r="C338" s="97" t="s">
        <v>2830</v>
      </c>
      <c r="D338" s="84">
        <v>6528</v>
      </c>
      <c r="E338" s="84"/>
      <c r="F338" s="84" t="s">
        <v>942</v>
      </c>
      <c r="G338" s="107">
        <v>43373</v>
      </c>
      <c r="H338" s="84"/>
      <c r="I338" s="94">
        <v>7.14</v>
      </c>
      <c r="J338" s="97" t="s">
        <v>172</v>
      </c>
      <c r="K338" s="98">
        <v>3.032E-2</v>
      </c>
      <c r="L338" s="98">
        <v>2.9699999999999997E-2</v>
      </c>
      <c r="M338" s="94">
        <v>17952838.850000001</v>
      </c>
      <c r="N338" s="96">
        <v>100.64</v>
      </c>
      <c r="O338" s="94">
        <v>82383.457930000004</v>
      </c>
      <c r="P338" s="95">
        <f t="shared" si="7"/>
        <v>1.6672869233234751E-2</v>
      </c>
      <c r="Q338" s="95">
        <f>O338/'סכום נכסי הקרן'!$C$42</f>
        <v>1.4178117087739826E-3</v>
      </c>
    </row>
    <row r="339" spans="2:17" s="132" customFormat="1">
      <c r="B339" s="87" t="s">
        <v>3125</v>
      </c>
      <c r="C339" s="97" t="s">
        <v>2830</v>
      </c>
      <c r="D339" s="84">
        <v>6495</v>
      </c>
      <c r="E339" s="84"/>
      <c r="F339" s="84" t="s">
        <v>942</v>
      </c>
      <c r="G339" s="107">
        <v>43342</v>
      </c>
      <c r="H339" s="84"/>
      <c r="I339" s="94">
        <v>2.9699999999999998</v>
      </c>
      <c r="J339" s="97" t="s">
        <v>169</v>
      </c>
      <c r="K339" s="98">
        <v>4.4271000000000005E-2</v>
      </c>
      <c r="L339" s="98">
        <v>4.4600000000000001E-2</v>
      </c>
      <c r="M339" s="94">
        <v>210508.7</v>
      </c>
      <c r="N339" s="96">
        <v>100.89</v>
      </c>
      <c r="O339" s="94">
        <v>733.99297999999999</v>
      </c>
      <c r="P339" s="95">
        <f t="shared" si="7"/>
        <v>1.4854643494147259E-4</v>
      </c>
      <c r="Q339" s="95">
        <f>O339/'סכום נכסי הקרן'!$C$42</f>
        <v>1.2631951454212375E-5</v>
      </c>
    </row>
    <row r="340" spans="2:17" s="132" customFormat="1">
      <c r="B340" s="87" t="s">
        <v>3125</v>
      </c>
      <c r="C340" s="97" t="s">
        <v>2830</v>
      </c>
      <c r="D340" s="84">
        <v>6614</v>
      </c>
      <c r="E340" s="84"/>
      <c r="F340" s="84" t="s">
        <v>942</v>
      </c>
      <c r="G340" s="107">
        <v>43433</v>
      </c>
      <c r="H340" s="84"/>
      <c r="I340" s="94">
        <v>2.9499999999999997</v>
      </c>
      <c r="J340" s="97" t="s">
        <v>169</v>
      </c>
      <c r="K340" s="98">
        <v>4.4271000000000005E-2</v>
      </c>
      <c r="L340" s="98">
        <v>4.4600000000000001E-2</v>
      </c>
      <c r="M340" s="94">
        <v>245034.01</v>
      </c>
      <c r="N340" s="96">
        <v>100.89</v>
      </c>
      <c r="O340" s="94">
        <v>854.37439000000006</v>
      </c>
      <c r="P340" s="95">
        <f t="shared" si="7"/>
        <v>1.7290937815208441E-4</v>
      </c>
      <c r="Q340" s="95">
        <f>O340/'סכום נכסי הקרן'!$C$42</f>
        <v>1.4703704411726541E-5</v>
      </c>
    </row>
    <row r="341" spans="2:17" s="132" customFormat="1">
      <c r="B341" s="87" t="s">
        <v>3125</v>
      </c>
      <c r="C341" s="97" t="s">
        <v>2830</v>
      </c>
      <c r="D341" s="84">
        <v>6739</v>
      </c>
      <c r="E341" s="84"/>
      <c r="F341" s="84" t="s">
        <v>942</v>
      </c>
      <c r="G341" s="107">
        <v>43495</v>
      </c>
      <c r="H341" s="84"/>
      <c r="I341" s="94">
        <v>2.95</v>
      </c>
      <c r="J341" s="97" t="s">
        <v>169</v>
      </c>
      <c r="K341" s="98">
        <v>4.4271000000000005E-2</v>
      </c>
      <c r="L341" s="98">
        <v>4.4600000000000001E-2</v>
      </c>
      <c r="M341" s="94">
        <v>490228.31</v>
      </c>
      <c r="N341" s="96">
        <v>100.89</v>
      </c>
      <c r="O341" s="94">
        <v>1709.3076799999999</v>
      </c>
      <c r="P341" s="95">
        <f t="shared" si="7"/>
        <v>3.459318671986201E-4</v>
      </c>
      <c r="Q341" s="95">
        <f>O341/'סכום נכסי הקרן'!$C$42</f>
        <v>2.9417027440878766E-5</v>
      </c>
    </row>
    <row r="342" spans="2:17" s="132" customFormat="1">
      <c r="B342" s="87" t="s">
        <v>3125</v>
      </c>
      <c r="C342" s="97" t="s">
        <v>2830</v>
      </c>
      <c r="D342" s="84">
        <v>6830</v>
      </c>
      <c r="E342" s="84"/>
      <c r="F342" s="84" t="s">
        <v>942</v>
      </c>
      <c r="G342" s="107">
        <v>43552</v>
      </c>
      <c r="H342" s="84"/>
      <c r="I342" s="94">
        <v>2.9499999999999997</v>
      </c>
      <c r="J342" s="97" t="s">
        <v>169</v>
      </c>
      <c r="K342" s="98">
        <v>4.4271000000000005E-2</v>
      </c>
      <c r="L342" s="98">
        <v>4.4600000000000001E-2</v>
      </c>
      <c r="M342" s="94">
        <v>264177.52</v>
      </c>
      <c r="N342" s="96">
        <v>100.89</v>
      </c>
      <c r="O342" s="94">
        <v>921.12318000000005</v>
      </c>
      <c r="P342" s="95">
        <f t="shared" si="7"/>
        <v>1.8641808335953343E-4</v>
      </c>
      <c r="Q342" s="95">
        <f>O342/'סכום נכסי הקרן'!$C$42</f>
        <v>1.5852444928165017E-5</v>
      </c>
    </row>
    <row r="343" spans="2:17" s="132" customFormat="1">
      <c r="B343" s="87" t="s">
        <v>3125</v>
      </c>
      <c r="C343" s="97" t="s">
        <v>2830</v>
      </c>
      <c r="D343" s="84">
        <v>6931</v>
      </c>
      <c r="E343" s="84"/>
      <c r="F343" s="84" t="s">
        <v>942</v>
      </c>
      <c r="G343" s="107">
        <v>43615</v>
      </c>
      <c r="H343" s="84"/>
      <c r="I343" s="94">
        <v>2.9499999999999997</v>
      </c>
      <c r="J343" s="97" t="s">
        <v>169</v>
      </c>
      <c r="K343" s="98">
        <v>4.4271000000000005E-2</v>
      </c>
      <c r="L343" s="98">
        <v>4.4600000000000001E-2</v>
      </c>
      <c r="M343" s="94">
        <v>589805.93000000005</v>
      </c>
      <c r="N343" s="96">
        <v>100.89</v>
      </c>
      <c r="O343" s="94">
        <v>2056.5107800000001</v>
      </c>
      <c r="P343" s="95">
        <f t="shared" si="7"/>
        <v>4.1619927316976119E-4</v>
      </c>
      <c r="Q343" s="95">
        <f>O343/'סכום נכסי הקרן'!$C$42</f>
        <v>3.5392360752584343E-5</v>
      </c>
    </row>
    <row r="344" spans="2:17" s="132" customFormat="1">
      <c r="B344" s="87" t="s">
        <v>3125</v>
      </c>
      <c r="C344" s="97" t="s">
        <v>2830</v>
      </c>
      <c r="D344" s="84">
        <v>7015</v>
      </c>
      <c r="E344" s="84"/>
      <c r="F344" s="84" t="s">
        <v>942</v>
      </c>
      <c r="G344" s="107">
        <v>43643</v>
      </c>
      <c r="H344" s="84"/>
      <c r="I344" s="94">
        <v>2.91</v>
      </c>
      <c r="J344" s="97" t="s">
        <v>169</v>
      </c>
      <c r="K344" s="98">
        <v>4.4271000000000005E-2</v>
      </c>
      <c r="L344" s="98">
        <v>4.4600000000000001E-2</v>
      </c>
      <c r="M344" s="94">
        <v>478738.58</v>
      </c>
      <c r="N344" s="96">
        <v>100.89</v>
      </c>
      <c r="O344" s="94">
        <v>1669.24575</v>
      </c>
      <c r="P344" s="95">
        <f t="shared" si="7"/>
        <v>3.3782408273673762E-4</v>
      </c>
      <c r="Q344" s="95">
        <f>O344/'סכום נכסי הקרן'!$C$42</f>
        <v>2.8727565322423556E-5</v>
      </c>
    </row>
    <row r="345" spans="2:17" s="132" customFormat="1">
      <c r="B345" s="87" t="s">
        <v>3125</v>
      </c>
      <c r="C345" s="97" t="s">
        <v>2830</v>
      </c>
      <c r="D345" s="84">
        <v>7279</v>
      </c>
      <c r="E345" s="84"/>
      <c r="F345" s="84" t="s">
        <v>942</v>
      </c>
      <c r="G345" s="107">
        <v>43795</v>
      </c>
      <c r="H345" s="84"/>
      <c r="I345" s="94">
        <v>2.9299999999999997</v>
      </c>
      <c r="J345" s="97" t="s">
        <v>169</v>
      </c>
      <c r="K345" s="98">
        <v>4.4271000000000005E-2</v>
      </c>
      <c r="L345" s="98">
        <v>4.5100000000000001E-2</v>
      </c>
      <c r="M345" s="94">
        <v>464528.49</v>
      </c>
      <c r="N345" s="96">
        <v>100.43</v>
      </c>
      <c r="O345" s="94">
        <v>1612.3137899999999</v>
      </c>
      <c r="P345" s="95">
        <f t="shared" si="7"/>
        <v>3.2630212009857924E-4</v>
      </c>
      <c r="Q345" s="95">
        <f>O345/'סכום נכסי הקרן'!$C$42</f>
        <v>2.7747771544405185E-5</v>
      </c>
    </row>
    <row r="346" spans="2:17" s="132" customFormat="1">
      <c r="B346" s="87" t="s">
        <v>3125</v>
      </c>
      <c r="C346" s="97" t="s">
        <v>2830</v>
      </c>
      <c r="D346" s="84">
        <v>7333</v>
      </c>
      <c r="E346" s="84"/>
      <c r="F346" s="84" t="s">
        <v>942</v>
      </c>
      <c r="G346" s="107">
        <v>43829</v>
      </c>
      <c r="H346" s="84"/>
      <c r="I346" s="94">
        <v>2.94</v>
      </c>
      <c r="J346" s="97" t="s">
        <v>169</v>
      </c>
      <c r="K346" s="98">
        <v>4.4604999999999999E-2</v>
      </c>
      <c r="L346" s="98">
        <v>4.4999999999999998E-2</v>
      </c>
      <c r="M346" s="94">
        <v>274494.11</v>
      </c>
      <c r="N346" s="96">
        <v>100.04</v>
      </c>
      <c r="O346" s="94">
        <v>949.03111999999999</v>
      </c>
      <c r="P346" s="95">
        <f t="shared" si="7"/>
        <v>1.9206612783205756E-4</v>
      </c>
      <c r="Q346" s="95">
        <f>O346/'סכום נכסי הקרן'!$C$42</f>
        <v>1.6332738000269158E-5</v>
      </c>
    </row>
    <row r="347" spans="2:17" s="132" customFormat="1">
      <c r="B347" s="87" t="s">
        <v>3145</v>
      </c>
      <c r="C347" s="97" t="s">
        <v>2830</v>
      </c>
      <c r="D347" s="84">
        <v>7210</v>
      </c>
      <c r="E347" s="84"/>
      <c r="F347" s="84" t="s">
        <v>942</v>
      </c>
      <c r="G347" s="107">
        <v>43741</v>
      </c>
      <c r="H347" s="84"/>
      <c r="I347" s="94">
        <v>4.25</v>
      </c>
      <c r="J347" s="97" t="s">
        <v>169</v>
      </c>
      <c r="K347" s="98">
        <v>4.1147000000000003E-2</v>
      </c>
      <c r="L347" s="98">
        <v>3.95E-2</v>
      </c>
      <c r="M347" s="94">
        <v>328110.53000000003</v>
      </c>
      <c r="N347" s="96">
        <v>101.38</v>
      </c>
      <c r="O347" s="94">
        <v>1149.5984900000001</v>
      </c>
      <c r="P347" s="95">
        <f t="shared" si="7"/>
        <v>2.3265720784359562E-4</v>
      </c>
      <c r="Q347" s="95">
        <f>O347/'סכום נכסי הקרן'!$C$42</f>
        <v>1.978448392996327E-5</v>
      </c>
    </row>
    <row r="348" spans="2:17" s="132" customFormat="1">
      <c r="B348" s="87" t="s">
        <v>3060</v>
      </c>
      <c r="C348" s="97" t="s">
        <v>2830</v>
      </c>
      <c r="D348" s="84">
        <v>90240951</v>
      </c>
      <c r="E348" s="84"/>
      <c r="F348" s="84" t="s">
        <v>942</v>
      </c>
      <c r="G348" s="107">
        <v>43648</v>
      </c>
      <c r="H348" s="84"/>
      <c r="I348" s="94">
        <v>1.9</v>
      </c>
      <c r="J348" s="97" t="s">
        <v>169</v>
      </c>
      <c r="K348" s="98">
        <v>5.6580000000000005E-2</v>
      </c>
      <c r="L348" s="98">
        <v>5.5300000000000002E-2</v>
      </c>
      <c r="M348" s="94">
        <v>5578813.1100000003</v>
      </c>
      <c r="N348" s="96">
        <v>100.76</v>
      </c>
      <c r="O348" s="94">
        <v>19426.90898</v>
      </c>
      <c r="P348" s="95">
        <f>O348/$O$10</f>
        <v>3.931642603600214E-3</v>
      </c>
      <c r="Q348" s="95">
        <f>O348/'סכום נכסי הקרן'!$C$42</f>
        <v>3.3433531086463856E-4</v>
      </c>
    </row>
    <row r="349" spans="2:17" s="132" customFormat="1">
      <c r="B349" s="87" t="s">
        <v>3060</v>
      </c>
      <c r="C349" s="97" t="s">
        <v>2830</v>
      </c>
      <c r="D349" s="84">
        <v>90240952</v>
      </c>
      <c r="E349" s="84"/>
      <c r="F349" s="84" t="s">
        <v>942</v>
      </c>
      <c r="G349" s="107">
        <v>43731</v>
      </c>
      <c r="H349" s="84"/>
      <c r="I349" s="94">
        <v>1.9</v>
      </c>
      <c r="J349" s="97" t="s">
        <v>169</v>
      </c>
      <c r="K349" s="98">
        <v>5.6580000000000005E-2</v>
      </c>
      <c r="L349" s="98">
        <v>5.4799999999999995E-2</v>
      </c>
      <c r="M349" s="94">
        <v>5230137.29</v>
      </c>
      <c r="N349" s="96">
        <v>100.85</v>
      </c>
      <c r="O349" s="94">
        <v>18228.994999999999</v>
      </c>
      <c r="P349" s="95">
        <f>O349/$O$10</f>
        <v>3.6892072453008052E-3</v>
      </c>
      <c r="Q349" s="95">
        <f>O349/'סכום נכסי הקרן'!$C$42</f>
        <v>3.1371932181024415E-4</v>
      </c>
    </row>
    <row r="350" spans="2:17" s="132" customFormat="1">
      <c r="B350" s="87" t="s">
        <v>3060</v>
      </c>
      <c r="C350" s="97" t="s">
        <v>2830</v>
      </c>
      <c r="D350" s="84">
        <v>90240953</v>
      </c>
      <c r="E350" s="84"/>
      <c r="F350" s="84" t="s">
        <v>942</v>
      </c>
      <c r="G350" s="107">
        <v>43822</v>
      </c>
      <c r="H350" s="84"/>
      <c r="I350" s="94">
        <v>1.9</v>
      </c>
      <c r="J350" s="97" t="s">
        <v>169</v>
      </c>
      <c r="K350" s="98">
        <v>5.6776999999999994E-2</v>
      </c>
      <c r="L350" s="98">
        <v>5.8200000000000002E-2</v>
      </c>
      <c r="M350" s="94">
        <v>5927488.9299999997</v>
      </c>
      <c r="N350" s="96">
        <v>100.19</v>
      </c>
      <c r="O350" s="94">
        <v>20524.324780000003</v>
      </c>
      <c r="P350" s="95">
        <f>O350/$O$10</f>
        <v>4.1537390121223284E-3</v>
      </c>
      <c r="Q350" s="95">
        <f>O350/'סכום נכסי הקרן'!$C$42</f>
        <v>3.5322173551502917E-4</v>
      </c>
    </row>
    <row r="351" spans="2:17" s="132" customFormat="1">
      <c r="B351" s="87" t="s">
        <v>3060</v>
      </c>
      <c r="C351" s="97" t="s">
        <v>2830</v>
      </c>
      <c r="D351" s="84">
        <v>90240950</v>
      </c>
      <c r="E351" s="84"/>
      <c r="F351" s="84" t="s">
        <v>942</v>
      </c>
      <c r="G351" s="107">
        <v>43555</v>
      </c>
      <c r="H351" s="84"/>
      <c r="I351" s="94">
        <v>1.9000000000000001</v>
      </c>
      <c r="J351" s="97" t="s">
        <v>169</v>
      </c>
      <c r="K351" s="98">
        <v>5.6580000000000005E-2</v>
      </c>
      <c r="L351" s="98">
        <v>5.45E-2</v>
      </c>
      <c r="M351" s="94">
        <v>12203653.689999999</v>
      </c>
      <c r="N351" s="96">
        <v>100.91</v>
      </c>
      <c r="O351" s="94">
        <v>42559.627180000003</v>
      </c>
      <c r="P351" s="95">
        <f>O351/$O$10</f>
        <v>8.6132716010815236E-3</v>
      </c>
      <c r="Q351" s="95">
        <f>O351/'סכום נכסי הקרן'!$C$42</f>
        <v>7.3244725643988799E-4</v>
      </c>
    </row>
    <row r="352" spans="2:17" s="132" customFormat="1">
      <c r="B352" s="131"/>
      <c r="C352" s="131"/>
      <c r="D352" s="131"/>
      <c r="E352" s="131"/>
    </row>
    <row r="353" spans="2:5" s="132" customFormat="1">
      <c r="B353" s="131"/>
      <c r="C353" s="131"/>
      <c r="D353" s="131"/>
      <c r="E353" s="131"/>
    </row>
    <row r="354" spans="2:5" s="132" customFormat="1">
      <c r="B354" s="131"/>
      <c r="C354" s="131"/>
      <c r="D354" s="131"/>
      <c r="E354" s="131"/>
    </row>
    <row r="355" spans="2:5" s="132" customFormat="1">
      <c r="B355" s="138" t="s">
        <v>265</v>
      </c>
      <c r="C355" s="131"/>
      <c r="D355" s="131"/>
      <c r="E355" s="131"/>
    </row>
    <row r="356" spans="2:5" s="132" customFormat="1">
      <c r="B356" s="138" t="s">
        <v>120</v>
      </c>
      <c r="C356" s="131"/>
      <c r="D356" s="131"/>
      <c r="E356" s="131"/>
    </row>
    <row r="357" spans="2:5" s="132" customFormat="1">
      <c r="B357" s="138" t="s">
        <v>247</v>
      </c>
      <c r="C357" s="131"/>
      <c r="D357" s="131"/>
      <c r="E357" s="131"/>
    </row>
    <row r="358" spans="2:5" s="132" customFormat="1">
      <c r="B358" s="138" t="s">
        <v>255</v>
      </c>
      <c r="C358" s="131"/>
      <c r="D358" s="131"/>
      <c r="E358" s="131"/>
    </row>
    <row r="359" spans="2:5" s="132" customFormat="1">
      <c r="B359" s="131"/>
      <c r="C359" s="131"/>
      <c r="D359" s="131"/>
      <c r="E359" s="131"/>
    </row>
    <row r="360" spans="2:5" s="132" customFormat="1">
      <c r="B360" s="131"/>
      <c r="C360" s="131"/>
      <c r="D360" s="131"/>
      <c r="E360" s="131"/>
    </row>
    <row r="361" spans="2:5" s="132" customFormat="1">
      <c r="B361" s="131"/>
      <c r="C361" s="131"/>
      <c r="D361" s="131"/>
      <c r="E361" s="131"/>
    </row>
    <row r="362" spans="2:5" s="132" customFormat="1">
      <c r="B362" s="131"/>
      <c r="C362" s="131"/>
      <c r="D362" s="131"/>
      <c r="E362" s="131"/>
    </row>
  </sheetData>
  <sheetProtection sheet="1" objects="1" scenarios="1"/>
  <mergeCells count="1">
    <mergeCell ref="B6:Q6"/>
  </mergeCells>
  <phoneticPr fontId="5" type="noConversion"/>
  <conditionalFormatting sqref="B230:B232 B293:B294 B299:B300 B302:B304 B348:B351">
    <cfRule type="cellIs" dxfId="90" priority="168" operator="equal">
      <formula>2958465</formula>
    </cfRule>
    <cfRule type="cellIs" dxfId="89" priority="169" operator="equal">
      <formula>"NR3"</formula>
    </cfRule>
    <cfRule type="cellIs" dxfId="88" priority="170" operator="equal">
      <formula>"דירוג פנימי"</formula>
    </cfRule>
  </conditionalFormatting>
  <conditionalFormatting sqref="B230:B232 B293:B294 B299:B300 B302:B304 B348:B351">
    <cfRule type="cellIs" dxfId="87" priority="167" operator="equal">
      <formula>2958465</formula>
    </cfRule>
  </conditionalFormatting>
  <conditionalFormatting sqref="B11:B16 B36:B53 B212:B219 B60:B108 B169:B210 B116:B118">
    <cfRule type="cellIs" dxfId="86" priority="166" operator="equal">
      <formula>"NR3"</formula>
    </cfRule>
  </conditionalFormatting>
  <conditionalFormatting sqref="B220:B223">
    <cfRule type="cellIs" dxfId="85" priority="90" operator="equal">
      <formula>"NR3"</formula>
    </cfRule>
  </conditionalFormatting>
  <conditionalFormatting sqref="B17">
    <cfRule type="cellIs" dxfId="84" priority="98" operator="equal">
      <formula>"NR3"</formula>
    </cfRule>
  </conditionalFormatting>
  <conditionalFormatting sqref="B18:B35">
    <cfRule type="cellIs" dxfId="83" priority="97" operator="equal">
      <formula>"NR3"</formula>
    </cfRule>
  </conditionalFormatting>
  <conditionalFormatting sqref="B109:B110">
    <cfRule type="cellIs" dxfId="82" priority="95" operator="equal">
      <formula>"NR3"</formula>
    </cfRule>
  </conditionalFormatting>
  <conditionalFormatting sqref="B111:B115 B119:B130">
    <cfRule type="cellIs" dxfId="81" priority="94" operator="equal">
      <formula>"NR3"</formula>
    </cfRule>
  </conditionalFormatting>
  <conditionalFormatting sqref="B131">
    <cfRule type="cellIs" dxfId="80" priority="93" operator="equal">
      <formula>"NR3"</formula>
    </cfRule>
  </conditionalFormatting>
  <conditionalFormatting sqref="B132:B158">
    <cfRule type="cellIs" dxfId="79" priority="92" operator="equal">
      <formula>"NR3"</formula>
    </cfRule>
  </conditionalFormatting>
  <conditionalFormatting sqref="B159:B168">
    <cfRule type="cellIs" dxfId="78" priority="91" operator="equal">
      <formula>"NR3"</formula>
    </cfRule>
  </conditionalFormatting>
  <conditionalFormatting sqref="B224">
    <cfRule type="cellIs" dxfId="77" priority="88" operator="equal">
      <formula>"NR3"</formula>
    </cfRule>
  </conditionalFormatting>
  <conditionalFormatting sqref="B229">
    <cfRule type="cellIs" dxfId="76" priority="87" operator="equal">
      <formula>"NR3"</formula>
    </cfRule>
  </conditionalFormatting>
  <conditionalFormatting sqref="B233">
    <cfRule type="cellIs" dxfId="75" priority="82" operator="equal">
      <formula>"NR3"</formula>
    </cfRule>
  </conditionalFormatting>
  <conditionalFormatting sqref="B240">
    <cfRule type="cellIs" dxfId="74" priority="75" operator="equal">
      <formula>"NR3"</formula>
    </cfRule>
  </conditionalFormatting>
  <conditionalFormatting sqref="B248">
    <cfRule type="cellIs" dxfId="73" priority="73" operator="equal">
      <formula>"NR3"</formula>
    </cfRule>
  </conditionalFormatting>
  <conditionalFormatting sqref="B225">
    <cfRule type="cellIs" dxfId="72" priority="89" operator="equal">
      <formula>"NR3"</formula>
    </cfRule>
  </conditionalFormatting>
  <conditionalFormatting sqref="B270">
    <cfRule type="cellIs" dxfId="71" priority="57" operator="equal">
      <formula>"NR3"</formula>
    </cfRule>
  </conditionalFormatting>
  <conditionalFormatting sqref="B346">
    <cfRule type="cellIs" dxfId="70" priority="1" operator="equal">
      <formula>"NR3"</formula>
    </cfRule>
  </conditionalFormatting>
  <conditionalFormatting sqref="B226">
    <cfRule type="cellIs" dxfId="69" priority="86" operator="equal">
      <formula>"NR3"</formula>
    </cfRule>
  </conditionalFormatting>
  <conditionalFormatting sqref="B227">
    <cfRule type="cellIs" dxfId="68" priority="85" operator="equal">
      <formula>"NR3"</formula>
    </cfRule>
  </conditionalFormatting>
  <conditionalFormatting sqref="B228">
    <cfRule type="cellIs" dxfId="67" priority="84" operator="equal">
      <formula>"NR3"</formula>
    </cfRule>
  </conditionalFormatting>
  <conditionalFormatting sqref="B234">
    <cfRule type="cellIs" dxfId="66" priority="81" operator="equal">
      <formula>"NR3"</formula>
    </cfRule>
  </conditionalFormatting>
  <conditionalFormatting sqref="B236">
    <cfRule type="cellIs" dxfId="65" priority="80" operator="equal">
      <formula>"NR3"</formula>
    </cfRule>
  </conditionalFormatting>
  <conditionalFormatting sqref="B235">
    <cfRule type="cellIs" dxfId="64" priority="79" operator="equal">
      <formula>"NR3"</formula>
    </cfRule>
  </conditionalFormatting>
  <conditionalFormatting sqref="B237">
    <cfRule type="cellIs" dxfId="63" priority="78" operator="equal">
      <formula>"NR3"</formula>
    </cfRule>
  </conditionalFormatting>
  <conditionalFormatting sqref="B238">
    <cfRule type="cellIs" dxfId="62" priority="77" operator="equal">
      <formula>"NR3"</formula>
    </cfRule>
  </conditionalFormatting>
  <conditionalFormatting sqref="B239">
    <cfRule type="cellIs" dxfId="61" priority="76" operator="equal">
      <formula>"NR3"</formula>
    </cfRule>
  </conditionalFormatting>
  <conditionalFormatting sqref="B241:B245">
    <cfRule type="cellIs" dxfId="60" priority="74" operator="equal">
      <formula>"NR3"</formula>
    </cfRule>
  </conditionalFormatting>
  <conditionalFormatting sqref="B249">
    <cfRule type="cellIs" dxfId="59" priority="72" operator="equal">
      <formula>"NR3"</formula>
    </cfRule>
  </conditionalFormatting>
  <conditionalFormatting sqref="B250">
    <cfRule type="cellIs" dxfId="58" priority="71" operator="equal">
      <formula>"NR3"</formula>
    </cfRule>
  </conditionalFormatting>
  <conditionalFormatting sqref="B251">
    <cfRule type="cellIs" dxfId="57" priority="69" operator="equal">
      <formula>"NR3"</formula>
    </cfRule>
  </conditionalFormatting>
  <conditionalFormatting sqref="B252">
    <cfRule type="cellIs" dxfId="56" priority="68" operator="equal">
      <formula>"NR3"</formula>
    </cfRule>
  </conditionalFormatting>
  <conditionalFormatting sqref="B253">
    <cfRule type="cellIs" dxfId="55" priority="67" operator="equal">
      <formula>"NR3"</formula>
    </cfRule>
  </conditionalFormatting>
  <conditionalFormatting sqref="B254">
    <cfRule type="cellIs" dxfId="54" priority="66" operator="equal">
      <formula>"NR3"</formula>
    </cfRule>
  </conditionalFormatting>
  <conditionalFormatting sqref="B255">
    <cfRule type="cellIs" dxfId="53" priority="64" operator="equal">
      <formula>"NR3"</formula>
    </cfRule>
  </conditionalFormatting>
  <conditionalFormatting sqref="B256">
    <cfRule type="cellIs" dxfId="52" priority="63" operator="equal">
      <formula>"NR3"</formula>
    </cfRule>
  </conditionalFormatting>
  <conditionalFormatting sqref="B257">
    <cfRule type="cellIs" dxfId="51" priority="62" operator="equal">
      <formula>"NR3"</formula>
    </cfRule>
  </conditionalFormatting>
  <conditionalFormatting sqref="B258:B267 B269 B271">
    <cfRule type="cellIs" dxfId="50" priority="61" operator="equal">
      <formula>"NR3"</formula>
    </cfRule>
  </conditionalFormatting>
  <conditionalFormatting sqref="B343">
    <cfRule type="cellIs" dxfId="49" priority="4" operator="equal">
      <formula>"NR3"</formula>
    </cfRule>
  </conditionalFormatting>
  <conditionalFormatting sqref="B330:B340 B347">
    <cfRule type="cellIs" dxfId="48" priority="7" operator="equal">
      <formula>"NR3"</formula>
    </cfRule>
  </conditionalFormatting>
  <conditionalFormatting sqref="B268">
    <cfRule type="cellIs" dxfId="47" priority="58" operator="equal">
      <formula>"NR3"</formula>
    </cfRule>
  </conditionalFormatting>
  <conditionalFormatting sqref="B272">
    <cfRule type="cellIs" dxfId="46" priority="56" operator="equal">
      <formula>"NR3"</formula>
    </cfRule>
  </conditionalFormatting>
  <conditionalFormatting sqref="B273">
    <cfRule type="cellIs" dxfId="45" priority="55" operator="equal">
      <formula>"NR3"</formula>
    </cfRule>
  </conditionalFormatting>
  <conditionalFormatting sqref="B274">
    <cfRule type="cellIs" dxfId="44" priority="54" operator="equal">
      <formula>"NR3"</formula>
    </cfRule>
  </conditionalFormatting>
  <conditionalFormatting sqref="B275">
    <cfRule type="cellIs" dxfId="43" priority="53" operator="equal">
      <formula>"NR3"</formula>
    </cfRule>
  </conditionalFormatting>
  <conditionalFormatting sqref="B276">
    <cfRule type="cellIs" dxfId="42" priority="52" operator="equal">
      <formula>"NR3"</formula>
    </cfRule>
  </conditionalFormatting>
  <conditionalFormatting sqref="B277">
    <cfRule type="cellIs" dxfId="41" priority="51" operator="equal">
      <formula>"NR3"</formula>
    </cfRule>
  </conditionalFormatting>
  <conditionalFormatting sqref="B342">
    <cfRule type="cellIs" dxfId="40" priority="5" operator="equal">
      <formula>"NR3"</formula>
    </cfRule>
  </conditionalFormatting>
  <conditionalFormatting sqref="B341">
    <cfRule type="cellIs" dxfId="39" priority="6" operator="equal">
      <formula>"NR3"</formula>
    </cfRule>
  </conditionalFormatting>
  <conditionalFormatting sqref="B278">
    <cfRule type="cellIs" dxfId="38" priority="46" operator="equal">
      <formula>"NR3"</formula>
    </cfRule>
  </conditionalFormatting>
  <conditionalFormatting sqref="B279">
    <cfRule type="cellIs" dxfId="37" priority="45" operator="equal">
      <formula>"NR3"</formula>
    </cfRule>
  </conditionalFormatting>
  <conditionalFormatting sqref="B280">
    <cfRule type="cellIs" dxfId="36" priority="44" operator="equal">
      <formula>"NR3"</formula>
    </cfRule>
  </conditionalFormatting>
  <conditionalFormatting sqref="B281">
    <cfRule type="cellIs" dxfId="35" priority="43" operator="equal">
      <formula>"NR3"</formula>
    </cfRule>
  </conditionalFormatting>
  <conditionalFormatting sqref="B282">
    <cfRule type="cellIs" dxfId="34" priority="42" operator="equal">
      <formula>"NR3"</formula>
    </cfRule>
  </conditionalFormatting>
  <conditionalFormatting sqref="B283:B284">
    <cfRule type="cellIs" dxfId="33" priority="41" operator="equal">
      <formula>"NR3"</formula>
    </cfRule>
  </conditionalFormatting>
  <conditionalFormatting sqref="B285">
    <cfRule type="cellIs" dxfId="32" priority="39" operator="equal">
      <formula>"NR3"</formula>
    </cfRule>
  </conditionalFormatting>
  <conditionalFormatting sqref="B286">
    <cfRule type="cellIs" dxfId="31" priority="38" operator="equal">
      <formula>"NR3"</formula>
    </cfRule>
  </conditionalFormatting>
  <conditionalFormatting sqref="B287">
    <cfRule type="cellIs" dxfId="30" priority="37" operator="equal">
      <formula>"NR3"</formula>
    </cfRule>
  </conditionalFormatting>
  <conditionalFormatting sqref="B288">
    <cfRule type="cellIs" dxfId="29" priority="36" operator="equal">
      <formula>"NR3"</formula>
    </cfRule>
  </conditionalFormatting>
  <conditionalFormatting sqref="B289">
    <cfRule type="cellIs" dxfId="28" priority="35" operator="equal">
      <formula>"NR3"</formula>
    </cfRule>
  </conditionalFormatting>
  <conditionalFormatting sqref="B290">
    <cfRule type="cellIs" dxfId="27" priority="34" operator="equal">
      <formula>"NR3"</formula>
    </cfRule>
  </conditionalFormatting>
  <conditionalFormatting sqref="B291">
    <cfRule type="cellIs" dxfId="26" priority="33" operator="equal">
      <formula>"NR3"</formula>
    </cfRule>
  </conditionalFormatting>
  <conditionalFormatting sqref="B292">
    <cfRule type="cellIs" dxfId="25" priority="32" operator="equal">
      <formula>"NR3"</formula>
    </cfRule>
  </conditionalFormatting>
  <conditionalFormatting sqref="B295">
    <cfRule type="cellIs" dxfId="24" priority="31" operator="equal">
      <formula>"NR3"</formula>
    </cfRule>
  </conditionalFormatting>
  <conditionalFormatting sqref="B296">
    <cfRule type="cellIs" dxfId="23" priority="30" operator="equal">
      <formula>"NR3"</formula>
    </cfRule>
  </conditionalFormatting>
  <conditionalFormatting sqref="B297:B298">
    <cfRule type="cellIs" dxfId="22" priority="29" operator="equal">
      <formula>"NR3"</formula>
    </cfRule>
  </conditionalFormatting>
  <conditionalFormatting sqref="B301">
    <cfRule type="cellIs" dxfId="21" priority="28" operator="equal">
      <formula>"NR3"</formula>
    </cfRule>
  </conditionalFormatting>
  <conditionalFormatting sqref="B305">
    <cfRule type="cellIs" dxfId="20" priority="27" operator="equal">
      <formula>"NR3"</formula>
    </cfRule>
  </conditionalFormatting>
  <conditionalFormatting sqref="B306">
    <cfRule type="cellIs" dxfId="19" priority="26" operator="equal">
      <formula>"NR3"</formula>
    </cfRule>
  </conditionalFormatting>
  <conditionalFormatting sqref="B307">
    <cfRule type="cellIs" dxfId="18" priority="25" operator="equal">
      <formula>"NR3"</formula>
    </cfRule>
  </conditionalFormatting>
  <conditionalFormatting sqref="B308">
    <cfRule type="cellIs" dxfId="17" priority="24" operator="equal">
      <formula>"NR3"</formula>
    </cfRule>
  </conditionalFormatting>
  <conditionalFormatting sqref="B246">
    <cfRule type="cellIs" dxfId="16" priority="23" operator="equal">
      <formula>"NR3"</formula>
    </cfRule>
  </conditionalFormatting>
  <conditionalFormatting sqref="B247">
    <cfRule type="cellIs" dxfId="15" priority="22" operator="equal">
      <formula>"NR3"</formula>
    </cfRule>
  </conditionalFormatting>
  <conditionalFormatting sqref="B309">
    <cfRule type="cellIs" dxfId="14" priority="21" operator="equal">
      <formula>"NR3"</formula>
    </cfRule>
  </conditionalFormatting>
  <conditionalFormatting sqref="B310">
    <cfRule type="cellIs" dxfId="13" priority="20" operator="equal">
      <formula>"NR3"</formula>
    </cfRule>
  </conditionalFormatting>
  <conditionalFormatting sqref="B311:B318">
    <cfRule type="cellIs" dxfId="12" priority="19" operator="equal">
      <formula>"NR3"</formula>
    </cfRule>
  </conditionalFormatting>
  <conditionalFormatting sqref="B319">
    <cfRule type="cellIs" dxfId="11" priority="18" operator="equal">
      <formula>"NR3"</formula>
    </cfRule>
  </conditionalFormatting>
  <conditionalFormatting sqref="B320">
    <cfRule type="cellIs" dxfId="10" priority="17" operator="equal">
      <formula>"NR3"</formula>
    </cfRule>
  </conditionalFormatting>
  <conditionalFormatting sqref="B321:B322">
    <cfRule type="cellIs" dxfId="9" priority="15" operator="equal">
      <formula>"NR3"</formula>
    </cfRule>
  </conditionalFormatting>
  <conditionalFormatting sqref="B323">
    <cfRule type="cellIs" dxfId="8" priority="14" operator="equal">
      <formula>"NR3"</formula>
    </cfRule>
  </conditionalFormatting>
  <conditionalFormatting sqref="B324">
    <cfRule type="cellIs" dxfId="7" priority="13" operator="equal">
      <formula>"NR3"</formula>
    </cfRule>
  </conditionalFormatting>
  <conditionalFormatting sqref="B325">
    <cfRule type="cellIs" dxfId="6" priority="12" operator="equal">
      <formula>"NR3"</formula>
    </cfRule>
  </conditionalFormatting>
  <conditionalFormatting sqref="B326">
    <cfRule type="cellIs" dxfId="5" priority="11" operator="equal">
      <formula>"NR3"</formula>
    </cfRule>
  </conditionalFormatting>
  <conditionalFormatting sqref="B327">
    <cfRule type="cellIs" dxfId="4" priority="10" operator="equal">
      <formula>"NR3"</formula>
    </cfRule>
  </conditionalFormatting>
  <conditionalFormatting sqref="B328">
    <cfRule type="cellIs" dxfId="3" priority="9" operator="equal">
      <formula>"NR3"</formula>
    </cfRule>
  </conditionalFormatting>
  <conditionalFormatting sqref="B329">
    <cfRule type="cellIs" dxfId="2" priority="8" operator="equal">
      <formula>"NR3"</formula>
    </cfRule>
  </conditionalFormatting>
  <conditionalFormatting sqref="B345">
    <cfRule type="cellIs" dxfId="1" priority="3" operator="equal">
      <formula>"NR3"</formula>
    </cfRule>
  </conditionalFormatting>
  <conditionalFormatting sqref="B344">
    <cfRule type="cellIs" dxfId="0" priority="2" operator="equal">
      <formula>"NR3"</formula>
    </cfRule>
  </conditionalFormatting>
  <dataValidations count="1">
    <dataValidation allowBlank="1" showInputMessage="1" showErrorMessage="1" sqref="D1:Q9 C5:C9 B1:B9 B352:Q1048576 B236 B224:B228 B341:B346 B240 B248:B257 B268 B270 B272:B284 B233:B234 A1:A1048576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27"/>
  <sheetViews>
    <sheetView rightToLeft="1" topLeftCell="A4" workbookViewId="0">
      <selection activeCell="D23" sqref="D23:D27"/>
    </sheetView>
  </sheetViews>
  <sheetFormatPr defaultColWidth="9.140625" defaultRowHeight="18"/>
  <cols>
    <col min="1" max="1" width="6.28515625" style="1" customWidth="1"/>
    <col min="2" max="2" width="28.7109375" style="2" bestFit="1" customWidth="1"/>
    <col min="3" max="3" width="48.42578125" style="2" bestFit="1" customWidth="1"/>
    <col min="4" max="4" width="10" style="2" bestFit="1" customWidth="1"/>
    <col min="5" max="5" width="5.7109375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1.28515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185</v>
      </c>
      <c r="C1" s="78" t="s" vm="1">
        <v>273</v>
      </c>
    </row>
    <row r="2" spans="2:64">
      <c r="B2" s="57" t="s">
        <v>184</v>
      </c>
      <c r="C2" s="78" t="s">
        <v>274</v>
      </c>
    </row>
    <row r="3" spans="2:64">
      <c r="B3" s="57" t="s">
        <v>186</v>
      </c>
      <c r="C3" s="78" t="s">
        <v>275</v>
      </c>
    </row>
    <row r="4" spans="2:64">
      <c r="B4" s="57" t="s">
        <v>187</v>
      </c>
      <c r="C4" s="78">
        <v>2102</v>
      </c>
    </row>
    <row r="6" spans="2:64" ht="26.25" customHeight="1">
      <c r="B6" s="181" t="s">
        <v>218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2:64" s="3" customFormat="1" ht="63">
      <c r="B7" s="60" t="s">
        <v>124</v>
      </c>
      <c r="C7" s="61" t="s">
        <v>49</v>
      </c>
      <c r="D7" s="61" t="s">
        <v>125</v>
      </c>
      <c r="E7" s="61" t="s">
        <v>15</v>
      </c>
      <c r="F7" s="61" t="s">
        <v>71</v>
      </c>
      <c r="G7" s="61" t="s">
        <v>18</v>
      </c>
      <c r="H7" s="61" t="s">
        <v>109</v>
      </c>
      <c r="I7" s="61" t="s">
        <v>57</v>
      </c>
      <c r="J7" s="61" t="s">
        <v>19</v>
      </c>
      <c r="K7" s="61" t="s">
        <v>249</v>
      </c>
      <c r="L7" s="61" t="s">
        <v>248</v>
      </c>
      <c r="M7" s="61" t="s">
        <v>118</v>
      </c>
      <c r="N7" s="61" t="s">
        <v>188</v>
      </c>
      <c r="O7" s="63" t="s">
        <v>190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256</v>
      </c>
      <c r="L8" s="33"/>
      <c r="M8" s="33" t="s">
        <v>252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8" t="s">
        <v>44</v>
      </c>
      <c r="C10" s="124"/>
      <c r="D10" s="124"/>
      <c r="E10" s="124"/>
      <c r="F10" s="124"/>
      <c r="G10" s="125">
        <v>3.1661631682533899</v>
      </c>
      <c r="H10" s="124"/>
      <c r="I10" s="124"/>
      <c r="J10" s="126">
        <v>-4.8847167786103072E-3</v>
      </c>
      <c r="K10" s="125"/>
      <c r="L10" s="127"/>
      <c r="M10" s="125">
        <v>195331.94036000001</v>
      </c>
      <c r="N10" s="126">
        <f>M10/$M$10</f>
        <v>1</v>
      </c>
      <c r="O10" s="126">
        <f>M10/'סכום נכסי הקרן'!$C$42</f>
        <v>3.3616446687059964E-3</v>
      </c>
      <c r="P10" s="100"/>
      <c r="Q10" s="100"/>
      <c r="R10" s="100"/>
      <c r="S10" s="100"/>
      <c r="T10" s="100"/>
      <c r="U10" s="100"/>
      <c r="BL10" s="100"/>
    </row>
    <row r="11" spans="2:64" s="100" customFormat="1" ht="20.25" customHeight="1">
      <c r="B11" s="129" t="s">
        <v>243</v>
      </c>
      <c r="C11" s="124"/>
      <c r="D11" s="124"/>
      <c r="E11" s="124"/>
      <c r="F11" s="124"/>
      <c r="G11" s="125">
        <v>3.1661631682533899</v>
      </c>
      <c r="H11" s="124"/>
      <c r="I11" s="124"/>
      <c r="J11" s="126">
        <v>-4.8847167786103072E-3</v>
      </c>
      <c r="K11" s="125"/>
      <c r="L11" s="127"/>
      <c r="M11" s="125">
        <v>195331.94036000001</v>
      </c>
      <c r="N11" s="126">
        <f t="shared" ref="N11:N27" si="0">M11/$M$10</f>
        <v>1</v>
      </c>
      <c r="O11" s="126">
        <f>M11/'סכום נכסי הקרן'!$C$42</f>
        <v>3.3616446687059964E-3</v>
      </c>
    </row>
    <row r="12" spans="2:64">
      <c r="B12" s="102" t="s">
        <v>239</v>
      </c>
      <c r="C12" s="82"/>
      <c r="D12" s="82"/>
      <c r="E12" s="82"/>
      <c r="F12" s="82"/>
      <c r="G12" s="91">
        <v>3.1661631682533899</v>
      </c>
      <c r="H12" s="82"/>
      <c r="I12" s="82"/>
      <c r="J12" s="92">
        <v>-4.8847167786103072E-3</v>
      </c>
      <c r="K12" s="91"/>
      <c r="L12" s="93"/>
      <c r="M12" s="91">
        <v>195331.94036000001</v>
      </c>
      <c r="N12" s="92">
        <f t="shared" si="0"/>
        <v>1</v>
      </c>
      <c r="O12" s="92">
        <f>M12/'סכום נכסי הקרן'!$C$42</f>
        <v>3.3616446687059964E-3</v>
      </c>
    </row>
    <row r="13" spans="2:64">
      <c r="B13" s="87" t="s">
        <v>2836</v>
      </c>
      <c r="C13" s="84" t="s">
        <v>2837</v>
      </c>
      <c r="D13" s="84">
        <v>20</v>
      </c>
      <c r="E13" s="84" t="s">
        <v>360</v>
      </c>
      <c r="F13" s="84" t="s">
        <v>361</v>
      </c>
      <c r="G13" s="94">
        <v>1.8</v>
      </c>
      <c r="H13" s="97" t="s">
        <v>170</v>
      </c>
      <c r="I13" s="98">
        <v>6.2E-2</v>
      </c>
      <c r="J13" s="95">
        <v>-9.2999999999999992E-3</v>
      </c>
      <c r="K13" s="94">
        <v>1095820.02</v>
      </c>
      <c r="L13" s="96">
        <v>141.26</v>
      </c>
      <c r="M13" s="94">
        <v>1547.9553100000001</v>
      </c>
      <c r="N13" s="95">
        <f t="shared" si="0"/>
        <v>7.9247424007926857E-3</v>
      </c>
      <c r="O13" s="95">
        <f>M13/'סכום נכסי הקרן'!$C$42</f>
        <v>2.6640168042493087E-5</v>
      </c>
    </row>
    <row r="14" spans="2:64">
      <c r="B14" s="87" t="s">
        <v>2838</v>
      </c>
      <c r="C14" s="84" t="s">
        <v>2839</v>
      </c>
      <c r="D14" s="84">
        <v>20</v>
      </c>
      <c r="E14" s="84" t="s">
        <v>360</v>
      </c>
      <c r="F14" s="84" t="s">
        <v>361</v>
      </c>
      <c r="G14" s="94">
        <v>4.4300000000000006</v>
      </c>
      <c r="H14" s="97" t="s">
        <v>170</v>
      </c>
      <c r="I14" s="98">
        <v>5.6500000000000002E-2</v>
      </c>
      <c r="J14" s="95">
        <v>-2.9000000000000002E-3</v>
      </c>
      <c r="K14" s="94">
        <v>1737353.74</v>
      </c>
      <c r="L14" s="96">
        <v>161.97</v>
      </c>
      <c r="M14" s="94">
        <v>2813.9919199999999</v>
      </c>
      <c r="N14" s="95">
        <f t="shared" si="0"/>
        <v>1.440620471395393E-2</v>
      </c>
      <c r="O14" s="95">
        <f>M14/'סכום נכסי הקרן'!$C$42</f>
        <v>4.8428541272950422E-5</v>
      </c>
    </row>
    <row r="15" spans="2:64">
      <c r="B15" s="87" t="s">
        <v>2840</v>
      </c>
      <c r="C15" s="84" t="s">
        <v>2841</v>
      </c>
      <c r="D15" s="84">
        <v>12</v>
      </c>
      <c r="E15" s="84" t="s">
        <v>360</v>
      </c>
      <c r="F15" s="84" t="s">
        <v>361</v>
      </c>
      <c r="G15" s="94">
        <v>1.8</v>
      </c>
      <c r="H15" s="97" t="s">
        <v>170</v>
      </c>
      <c r="I15" s="98">
        <v>0.06</v>
      </c>
      <c r="J15" s="95">
        <v>-5.8999999999999999E-3</v>
      </c>
      <c r="K15" s="94">
        <v>5504413.9500000002</v>
      </c>
      <c r="L15" s="96">
        <v>139.37</v>
      </c>
      <c r="M15" s="94">
        <v>7671.5015800000001</v>
      </c>
      <c r="N15" s="95">
        <f t="shared" si="0"/>
        <v>3.9274178948211419E-2</v>
      </c>
      <c r="O15" s="95">
        <f>M15/'סכום נכסי הקרן'!$C$42</f>
        <v>1.3202583427906017E-4</v>
      </c>
    </row>
    <row r="16" spans="2:64">
      <c r="B16" s="87" t="s">
        <v>2842</v>
      </c>
      <c r="C16" s="84" t="s">
        <v>2843</v>
      </c>
      <c r="D16" s="84">
        <v>12</v>
      </c>
      <c r="E16" s="84" t="s">
        <v>360</v>
      </c>
      <c r="F16" s="84" t="s">
        <v>361</v>
      </c>
      <c r="G16" s="94">
        <v>2.95</v>
      </c>
      <c r="H16" s="97" t="s">
        <v>170</v>
      </c>
      <c r="I16" s="98">
        <v>5.0499999999999996E-2</v>
      </c>
      <c r="J16" s="95">
        <v>-4.899999999999999E-3</v>
      </c>
      <c r="K16" s="94">
        <v>10209048.4</v>
      </c>
      <c r="L16" s="96">
        <v>149.16999999999999</v>
      </c>
      <c r="M16" s="94">
        <v>15228.83807</v>
      </c>
      <c r="N16" s="95">
        <f t="shared" si="0"/>
        <v>7.7963890810345701E-2</v>
      </c>
      <c r="O16" s="95">
        <f>M16/'סכום נכסי הקרן'!$C$42</f>
        <v>2.6208689789417505E-4</v>
      </c>
    </row>
    <row r="17" spans="2:15">
      <c r="B17" s="87" t="s">
        <v>2844</v>
      </c>
      <c r="C17" s="84">
        <v>3534</v>
      </c>
      <c r="D17" s="84">
        <v>20</v>
      </c>
      <c r="E17" s="84" t="s">
        <v>360</v>
      </c>
      <c r="F17" s="84" t="s">
        <v>361</v>
      </c>
      <c r="G17" s="94">
        <v>3.07</v>
      </c>
      <c r="H17" s="97" t="s">
        <v>170</v>
      </c>
      <c r="I17" s="98">
        <v>5.5099999999999996E-2</v>
      </c>
      <c r="J17" s="95">
        <v>-5.1999999999999998E-3</v>
      </c>
      <c r="K17" s="94">
        <v>50000000</v>
      </c>
      <c r="L17" s="96">
        <v>155.04</v>
      </c>
      <c r="M17" s="94">
        <v>77520.000390000001</v>
      </c>
      <c r="N17" s="95">
        <f t="shared" si="0"/>
        <v>0.39686290038961042</v>
      </c>
      <c r="O17" s="95">
        <f>M17/'סכום נכסי הקרן'!$C$42</f>
        <v>1.3341120533019327E-3</v>
      </c>
    </row>
    <row r="18" spans="2:15">
      <c r="B18" s="87" t="s">
        <v>2845</v>
      </c>
      <c r="C18" s="84" t="s">
        <v>2846</v>
      </c>
      <c r="D18" s="84">
        <v>20</v>
      </c>
      <c r="E18" s="84" t="s">
        <v>360</v>
      </c>
      <c r="F18" s="84" t="s">
        <v>361</v>
      </c>
      <c r="G18" s="94">
        <v>4.99</v>
      </c>
      <c r="H18" s="97" t="s">
        <v>170</v>
      </c>
      <c r="I18" s="98">
        <v>5.7500000000000002E-2</v>
      </c>
      <c r="J18" s="95">
        <v>-3.0999999999999999E-3</v>
      </c>
      <c r="K18" s="94">
        <v>796072.82</v>
      </c>
      <c r="L18" s="96">
        <v>179.79</v>
      </c>
      <c r="M18" s="94">
        <v>1431.25926</v>
      </c>
      <c r="N18" s="95">
        <f t="shared" si="0"/>
        <v>7.3273180892083779E-3</v>
      </c>
      <c r="O18" s="95">
        <f>M18/'סכום נכסי הקרן'!$C$42</f>
        <v>2.4631839790500349E-5</v>
      </c>
    </row>
    <row r="19" spans="2:15">
      <c r="B19" s="87" t="s">
        <v>2847</v>
      </c>
      <c r="C19" s="84" t="s">
        <v>2848</v>
      </c>
      <c r="D19" s="84">
        <v>12</v>
      </c>
      <c r="E19" s="84" t="s">
        <v>360</v>
      </c>
      <c r="F19" s="84" t="s">
        <v>361</v>
      </c>
      <c r="G19" s="94">
        <v>1.02</v>
      </c>
      <c r="H19" s="97" t="s">
        <v>170</v>
      </c>
      <c r="I19" s="98">
        <v>5.2499999999999998E-2</v>
      </c>
      <c r="J19" s="95">
        <v>-5.4000000000000003E-3</v>
      </c>
      <c r="K19" s="94">
        <v>455559.94</v>
      </c>
      <c r="L19" s="96">
        <v>143.52000000000001</v>
      </c>
      <c r="M19" s="94">
        <v>653.81958999999995</v>
      </c>
      <c r="N19" s="95">
        <f t="shared" si="0"/>
        <v>3.3472231361394334E-3</v>
      </c>
      <c r="O19" s="95">
        <f>M19/'סכום נכסי הקרן'!$C$42</f>
        <v>1.1252174810572491E-5</v>
      </c>
    </row>
    <row r="20" spans="2:15">
      <c r="B20" s="87" t="s">
        <v>2849</v>
      </c>
      <c r="C20" s="84" t="s">
        <v>2850</v>
      </c>
      <c r="D20" s="84">
        <v>12</v>
      </c>
      <c r="E20" s="84" t="s">
        <v>360</v>
      </c>
      <c r="F20" s="84" t="s">
        <v>361</v>
      </c>
      <c r="G20" s="94">
        <v>4.4300000000000006</v>
      </c>
      <c r="H20" s="97" t="s">
        <v>170</v>
      </c>
      <c r="I20" s="98">
        <v>5.5999999999999994E-2</v>
      </c>
      <c r="J20" s="95">
        <v>-3.4000000000000002E-3</v>
      </c>
      <c r="K20" s="94">
        <v>6941723.4199999999</v>
      </c>
      <c r="L20" s="96">
        <v>162</v>
      </c>
      <c r="M20" s="94">
        <v>11245.591859999999</v>
      </c>
      <c r="N20" s="95">
        <f t="shared" si="0"/>
        <v>5.7571699944587586E-2</v>
      </c>
      <c r="O20" s="95">
        <f>M20/'סכום נכסי הקרן'!$C$42</f>
        <v>1.9353559818706417E-4</v>
      </c>
    </row>
    <row r="21" spans="2:15">
      <c r="B21" s="87" t="s">
        <v>2851</v>
      </c>
      <c r="C21" s="84" t="s">
        <v>2852</v>
      </c>
      <c r="D21" s="84">
        <v>12</v>
      </c>
      <c r="E21" s="84" t="s">
        <v>360</v>
      </c>
      <c r="F21" s="84" t="s">
        <v>361</v>
      </c>
      <c r="G21" s="94">
        <v>2.44</v>
      </c>
      <c r="H21" s="97" t="s">
        <v>170</v>
      </c>
      <c r="I21" s="98">
        <v>5.0999999999999997E-2</v>
      </c>
      <c r="J21" s="95">
        <v>-5.1999999999999989E-3</v>
      </c>
      <c r="K21" s="94">
        <v>8734844.4600000009</v>
      </c>
      <c r="L21" s="96">
        <v>146.11000000000001</v>
      </c>
      <c r="M21" s="94">
        <v>12762.481019999999</v>
      </c>
      <c r="N21" s="95">
        <f t="shared" si="0"/>
        <v>6.533739948765438E-2</v>
      </c>
      <c r="O21" s="95">
        <f>M21/'סכום נכסי הקרן'!$C$42</f>
        <v>2.1964112065478723E-4</v>
      </c>
    </row>
    <row r="22" spans="2:15">
      <c r="B22" s="87" t="s">
        <v>2853</v>
      </c>
      <c r="C22" s="84" t="s">
        <v>2854</v>
      </c>
      <c r="D22" s="84">
        <v>12</v>
      </c>
      <c r="E22" s="84" t="s">
        <v>360</v>
      </c>
      <c r="F22" s="84" t="s">
        <v>361</v>
      </c>
      <c r="G22" s="94">
        <v>3.1399999999999992</v>
      </c>
      <c r="H22" s="97" t="s">
        <v>170</v>
      </c>
      <c r="I22" s="98">
        <v>5.5E-2</v>
      </c>
      <c r="J22" s="95">
        <v>-5.1999999999999998E-3</v>
      </c>
      <c r="K22" s="94">
        <v>10000000</v>
      </c>
      <c r="L22" s="96">
        <v>152.18</v>
      </c>
      <c r="M22" s="94">
        <v>15217.999810000001</v>
      </c>
      <c r="N22" s="95">
        <f t="shared" si="0"/>
        <v>7.7908404441961593E-2</v>
      </c>
      <c r="O22" s="95">
        <f>M22/'סכום נכסי הקרן'!$C$42</f>
        <v>2.6190037243971077E-4</v>
      </c>
    </row>
    <row r="23" spans="2:15">
      <c r="B23" s="87" t="s">
        <v>2855</v>
      </c>
      <c r="C23" s="84" t="s">
        <v>2856</v>
      </c>
      <c r="D23" s="84">
        <v>12</v>
      </c>
      <c r="E23" s="84" t="s">
        <v>360</v>
      </c>
      <c r="F23" s="84" t="s">
        <v>361</v>
      </c>
      <c r="G23" s="94">
        <v>3.45</v>
      </c>
      <c r="H23" s="97" t="s">
        <v>170</v>
      </c>
      <c r="I23" s="98">
        <v>5.0499999999999996E-2</v>
      </c>
      <c r="J23" s="95">
        <v>-4.5999999999999999E-3</v>
      </c>
      <c r="K23" s="94">
        <v>11636008.199999999</v>
      </c>
      <c r="L23" s="96">
        <v>147.33000000000001</v>
      </c>
      <c r="M23" s="94">
        <v>17143.330839999999</v>
      </c>
      <c r="N23" s="95">
        <f t="shared" si="0"/>
        <v>8.7765118231071457E-2</v>
      </c>
      <c r="O23" s="95">
        <f>M23/'סכום נכסי הקרן'!$C$42</f>
        <v>2.950351417998328E-4</v>
      </c>
    </row>
    <row r="24" spans="2:15">
      <c r="B24" s="87" t="s">
        <v>2857</v>
      </c>
      <c r="C24" s="84" t="s">
        <v>2858</v>
      </c>
      <c r="D24" s="84">
        <v>12</v>
      </c>
      <c r="E24" s="84" t="s">
        <v>360</v>
      </c>
      <c r="F24" s="84" t="s">
        <v>361</v>
      </c>
      <c r="G24" s="94">
        <v>3.97</v>
      </c>
      <c r="H24" s="97" t="s">
        <v>170</v>
      </c>
      <c r="I24" s="98">
        <v>5.0499999999999996E-2</v>
      </c>
      <c r="J24" s="95">
        <v>-4.1000000000000003E-3</v>
      </c>
      <c r="K24" s="94">
        <v>12994377.369999999</v>
      </c>
      <c r="L24" s="96">
        <v>152.81</v>
      </c>
      <c r="M24" s="94">
        <v>19856.708269999999</v>
      </c>
      <c r="N24" s="95">
        <f t="shared" si="0"/>
        <v>0.10165622802601436</v>
      </c>
      <c r="O24" s="95">
        <f>M24/'סכום נכסי הקרן'!$C$42</f>
        <v>3.4173211698441226E-4</v>
      </c>
    </row>
    <row r="25" spans="2:15">
      <c r="B25" s="87" t="s">
        <v>2859</v>
      </c>
      <c r="C25" s="84" t="s">
        <v>2860</v>
      </c>
      <c r="D25" s="84">
        <v>68</v>
      </c>
      <c r="E25" s="84" t="s">
        <v>457</v>
      </c>
      <c r="F25" s="84" t="s">
        <v>361</v>
      </c>
      <c r="G25" s="94">
        <v>1.78</v>
      </c>
      <c r="H25" s="97" t="s">
        <v>170</v>
      </c>
      <c r="I25" s="98">
        <v>6.5000000000000002E-2</v>
      </c>
      <c r="J25" s="95">
        <v>-4.8000000000000004E-3</v>
      </c>
      <c r="K25" s="94">
        <v>1682562.59</v>
      </c>
      <c r="L25" s="96">
        <v>140.88999999999999</v>
      </c>
      <c r="M25" s="94">
        <v>2370.5624400000002</v>
      </c>
      <c r="N25" s="95">
        <f t="shared" si="0"/>
        <v>1.2136071733230183E-2</v>
      </c>
      <c r="O25" s="95">
        <f>M25/'סכום נכסי הקרן'!$C$42</f>
        <v>4.0797160841046789E-5</v>
      </c>
    </row>
    <row r="26" spans="2:15">
      <c r="B26" s="87" t="s">
        <v>2861</v>
      </c>
      <c r="C26" s="84" t="s">
        <v>2862</v>
      </c>
      <c r="D26" s="84">
        <v>68</v>
      </c>
      <c r="E26" s="84" t="s">
        <v>457</v>
      </c>
      <c r="F26" s="84" t="s">
        <v>361</v>
      </c>
      <c r="G26" s="94">
        <v>3.0999999999999996</v>
      </c>
      <c r="H26" s="97" t="s">
        <v>170</v>
      </c>
      <c r="I26" s="98">
        <v>6.2E-2</v>
      </c>
      <c r="J26" s="95">
        <v>-4.4999999999999997E-3</v>
      </c>
      <c r="K26" s="94">
        <v>5000000</v>
      </c>
      <c r="L26" s="96">
        <v>155.34</v>
      </c>
      <c r="M26" s="94">
        <v>7766.9999600000001</v>
      </c>
      <c r="N26" s="95">
        <f t="shared" si="0"/>
        <v>3.9763081991021493E-2</v>
      </c>
      <c r="O26" s="95">
        <f>M26/'סכום נכסי הקרן'!$C$42</f>
        <v>1.336693525864368E-4</v>
      </c>
    </row>
    <row r="27" spans="2:15">
      <c r="B27" s="87" t="s">
        <v>2863</v>
      </c>
      <c r="C27" s="84" t="s">
        <v>2864</v>
      </c>
      <c r="D27" s="84">
        <v>54</v>
      </c>
      <c r="E27" s="84" t="s">
        <v>541</v>
      </c>
      <c r="F27" s="84" t="s">
        <v>361</v>
      </c>
      <c r="G27" s="94">
        <v>1.7399999999999998</v>
      </c>
      <c r="H27" s="97" t="s">
        <v>170</v>
      </c>
      <c r="I27" s="98">
        <v>6.3E-2</v>
      </c>
      <c r="J27" s="95">
        <v>-4.899999999999999E-3</v>
      </c>
      <c r="K27" s="94">
        <v>1500000</v>
      </c>
      <c r="L27" s="96">
        <v>140.06</v>
      </c>
      <c r="M27" s="94">
        <v>2100.90004</v>
      </c>
      <c r="N27" s="95">
        <f t="shared" si="0"/>
        <v>1.0755537656196966E-2</v>
      </c>
      <c r="O27" s="95">
        <f>M27/'סכום נכסי הקרן'!$C$42</f>
        <v>3.6156295821021119E-5</v>
      </c>
    </row>
    <row r="28" spans="2:15">
      <c r="B28" s="83"/>
      <c r="C28" s="84"/>
      <c r="D28" s="84"/>
      <c r="E28" s="84"/>
      <c r="F28" s="84"/>
      <c r="G28" s="84"/>
      <c r="H28" s="84"/>
      <c r="I28" s="84"/>
      <c r="J28" s="95"/>
      <c r="K28" s="94"/>
      <c r="L28" s="96"/>
      <c r="M28" s="84"/>
      <c r="N28" s="95"/>
      <c r="O28" s="84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99" t="s">
        <v>265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99" t="s">
        <v>120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99" t="s">
        <v>247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99" t="s">
        <v>255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AT862"/>
  <sheetViews>
    <sheetView rightToLeft="1" topLeftCell="A16" zoomScale="80" zoomScaleNormal="80" workbookViewId="0">
      <selection activeCell="A10" sqref="A10:XFD262"/>
    </sheetView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48.42578125" style="2" bestFit="1" customWidth="1"/>
    <col min="4" max="4" width="7.140625" style="1" bestFit="1" customWidth="1"/>
    <col min="5" max="5" width="7.5703125" style="1" bestFit="1" customWidth="1"/>
    <col min="6" max="6" width="9.7109375" style="1" bestFit="1" customWidth="1"/>
    <col min="7" max="7" width="13.140625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10" style="3" customWidth="1"/>
    <col min="12" max="12" width="9.5703125" style="3" customWidth="1"/>
    <col min="13" max="13" width="6.140625" style="3" customWidth="1"/>
    <col min="14" max="15" width="5.7109375" style="3" customWidth="1"/>
    <col min="16" max="16" width="6.85546875" style="3" customWidth="1"/>
    <col min="17" max="17" width="6.42578125" style="3" customWidth="1"/>
    <col min="18" max="18" width="6.7109375" style="3" customWidth="1"/>
    <col min="19" max="19" width="7.28515625" style="3" customWidth="1"/>
    <col min="20" max="31" width="5.7109375" style="3" customWidth="1"/>
    <col min="32" max="46" width="9.140625" style="3"/>
    <col min="47" max="16384" width="9.140625" style="1"/>
  </cols>
  <sheetData>
    <row r="1" spans="2:46">
      <c r="B1" s="57" t="s">
        <v>185</v>
      </c>
      <c r="C1" s="78" t="s" vm="1">
        <v>273</v>
      </c>
    </row>
    <row r="2" spans="2:46">
      <c r="B2" s="57" t="s">
        <v>184</v>
      </c>
      <c r="C2" s="78" t="s">
        <v>274</v>
      </c>
    </row>
    <row r="3" spans="2:46">
      <c r="B3" s="57" t="s">
        <v>186</v>
      </c>
      <c r="C3" s="78" t="s">
        <v>275</v>
      </c>
    </row>
    <row r="4" spans="2:46">
      <c r="B4" s="57" t="s">
        <v>187</v>
      </c>
      <c r="C4" s="78">
        <v>2102</v>
      </c>
    </row>
    <row r="6" spans="2:46" ht="26.25" customHeight="1">
      <c r="B6" s="181" t="s">
        <v>219</v>
      </c>
      <c r="C6" s="182"/>
      <c r="D6" s="182"/>
      <c r="E6" s="182"/>
      <c r="F6" s="182"/>
      <c r="G6" s="182"/>
      <c r="H6" s="182"/>
      <c r="I6" s="182"/>
      <c r="J6" s="183"/>
    </row>
    <row r="7" spans="2:46" s="3" customFormat="1" ht="78.75">
      <c r="B7" s="60" t="s">
        <v>124</v>
      </c>
      <c r="C7" s="62" t="s">
        <v>59</v>
      </c>
      <c r="D7" s="62" t="s">
        <v>92</v>
      </c>
      <c r="E7" s="62" t="s">
        <v>60</v>
      </c>
      <c r="F7" s="62" t="s">
        <v>109</v>
      </c>
      <c r="G7" s="62" t="s">
        <v>232</v>
      </c>
      <c r="H7" s="62" t="s">
        <v>188</v>
      </c>
      <c r="I7" s="64" t="s">
        <v>189</v>
      </c>
      <c r="J7" s="77" t="s">
        <v>259</v>
      </c>
    </row>
    <row r="8" spans="2:4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253</v>
      </c>
      <c r="H8" s="33" t="s">
        <v>20</v>
      </c>
      <c r="I8" s="18" t="s">
        <v>20</v>
      </c>
      <c r="J8" s="18"/>
    </row>
    <row r="9" spans="2:4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2:46" s="135" customFormat="1" ht="18" customHeight="1">
      <c r="B10" s="119" t="s">
        <v>45</v>
      </c>
      <c r="C10" s="119"/>
      <c r="D10" s="119"/>
      <c r="E10" s="146">
        <v>5.2865965691571128E-2</v>
      </c>
      <c r="F10" s="120"/>
      <c r="G10" s="121">
        <v>1727801.3289000001</v>
      </c>
      <c r="H10" s="147">
        <f>G10/$G$10</f>
        <v>1</v>
      </c>
      <c r="I10" s="147">
        <f>G10/'סכום נכסי הקרן'!$C$42</f>
        <v>2.9735301431886216E-2</v>
      </c>
      <c r="J10" s="120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</row>
    <row r="11" spans="2:46" s="132" customFormat="1" ht="22.5" customHeight="1">
      <c r="B11" s="81" t="s">
        <v>246</v>
      </c>
      <c r="C11" s="106"/>
      <c r="D11" s="106"/>
      <c r="E11" s="146">
        <v>5.2865965691571128E-2</v>
      </c>
      <c r="F11" s="122" t="s">
        <v>170</v>
      </c>
      <c r="G11" s="91">
        <v>1727801.3289000001</v>
      </c>
      <c r="H11" s="92">
        <f t="shared" ref="H11:H41" si="0">G11/$G$10</f>
        <v>1</v>
      </c>
      <c r="I11" s="92">
        <f>G11/'סכום נכסי הקרן'!$C$42</f>
        <v>2.9735301431886216E-2</v>
      </c>
      <c r="J11" s="82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</row>
    <row r="12" spans="2:46" s="132" customFormat="1">
      <c r="B12" s="102" t="s">
        <v>93</v>
      </c>
      <c r="C12" s="106"/>
      <c r="D12" s="106"/>
      <c r="E12" s="146">
        <v>6.472274346173193E-2</v>
      </c>
      <c r="F12" s="122" t="s">
        <v>170</v>
      </c>
      <c r="G12" s="91">
        <v>1411279.5733</v>
      </c>
      <c r="H12" s="92">
        <f t="shared" si="0"/>
        <v>0.81680662567755247</v>
      </c>
      <c r="I12" s="92">
        <f>G12/'סכום נכסי הקרן'!$C$42</f>
        <v>2.4287991226083872E-2</v>
      </c>
      <c r="J12" s="82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</row>
    <row r="13" spans="2:46" s="132" customFormat="1">
      <c r="B13" s="87" t="s">
        <v>2865</v>
      </c>
      <c r="C13" s="107">
        <v>43830</v>
      </c>
      <c r="D13" s="101" t="s">
        <v>2866</v>
      </c>
      <c r="E13" s="146">
        <v>5.9225546331594291E-2</v>
      </c>
      <c r="F13" s="97" t="s">
        <v>170</v>
      </c>
      <c r="G13" s="94">
        <v>13950.000199999999</v>
      </c>
      <c r="H13" s="95">
        <f t="shared" si="0"/>
        <v>8.0738450461091075E-3</v>
      </c>
      <c r="I13" s="95">
        <f>G13/'סכום נכסי הקרן'!$C$42</f>
        <v>2.4007821616039556E-4</v>
      </c>
      <c r="J13" s="84" t="s">
        <v>2867</v>
      </c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</row>
    <row r="14" spans="2:46" s="132" customFormat="1">
      <c r="B14" s="87" t="s">
        <v>2868</v>
      </c>
      <c r="C14" s="107">
        <v>43830</v>
      </c>
      <c r="D14" s="101" t="s">
        <v>2866</v>
      </c>
      <c r="E14" s="146">
        <v>7.2087173556377213E-2</v>
      </c>
      <c r="F14" s="97" t="s">
        <v>170</v>
      </c>
      <c r="G14" s="94">
        <v>39022.499250000001</v>
      </c>
      <c r="H14" s="95">
        <f t="shared" si="0"/>
        <v>2.2585061486695097E-2</v>
      </c>
      <c r="I14" s="95">
        <f>G14/'סכום נכסי הקרן'!$C$42</f>
        <v>6.7157361116456293E-4</v>
      </c>
      <c r="J14" s="84" t="s">
        <v>2869</v>
      </c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</row>
    <row r="15" spans="2:46" s="132" customFormat="1">
      <c r="B15" s="87" t="s">
        <v>2870</v>
      </c>
      <c r="C15" s="107">
        <v>43830</v>
      </c>
      <c r="D15" s="101" t="s">
        <v>2866</v>
      </c>
      <c r="E15" s="146">
        <v>5.5317992805870672E-2</v>
      </c>
      <c r="F15" s="97" t="s">
        <v>170</v>
      </c>
      <c r="G15" s="94">
        <v>94460.000440000003</v>
      </c>
      <c r="H15" s="95">
        <f t="shared" si="0"/>
        <v>5.4670637682711881E-2</v>
      </c>
      <c r="I15" s="95">
        <f>G15/'סכום נכסי הקרן'!$C$42</f>
        <v>1.6256478909688749E-3</v>
      </c>
      <c r="J15" s="84" t="s">
        <v>2871</v>
      </c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</row>
    <row r="16" spans="2:46" s="132" customFormat="1">
      <c r="B16" s="87" t="s">
        <v>2872</v>
      </c>
      <c r="C16" s="107">
        <v>43646</v>
      </c>
      <c r="D16" s="101" t="s">
        <v>2866</v>
      </c>
      <c r="E16" s="146">
        <v>6.5647412652199061E-2</v>
      </c>
      <c r="F16" s="97" t="s">
        <v>170</v>
      </c>
      <c r="G16" s="94">
        <v>31539.999800000001</v>
      </c>
      <c r="H16" s="95">
        <f t="shared" si="0"/>
        <v>1.8254413440045133E-2</v>
      </c>
      <c r="I16" s="95">
        <f>G16/'סכום נכסי הקרן'!$C$42</f>
        <v>5.42800486102017E-4</v>
      </c>
      <c r="J16" s="84" t="s">
        <v>2873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</row>
    <row r="17" spans="2:46" s="132" customFormat="1">
      <c r="B17" s="87" t="s">
        <v>2874</v>
      </c>
      <c r="C17" s="107">
        <v>43830</v>
      </c>
      <c r="D17" s="101" t="s">
        <v>2875</v>
      </c>
      <c r="E17" s="146">
        <v>5.9914839002906894E-2</v>
      </c>
      <c r="F17" s="97" t="s">
        <v>170</v>
      </c>
      <c r="G17" s="94">
        <v>67800.00056</v>
      </c>
      <c r="H17" s="95">
        <f t="shared" si="0"/>
        <v>3.9240622996374638E-2</v>
      </c>
      <c r="I17" s="95">
        <f>G17/'סכום נכסי הקרן'!$C$42</f>
        <v>1.1668317531722059E-3</v>
      </c>
      <c r="J17" s="84" t="s">
        <v>2876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</row>
    <row r="18" spans="2:46" s="132" customFormat="1">
      <c r="B18" s="87" t="s">
        <v>2877</v>
      </c>
      <c r="C18" s="107">
        <v>43646</v>
      </c>
      <c r="D18" s="101" t="s">
        <v>2866</v>
      </c>
      <c r="E18" s="146">
        <v>6.7541980336401977E-2</v>
      </c>
      <c r="F18" s="97" t="s">
        <v>170</v>
      </c>
      <c r="G18" s="94">
        <v>84356.805269999997</v>
      </c>
      <c r="H18" s="95">
        <f t="shared" si="0"/>
        <v>4.8823208929759027E-2</v>
      </c>
      <c r="I18" s="95">
        <f>G18/'סכום נכסי הקרן'!$C$42</f>
        <v>1.4517728343983434E-3</v>
      </c>
      <c r="J18" s="84" t="s">
        <v>2878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</row>
    <row r="19" spans="2:46" s="132" customFormat="1">
      <c r="B19" s="87" t="s">
        <v>2879</v>
      </c>
      <c r="C19" s="107">
        <v>43646</v>
      </c>
      <c r="D19" s="101" t="s">
        <v>2866</v>
      </c>
      <c r="E19" s="146">
        <v>5.9558454673708905E-2</v>
      </c>
      <c r="F19" s="97" t="s">
        <v>170</v>
      </c>
      <c r="G19" s="94">
        <v>40060.260999999999</v>
      </c>
      <c r="H19" s="95">
        <f t="shared" si="0"/>
        <v>2.3185687109931935E-2</v>
      </c>
      <c r="I19" s="95">
        <f>G19/'סכום נכסי הקרן'!$C$42</f>
        <v>6.8943339511922481E-4</v>
      </c>
      <c r="J19" s="84" t="s">
        <v>2880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</row>
    <row r="20" spans="2:46" s="132" customFormat="1">
      <c r="B20" s="87" t="s">
        <v>2881</v>
      </c>
      <c r="C20" s="107">
        <v>43830</v>
      </c>
      <c r="D20" s="101" t="s">
        <v>2866</v>
      </c>
      <c r="E20" s="146">
        <v>4.8469270386685234E-2</v>
      </c>
      <c r="F20" s="97" t="s">
        <v>170</v>
      </c>
      <c r="G20" s="94">
        <v>65800</v>
      </c>
      <c r="H20" s="95">
        <f t="shared" si="0"/>
        <v>3.808308218045612E-2</v>
      </c>
      <c r="I20" s="95">
        <f>G20/'סכום נכסי הקרן'!$C$42</f>
        <v>1.1324119280911574E-3</v>
      </c>
      <c r="J20" s="84" t="s">
        <v>2882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</row>
    <row r="21" spans="2:46" s="132" customFormat="1">
      <c r="B21" s="87" t="s">
        <v>2883</v>
      </c>
      <c r="C21" s="107">
        <v>43646</v>
      </c>
      <c r="D21" s="101" t="s">
        <v>2866</v>
      </c>
      <c r="E21" s="146">
        <v>5.3328086925236225E-2</v>
      </c>
      <c r="F21" s="97" t="s">
        <v>170</v>
      </c>
      <c r="G21" s="94">
        <v>17575.259999999998</v>
      </c>
      <c r="H21" s="95">
        <f t="shared" si="0"/>
        <v>1.0172037552019501E-2</v>
      </c>
      <c r="I21" s="95">
        <f>G21/'סכום נכסי הקרן'!$C$42</f>
        <v>3.0246860278576582E-4</v>
      </c>
      <c r="J21" s="84" t="s">
        <v>2884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</row>
    <row r="22" spans="2:46" s="132" customFormat="1">
      <c r="B22" s="87" t="s">
        <v>2885</v>
      </c>
      <c r="C22" s="107">
        <v>43646</v>
      </c>
      <c r="D22" s="101" t="s">
        <v>2866</v>
      </c>
      <c r="E22" s="146">
        <v>1.1744730860660905E-2</v>
      </c>
      <c r="F22" s="97" t="s">
        <v>170</v>
      </c>
      <c r="G22" s="94">
        <v>9080</v>
      </c>
      <c r="H22" s="95">
        <f t="shared" si="0"/>
        <v>5.2552338328045838E-3</v>
      </c>
      <c r="I22" s="95">
        <f>G22/'סכום נכסי הקרן'!$C$42</f>
        <v>1.56265962113491E-4</v>
      </c>
      <c r="J22" s="84" t="s">
        <v>2886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</row>
    <row r="23" spans="2:46" s="132" customFormat="1">
      <c r="B23" s="87" t="s">
        <v>2887</v>
      </c>
      <c r="C23" s="107">
        <v>43830</v>
      </c>
      <c r="D23" s="101" t="s">
        <v>2866</v>
      </c>
      <c r="E23" s="146">
        <v>3.7065487784715107E-2</v>
      </c>
      <c r="F23" s="97" t="s">
        <v>170</v>
      </c>
      <c r="G23" s="94">
        <v>17240</v>
      </c>
      <c r="H23" s="95">
        <f t="shared" si="0"/>
        <v>9.9779990393778651E-3</v>
      </c>
      <c r="I23" s="95">
        <f>G23/'סכום נכסי הקרן'!$C$42</f>
        <v>2.9669880912297194E-4</v>
      </c>
      <c r="J23" s="84" t="s">
        <v>2888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</row>
    <row r="24" spans="2:46" s="132" customFormat="1">
      <c r="B24" s="87" t="s">
        <v>2889</v>
      </c>
      <c r="C24" s="107">
        <v>43830</v>
      </c>
      <c r="D24" s="101" t="s">
        <v>2866</v>
      </c>
      <c r="E24" s="146">
        <v>6.8640163806691024E-2</v>
      </c>
      <c r="F24" s="97" t="s">
        <v>170</v>
      </c>
      <c r="G24" s="94">
        <v>21260</v>
      </c>
      <c r="H24" s="95">
        <f t="shared" si="0"/>
        <v>1.2304655427910292E-2</v>
      </c>
      <c r="I24" s="95">
        <f>G24/'סכום נכסי הקרן'!$C$42</f>
        <v>3.6588263816440738E-4</v>
      </c>
      <c r="J24" s="84" t="s">
        <v>2890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</row>
    <row r="25" spans="2:46" s="132" customFormat="1">
      <c r="B25" s="87" t="s">
        <v>2891</v>
      </c>
      <c r="C25" s="107">
        <v>43646</v>
      </c>
      <c r="D25" s="101" t="s">
        <v>2866</v>
      </c>
      <c r="E25" s="146">
        <v>4.2152882312579125E-2</v>
      </c>
      <c r="F25" s="97" t="s">
        <v>170</v>
      </c>
      <c r="G25" s="94">
        <v>7965.1080000000002</v>
      </c>
      <c r="H25" s="95">
        <f t="shared" si="0"/>
        <v>4.6099675158086401E-3</v>
      </c>
      <c r="I25" s="95">
        <f>G25/'סכום נכסי הקרן'!$C$42</f>
        <v>1.370787736737736E-4</v>
      </c>
      <c r="J25" s="84" t="s">
        <v>2892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</row>
    <row r="26" spans="2:46" s="132" customFormat="1">
      <c r="B26" s="87" t="s">
        <v>2893</v>
      </c>
      <c r="C26" s="107">
        <v>43830</v>
      </c>
      <c r="D26" s="101" t="s">
        <v>2866</v>
      </c>
      <c r="E26" s="146">
        <v>7.3867439323852591E-2</v>
      </c>
      <c r="F26" s="97" t="s">
        <v>170</v>
      </c>
      <c r="G26" s="94">
        <v>39525.000100000005</v>
      </c>
      <c r="H26" s="95">
        <f t="shared" si="0"/>
        <v>2.2875894027216362E-2</v>
      </c>
      <c r="I26" s="95">
        <f>G26/'סכום נכסי הקרן'!$C$42</f>
        <v>6.8022160442316403E-4</v>
      </c>
      <c r="J26" s="84" t="s">
        <v>2894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</row>
    <row r="27" spans="2:46" s="132" customFormat="1">
      <c r="B27" s="87" t="s">
        <v>2895</v>
      </c>
      <c r="C27" s="107">
        <v>43799</v>
      </c>
      <c r="D27" s="101" t="s">
        <v>2866</v>
      </c>
      <c r="E27" s="146">
        <v>6.5699999999999995E-2</v>
      </c>
      <c r="F27" s="97" t="s">
        <v>170</v>
      </c>
      <c r="G27" s="94">
        <v>174125.00049000001</v>
      </c>
      <c r="H27" s="95">
        <f t="shared" si="0"/>
        <v>0.10077836935155977</v>
      </c>
      <c r="I27" s="95">
        <f>G27/'סכום נכסי הקרן'!$C$42</f>
        <v>2.9966751904825931E-3</v>
      </c>
      <c r="J27" s="84" t="s">
        <v>2896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2:46" s="132" customFormat="1">
      <c r="B28" s="87" t="s">
        <v>2897</v>
      </c>
      <c r="C28" s="107">
        <v>43830</v>
      </c>
      <c r="D28" s="101" t="s">
        <v>2866</v>
      </c>
      <c r="E28" s="146">
        <v>6.6900176728958205E-2</v>
      </c>
      <c r="F28" s="97" t="s">
        <v>170</v>
      </c>
      <c r="G28" s="94">
        <v>71025.000020000007</v>
      </c>
      <c r="H28" s="95">
        <f t="shared" si="0"/>
        <v>4.1107156726877779E-2</v>
      </c>
      <c r="I28" s="95">
        <f>G28/'סכום נכסי הקרן'!$C$42</f>
        <v>1.2223336962814998E-3</v>
      </c>
      <c r="J28" s="84" t="s">
        <v>2898</v>
      </c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2:46" s="132" customFormat="1">
      <c r="B29" s="87" t="s">
        <v>2899</v>
      </c>
      <c r="C29" s="107">
        <v>43646</v>
      </c>
      <c r="D29" s="101" t="s">
        <v>2866</v>
      </c>
      <c r="E29" s="146">
        <v>5.6930907457769679E-2</v>
      </c>
      <c r="F29" s="97" t="s">
        <v>170</v>
      </c>
      <c r="G29" s="94">
        <v>31624.000210000002</v>
      </c>
      <c r="H29" s="95">
        <f t="shared" si="0"/>
        <v>1.8303030377996833E-2</v>
      </c>
      <c r="I29" s="95">
        <f>G29/'סכום נכסי הקרן'!$C$42</f>
        <v>5.4424612540670614E-4</v>
      </c>
      <c r="J29" s="84" t="s">
        <v>2900</v>
      </c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2:46" s="132" customFormat="1">
      <c r="B30" s="87" t="s">
        <v>2901</v>
      </c>
      <c r="C30" s="107">
        <v>43646</v>
      </c>
      <c r="D30" s="101" t="s">
        <v>2866</v>
      </c>
      <c r="E30" s="146">
        <v>7.0795921275168233E-2</v>
      </c>
      <c r="F30" s="97" t="s">
        <v>170</v>
      </c>
      <c r="G30" s="94">
        <v>75624.000450000007</v>
      </c>
      <c r="H30" s="95">
        <f t="shared" si="0"/>
        <v>4.3768921336659591E-2</v>
      </c>
      <c r="I30" s="95">
        <f>G30/'סכום נכסי הקרן'!$C$42</f>
        <v>1.301482069294089E-3</v>
      </c>
      <c r="J30" s="84" t="s">
        <v>2902</v>
      </c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</row>
    <row r="31" spans="2:46" s="132" customFormat="1">
      <c r="B31" s="87" t="s">
        <v>2903</v>
      </c>
      <c r="C31" s="107">
        <v>43830</v>
      </c>
      <c r="D31" s="101" t="s">
        <v>2866</v>
      </c>
      <c r="E31" s="146">
        <v>5.6376362585671455E-2</v>
      </c>
      <c r="F31" s="97" t="s">
        <v>170</v>
      </c>
      <c r="G31" s="94">
        <v>34236</v>
      </c>
      <c r="H31" s="95">
        <f t="shared" si="0"/>
        <v>1.9814778138755255E-2</v>
      </c>
      <c r="I31" s="95">
        <f>G31/'סכום נכסי הקרן'!$C$42</f>
        <v>5.8919840076183678E-4</v>
      </c>
      <c r="J31" s="84" t="s">
        <v>2904</v>
      </c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</row>
    <row r="32" spans="2:46" s="132" customFormat="1">
      <c r="B32" s="87" t="s">
        <v>2905</v>
      </c>
      <c r="C32" s="107">
        <v>43646</v>
      </c>
      <c r="D32" s="101" t="s">
        <v>2866</v>
      </c>
      <c r="E32" s="146">
        <v>6.5682273791394463E-2</v>
      </c>
      <c r="F32" s="97" t="s">
        <v>170</v>
      </c>
      <c r="G32" s="94">
        <v>29876.000359999998</v>
      </c>
      <c r="H32" s="95">
        <f t="shared" si="0"/>
        <v>1.7291340074972898E-2</v>
      </c>
      <c r="I32" s="95">
        <f>G32/'סכום נכסי הקרן'!$C$42</f>
        <v>5.1416320929057303E-4</v>
      </c>
      <c r="J32" s="84" t="s">
        <v>2906</v>
      </c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</row>
    <row r="33" spans="2:46" s="132" customFormat="1">
      <c r="B33" s="87" t="s">
        <v>2907</v>
      </c>
      <c r="C33" s="107">
        <v>43830</v>
      </c>
      <c r="D33" s="101" t="s">
        <v>2866</v>
      </c>
      <c r="E33" s="146">
        <v>6.7261997225437561E-2</v>
      </c>
      <c r="F33" s="97" t="s">
        <v>170</v>
      </c>
      <c r="G33" s="94">
        <v>76493.999389999997</v>
      </c>
      <c r="H33" s="95">
        <f t="shared" si="0"/>
        <v>4.4272450837099242E-2</v>
      </c>
      <c r="I33" s="95">
        <f>G33/'סכום נכסי הקרן'!$C$42</f>
        <v>1.3164546707695093E-3</v>
      </c>
      <c r="J33" s="84" t="s">
        <v>2908</v>
      </c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</row>
    <row r="34" spans="2:46" s="132" customFormat="1">
      <c r="B34" s="87" t="s">
        <v>2909</v>
      </c>
      <c r="C34" s="107">
        <v>43830</v>
      </c>
      <c r="D34" s="101" t="s">
        <v>2866</v>
      </c>
      <c r="E34" s="146">
        <v>6.4238888462002652E-2</v>
      </c>
      <c r="F34" s="97" t="s">
        <v>170</v>
      </c>
      <c r="G34" s="94">
        <v>25805.999920000002</v>
      </c>
      <c r="H34" s="95">
        <f t="shared" si="0"/>
        <v>1.4935744919486385E-2</v>
      </c>
      <c r="I34" s="95">
        <f>G34/'סכום נכסי הקרן'!$C$42</f>
        <v>4.441188772906908E-4</v>
      </c>
      <c r="J34" s="84" t="s">
        <v>2910</v>
      </c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</row>
    <row r="35" spans="2:46" s="132" customFormat="1">
      <c r="B35" s="87" t="s">
        <v>2911</v>
      </c>
      <c r="C35" s="107">
        <v>43830</v>
      </c>
      <c r="D35" s="101" t="s">
        <v>2866</v>
      </c>
      <c r="E35" s="146">
        <v>7.2372273145026034E-2</v>
      </c>
      <c r="F35" s="97" t="s">
        <v>170</v>
      </c>
      <c r="G35" s="94">
        <v>19400</v>
      </c>
      <c r="H35" s="95">
        <f t="shared" si="0"/>
        <v>1.1228142770529616E-2</v>
      </c>
      <c r="I35" s="95">
        <f>G35/'סכום נכסי הקרן'!$C$42</f>
        <v>3.3387220980195216E-4</v>
      </c>
      <c r="J35" s="84" t="s">
        <v>2912</v>
      </c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</row>
    <row r="36" spans="2:46" s="132" customFormat="1">
      <c r="B36" s="87" t="s">
        <v>2913</v>
      </c>
      <c r="C36" s="107">
        <v>43646</v>
      </c>
      <c r="D36" s="101" t="s">
        <v>2866</v>
      </c>
      <c r="E36" s="146">
        <v>7.2767872361121894E-2</v>
      </c>
      <c r="F36" s="97" t="s">
        <v>170</v>
      </c>
      <c r="G36" s="94">
        <v>40176.000999999997</v>
      </c>
      <c r="H36" s="95">
        <f t="shared" si="0"/>
        <v>2.3252673978192813E-2</v>
      </c>
      <c r="I36" s="95">
        <f>G36/'סכום נכסי הקרן'!$C$42</f>
        <v>6.9142526983894011E-4</v>
      </c>
      <c r="J36" s="84" t="s">
        <v>2914</v>
      </c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2:46" s="132" customFormat="1">
      <c r="B37" s="87" t="s">
        <v>2915</v>
      </c>
      <c r="C37" s="107">
        <v>43830</v>
      </c>
      <c r="D37" s="101" t="s">
        <v>2866</v>
      </c>
      <c r="E37" s="146">
        <v>7.013331027149719E-2</v>
      </c>
      <c r="F37" s="97" t="s">
        <v>170</v>
      </c>
      <c r="G37" s="94">
        <v>48650</v>
      </c>
      <c r="H37" s="95">
        <f t="shared" si="0"/>
        <v>2.8157172463209579E-2</v>
      </c>
      <c r="I37" s="95">
        <f>G37/'סכום נכסי הקרן'!$C$42</f>
        <v>8.3726201066314286E-4</v>
      </c>
      <c r="J37" s="84" t="s">
        <v>2916</v>
      </c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2:46" s="132" customFormat="1">
      <c r="B38" s="87" t="s">
        <v>2917</v>
      </c>
      <c r="C38" s="107">
        <v>43830</v>
      </c>
      <c r="D38" s="101" t="s">
        <v>2866</v>
      </c>
      <c r="E38" s="146">
        <v>6.3900323407995424E-2</v>
      </c>
      <c r="F38" s="97" t="s">
        <v>170</v>
      </c>
      <c r="G38" s="94">
        <v>15825</v>
      </c>
      <c r="H38" s="95">
        <f t="shared" si="0"/>
        <v>9.159039141424288E-3</v>
      </c>
      <c r="I38" s="95">
        <f>G38/'סכום נכסי הקרן'!$C$42</f>
        <v>2.7234678969669548E-4</v>
      </c>
      <c r="J38" s="84" t="s">
        <v>2894</v>
      </c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2:46" s="132" customFormat="1">
      <c r="B39" s="87" t="s">
        <v>2918</v>
      </c>
      <c r="C39" s="107">
        <v>43830</v>
      </c>
      <c r="D39" s="101" t="s">
        <v>2866</v>
      </c>
      <c r="E39" s="146">
        <v>7.6899999999999996E-2</v>
      </c>
      <c r="F39" s="97" t="s">
        <v>170</v>
      </c>
      <c r="G39" s="94">
        <v>28125</v>
      </c>
      <c r="H39" s="95">
        <f t="shared" si="0"/>
        <v>1.6277913166038428E-2</v>
      </c>
      <c r="I39" s="95">
        <f>G39/'סכום נכסי הקרן'!$C$42</f>
        <v>4.8402865467422185E-4</v>
      </c>
      <c r="J39" s="84" t="s">
        <v>2916</v>
      </c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2:46" s="132" customFormat="1">
      <c r="B40" s="87" t="s">
        <v>2919</v>
      </c>
      <c r="C40" s="107">
        <v>43830</v>
      </c>
      <c r="D40" s="101" t="s">
        <v>2875</v>
      </c>
      <c r="E40" s="146">
        <v>7.1900000000000006E-2</v>
      </c>
      <c r="F40" s="97" t="s">
        <v>170</v>
      </c>
      <c r="G40" s="94">
        <v>79560.040840000001</v>
      </c>
      <c r="H40" s="95">
        <f t="shared" si="0"/>
        <v>4.6046984401066346E-2</v>
      </c>
      <c r="I40" s="95">
        <f>G40/'סכום נכסי הקרן'!$C$42</f>
        <v>1.3692209611950701E-3</v>
      </c>
      <c r="J40" s="84" t="s">
        <v>2920</v>
      </c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</row>
    <row r="41" spans="2:46" s="132" customFormat="1">
      <c r="B41" s="87" t="s">
        <v>2921</v>
      </c>
      <c r="C41" s="107">
        <v>43738</v>
      </c>
      <c r="D41" s="101" t="s">
        <v>2866</v>
      </c>
      <c r="E41" s="146">
        <v>7.1999999999999995E-2</v>
      </c>
      <c r="F41" s="97" t="s">
        <v>170</v>
      </c>
      <c r="G41" s="94">
        <v>111098.59600000001</v>
      </c>
      <c r="H41" s="95">
        <f t="shared" si="0"/>
        <v>6.4300561726463437E-2</v>
      </c>
      <c r="I41" s="95">
        <f>G41/'סכום נכסי הקרן'!$C$42</f>
        <v>1.911996585175996E-3</v>
      </c>
      <c r="J41" s="84" t="s">
        <v>2922</v>
      </c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</row>
    <row r="42" spans="2:46" s="132" customFormat="1">
      <c r="B42" s="105"/>
      <c r="C42" s="101"/>
      <c r="D42" s="101"/>
      <c r="E42" s="84"/>
      <c r="F42" s="84"/>
      <c r="G42" s="84"/>
      <c r="H42" s="95"/>
      <c r="I42" s="84"/>
      <c r="J42" s="84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</row>
    <row r="43" spans="2:46" s="132" customFormat="1">
      <c r="B43" s="102" t="s">
        <v>94</v>
      </c>
      <c r="C43" s="106"/>
      <c r="D43" s="106"/>
      <c r="E43" s="148">
        <v>0</v>
      </c>
      <c r="F43" s="122" t="s">
        <v>170</v>
      </c>
      <c r="G43" s="91">
        <v>316521.75560000003</v>
      </c>
      <c r="H43" s="92">
        <f t="shared" ref="H43:H49" si="1">G43/$G$10</f>
        <v>0.18319337432244756</v>
      </c>
      <c r="I43" s="92">
        <f>G43/'סכום נכסי הקרן'!$C$42</f>
        <v>5.4473102058023417E-3</v>
      </c>
      <c r="J43" s="82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</row>
    <row r="44" spans="2:46" s="132" customFormat="1">
      <c r="B44" s="87" t="s">
        <v>2923</v>
      </c>
      <c r="C44" s="107">
        <v>43830</v>
      </c>
      <c r="D44" s="101" t="s">
        <v>30</v>
      </c>
      <c r="E44" s="146">
        <v>0</v>
      </c>
      <c r="F44" s="97" t="s">
        <v>170</v>
      </c>
      <c r="G44" s="94">
        <v>7380</v>
      </c>
      <c r="H44" s="95">
        <f t="shared" si="1"/>
        <v>4.2713244147684825E-3</v>
      </c>
      <c r="I44" s="95">
        <f>G44/'סכום נכסי הקרן'!$C$42</f>
        <v>1.2700911898651582E-4</v>
      </c>
      <c r="J44" s="84" t="s">
        <v>2924</v>
      </c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</row>
    <row r="45" spans="2:46" s="132" customFormat="1">
      <c r="B45" s="87" t="s">
        <v>2925</v>
      </c>
      <c r="C45" s="107">
        <v>43830</v>
      </c>
      <c r="D45" s="101" t="s">
        <v>30</v>
      </c>
      <c r="E45" s="146">
        <v>0</v>
      </c>
      <c r="F45" s="97" t="s">
        <v>170</v>
      </c>
      <c r="G45" s="94">
        <v>4968</v>
      </c>
      <c r="H45" s="95">
        <f t="shared" si="1"/>
        <v>2.8753305816490277E-3</v>
      </c>
      <c r="I45" s="95">
        <f>G45/'סכום נכסי הקרן'!$C$42</f>
        <v>8.549882156165455E-5</v>
      </c>
      <c r="J45" s="84" t="s">
        <v>2904</v>
      </c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</row>
    <row r="46" spans="2:46" s="132" customFormat="1">
      <c r="B46" s="87" t="s">
        <v>2926</v>
      </c>
      <c r="C46" s="107">
        <v>43738</v>
      </c>
      <c r="D46" s="101" t="s">
        <v>30</v>
      </c>
      <c r="E46" s="146">
        <v>0</v>
      </c>
      <c r="F46" s="97" t="s">
        <v>170</v>
      </c>
      <c r="G46" s="94">
        <v>94696.624519999998</v>
      </c>
      <c r="H46" s="95">
        <f t="shared" si="1"/>
        <v>5.4807588659680183E-2</v>
      </c>
      <c r="I46" s="95">
        <f>G46/'סכום נכסי הקרן'!$C$42</f>
        <v>1.6297201695504189E-3</v>
      </c>
      <c r="J46" s="84" t="s">
        <v>2927</v>
      </c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</row>
    <row r="47" spans="2:46" s="132" customFormat="1">
      <c r="B47" s="87" t="s">
        <v>2928</v>
      </c>
      <c r="C47" s="107">
        <v>43646</v>
      </c>
      <c r="D47" s="101" t="s">
        <v>30</v>
      </c>
      <c r="E47" s="146">
        <v>0</v>
      </c>
      <c r="F47" s="97" t="s">
        <v>170</v>
      </c>
      <c r="G47" s="94">
        <v>17494.327659999999</v>
      </c>
      <c r="H47" s="95">
        <f t="shared" si="1"/>
        <v>1.0125196321696148E-2</v>
      </c>
      <c r="I47" s="95">
        <f>G47/'סכום נכסי הקרן'!$C$42</f>
        <v>3.0107576468266055E-4</v>
      </c>
      <c r="J47" s="84" t="s">
        <v>2929</v>
      </c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</row>
    <row r="48" spans="2:46" s="132" customFormat="1">
      <c r="B48" s="87" t="s">
        <v>2930</v>
      </c>
      <c r="C48" s="107">
        <v>43738</v>
      </c>
      <c r="D48" s="101" t="s">
        <v>30</v>
      </c>
      <c r="E48" s="146">
        <v>0</v>
      </c>
      <c r="F48" s="97" t="s">
        <v>170</v>
      </c>
      <c r="G48" s="94">
        <v>112053.77242000001</v>
      </c>
      <c r="H48" s="95">
        <f t="shared" si="1"/>
        <v>6.4853389417948146E-2</v>
      </c>
      <c r="I48" s="95">
        <f>G48/'סכום נכסי הקרן'!$C$42</f>
        <v>1.9284350832221879E-3</v>
      </c>
      <c r="J48" s="84" t="s">
        <v>2931</v>
      </c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</row>
    <row r="49" spans="2:46" s="132" customFormat="1">
      <c r="B49" s="87" t="s">
        <v>2932</v>
      </c>
      <c r="C49" s="107">
        <v>43738</v>
      </c>
      <c r="D49" s="101" t="s">
        <v>30</v>
      </c>
      <c r="E49" s="146">
        <v>0</v>
      </c>
      <c r="F49" s="97" t="s">
        <v>170</v>
      </c>
      <c r="G49" s="94">
        <v>79929.031000000003</v>
      </c>
      <c r="H49" s="95">
        <f t="shared" si="1"/>
        <v>4.6260544926705546E-2</v>
      </c>
      <c r="I49" s="95">
        <f>G49/'סכום נכסי הקרן'!$C$42</f>
        <v>1.3755712477989041E-3</v>
      </c>
      <c r="J49" s="84" t="s">
        <v>2933</v>
      </c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</row>
    <row r="50" spans="2:46" s="132" customFormat="1">
      <c r="B50" s="131"/>
      <c r="C50" s="131"/>
      <c r="F50" s="141"/>
      <c r="G50" s="141"/>
      <c r="H50" s="141"/>
      <c r="I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</row>
    <row r="51" spans="2:46" s="132" customFormat="1">
      <c r="B51" s="131"/>
      <c r="C51" s="131"/>
      <c r="F51" s="141"/>
      <c r="G51" s="141"/>
      <c r="H51" s="141"/>
      <c r="I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</row>
    <row r="52" spans="2:46" s="132" customFormat="1">
      <c r="B52" s="131"/>
      <c r="C52" s="131"/>
      <c r="F52" s="141"/>
      <c r="G52" s="141"/>
      <c r="H52" s="141"/>
      <c r="I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</row>
    <row r="53" spans="2:46" s="132" customFormat="1">
      <c r="B53" s="139"/>
      <c r="C53" s="131"/>
      <c r="F53" s="141"/>
      <c r="G53" s="141"/>
      <c r="H53" s="141"/>
      <c r="I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</row>
    <row r="54" spans="2:46" s="132" customFormat="1">
      <c r="B54" s="139"/>
      <c r="C54" s="131"/>
      <c r="F54" s="141"/>
      <c r="G54" s="141"/>
      <c r="H54" s="141"/>
      <c r="I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</row>
    <row r="55" spans="2:46" s="132" customFormat="1">
      <c r="B55" s="131"/>
      <c r="C55" s="131"/>
      <c r="F55" s="141"/>
      <c r="G55" s="141"/>
      <c r="H55" s="141"/>
      <c r="I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</row>
    <row r="56" spans="2:46" s="132" customFormat="1">
      <c r="B56" s="131"/>
      <c r="C56" s="131"/>
      <c r="F56" s="141"/>
      <c r="G56" s="141"/>
      <c r="H56" s="141"/>
      <c r="I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</row>
    <row r="57" spans="2:46" s="132" customFormat="1">
      <c r="B57" s="131"/>
      <c r="C57" s="131"/>
      <c r="F57" s="141"/>
      <c r="G57" s="141"/>
      <c r="H57" s="141"/>
      <c r="I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</row>
    <row r="58" spans="2:46" s="132" customFormat="1">
      <c r="B58" s="131"/>
      <c r="C58" s="131"/>
      <c r="F58" s="141"/>
      <c r="G58" s="141"/>
      <c r="H58" s="141"/>
      <c r="I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</row>
    <row r="59" spans="2:46" s="132" customFormat="1">
      <c r="B59" s="131"/>
      <c r="C59" s="131"/>
      <c r="F59" s="141"/>
      <c r="G59" s="141"/>
      <c r="H59" s="141"/>
      <c r="I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</row>
    <row r="60" spans="2:46" s="132" customFormat="1">
      <c r="B60" s="131"/>
      <c r="C60" s="131"/>
      <c r="F60" s="141"/>
      <c r="G60" s="141"/>
      <c r="H60" s="141"/>
      <c r="I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</row>
    <row r="61" spans="2:46" s="132" customFormat="1">
      <c r="B61" s="131"/>
      <c r="C61" s="131"/>
      <c r="F61" s="141"/>
      <c r="G61" s="141"/>
      <c r="H61" s="141"/>
      <c r="I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</row>
    <row r="62" spans="2:46" s="132" customFormat="1">
      <c r="B62" s="131"/>
      <c r="C62" s="131"/>
      <c r="F62" s="141"/>
      <c r="G62" s="141"/>
      <c r="H62" s="141"/>
      <c r="I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</row>
    <row r="63" spans="2:46" s="132" customFormat="1">
      <c r="B63" s="131"/>
      <c r="C63" s="131"/>
      <c r="F63" s="141"/>
      <c r="G63" s="141"/>
      <c r="H63" s="141"/>
      <c r="I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</row>
    <row r="64" spans="2:46" s="132" customFormat="1">
      <c r="B64" s="131"/>
      <c r="C64" s="131"/>
      <c r="F64" s="141"/>
      <c r="G64" s="141"/>
      <c r="H64" s="141"/>
      <c r="I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</row>
    <row r="65" spans="2:46" s="132" customFormat="1">
      <c r="B65" s="131"/>
      <c r="C65" s="131"/>
      <c r="F65" s="141"/>
      <c r="G65" s="141"/>
      <c r="H65" s="141"/>
      <c r="I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</row>
    <row r="66" spans="2:46" s="132" customFormat="1">
      <c r="B66" s="131"/>
      <c r="C66" s="131"/>
      <c r="F66" s="141"/>
      <c r="G66" s="141"/>
      <c r="H66" s="141"/>
      <c r="I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</row>
    <row r="67" spans="2:46" s="132" customFormat="1">
      <c r="B67" s="131"/>
      <c r="C67" s="131"/>
      <c r="F67" s="141"/>
      <c r="G67" s="141"/>
      <c r="H67" s="141"/>
      <c r="I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</row>
    <row r="68" spans="2:46" s="132" customFormat="1">
      <c r="B68" s="131"/>
      <c r="C68" s="131"/>
      <c r="F68" s="141"/>
      <c r="G68" s="141"/>
      <c r="H68" s="141"/>
      <c r="I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</row>
    <row r="69" spans="2:46" s="132" customFormat="1">
      <c r="B69" s="131"/>
      <c r="C69" s="131"/>
      <c r="F69" s="141"/>
      <c r="G69" s="141"/>
      <c r="H69" s="141"/>
      <c r="I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</row>
    <row r="70" spans="2:46" s="132" customFormat="1">
      <c r="B70" s="131"/>
      <c r="C70" s="131"/>
      <c r="F70" s="141"/>
      <c r="G70" s="141"/>
      <c r="H70" s="141"/>
      <c r="I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</row>
    <row r="71" spans="2:46" s="132" customFormat="1">
      <c r="B71" s="131"/>
      <c r="C71" s="131"/>
      <c r="F71" s="141"/>
      <c r="G71" s="141"/>
      <c r="H71" s="141"/>
      <c r="I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</row>
    <row r="72" spans="2:46" s="132" customFormat="1">
      <c r="B72" s="131"/>
      <c r="C72" s="131"/>
      <c r="F72" s="141"/>
      <c r="G72" s="141"/>
      <c r="H72" s="141"/>
      <c r="I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</row>
    <row r="73" spans="2:46" s="132" customFormat="1">
      <c r="B73" s="131"/>
      <c r="C73" s="131"/>
      <c r="F73" s="141"/>
      <c r="G73" s="141"/>
      <c r="H73" s="141"/>
      <c r="I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</row>
    <row r="74" spans="2:46" s="132" customFormat="1">
      <c r="B74" s="131"/>
      <c r="C74" s="131"/>
      <c r="F74" s="141"/>
      <c r="G74" s="141"/>
      <c r="H74" s="141"/>
      <c r="I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</row>
    <row r="75" spans="2:46" s="132" customFormat="1">
      <c r="B75" s="131"/>
      <c r="C75" s="131"/>
      <c r="F75" s="141"/>
      <c r="G75" s="141"/>
      <c r="H75" s="141"/>
      <c r="I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</row>
    <row r="76" spans="2:46" s="132" customFormat="1">
      <c r="B76" s="131"/>
      <c r="C76" s="131"/>
      <c r="F76" s="141"/>
      <c r="G76" s="141"/>
      <c r="H76" s="141"/>
      <c r="I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</row>
    <row r="77" spans="2:46" s="132" customFormat="1">
      <c r="B77" s="131"/>
      <c r="C77" s="131"/>
      <c r="F77" s="141"/>
      <c r="G77" s="141"/>
      <c r="H77" s="141"/>
      <c r="I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</row>
    <row r="78" spans="2:46" s="132" customFormat="1">
      <c r="B78" s="131"/>
      <c r="C78" s="131"/>
      <c r="F78" s="141"/>
      <c r="G78" s="141"/>
      <c r="H78" s="141"/>
      <c r="I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</row>
    <row r="79" spans="2:46" s="132" customFormat="1">
      <c r="B79" s="131"/>
      <c r="C79" s="131"/>
      <c r="F79" s="141"/>
      <c r="G79" s="141"/>
      <c r="H79" s="141"/>
      <c r="I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</row>
    <row r="80" spans="2:46" s="132" customFormat="1">
      <c r="B80" s="131"/>
      <c r="C80" s="131"/>
      <c r="F80" s="141"/>
      <c r="G80" s="141"/>
      <c r="H80" s="141"/>
      <c r="I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</row>
    <row r="81" spans="2:46" s="132" customFormat="1">
      <c r="B81" s="131"/>
      <c r="C81" s="131"/>
      <c r="F81" s="141"/>
      <c r="G81" s="141"/>
      <c r="H81" s="141"/>
      <c r="I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</row>
    <row r="82" spans="2:46" s="132" customFormat="1">
      <c r="B82" s="131"/>
      <c r="C82" s="131"/>
      <c r="F82" s="141"/>
      <c r="G82" s="141"/>
      <c r="H82" s="141"/>
      <c r="I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</row>
    <row r="83" spans="2:46" s="132" customFormat="1">
      <c r="B83" s="131"/>
      <c r="C83" s="131"/>
      <c r="F83" s="141"/>
      <c r="G83" s="141"/>
      <c r="H83" s="141"/>
      <c r="I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</row>
    <row r="84" spans="2:46" s="132" customFormat="1">
      <c r="B84" s="131"/>
      <c r="C84" s="131"/>
      <c r="F84" s="141"/>
      <c r="G84" s="141"/>
      <c r="H84" s="141"/>
      <c r="I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</row>
    <row r="85" spans="2:46" s="132" customFormat="1">
      <c r="B85" s="131"/>
      <c r="C85" s="131"/>
      <c r="F85" s="141"/>
      <c r="G85" s="141"/>
      <c r="H85" s="141"/>
      <c r="I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</row>
    <row r="86" spans="2:46" s="132" customFormat="1">
      <c r="B86" s="131"/>
      <c r="C86" s="131"/>
      <c r="F86" s="141"/>
      <c r="G86" s="141"/>
      <c r="H86" s="141"/>
      <c r="I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</row>
    <row r="87" spans="2:46" s="132" customFormat="1">
      <c r="B87" s="131"/>
      <c r="C87" s="131"/>
      <c r="F87" s="141"/>
      <c r="G87" s="141"/>
      <c r="H87" s="141"/>
      <c r="I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</row>
    <row r="88" spans="2:46" s="132" customFormat="1">
      <c r="B88" s="131"/>
      <c r="C88" s="131"/>
      <c r="F88" s="141"/>
      <c r="G88" s="141"/>
      <c r="H88" s="141"/>
      <c r="I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</row>
    <row r="89" spans="2:46" s="132" customFormat="1">
      <c r="B89" s="131"/>
      <c r="C89" s="131"/>
      <c r="F89" s="141"/>
      <c r="G89" s="141"/>
      <c r="H89" s="141"/>
      <c r="I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</row>
    <row r="90" spans="2:46" s="132" customFormat="1">
      <c r="B90" s="131"/>
      <c r="C90" s="131"/>
      <c r="F90" s="141"/>
      <c r="G90" s="141"/>
      <c r="H90" s="141"/>
      <c r="I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</row>
    <row r="91" spans="2:46" s="132" customFormat="1">
      <c r="B91" s="131"/>
      <c r="C91" s="131"/>
      <c r="F91" s="141"/>
      <c r="G91" s="141"/>
      <c r="H91" s="141"/>
      <c r="I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</row>
    <row r="92" spans="2:46" s="132" customFormat="1">
      <c r="B92" s="131"/>
      <c r="C92" s="131"/>
      <c r="F92" s="141"/>
      <c r="G92" s="141"/>
      <c r="H92" s="141"/>
      <c r="I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</row>
    <row r="93" spans="2:46" s="132" customFormat="1">
      <c r="B93" s="131"/>
      <c r="C93" s="131"/>
      <c r="F93" s="141"/>
      <c r="G93" s="141"/>
      <c r="H93" s="141"/>
      <c r="I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</row>
    <row r="94" spans="2:46" s="132" customFormat="1">
      <c r="B94" s="131"/>
      <c r="C94" s="131"/>
      <c r="F94" s="141"/>
      <c r="G94" s="141"/>
      <c r="H94" s="141"/>
      <c r="I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</row>
    <row r="95" spans="2:46" s="132" customFormat="1">
      <c r="B95" s="131"/>
      <c r="C95" s="131"/>
      <c r="F95" s="141"/>
      <c r="G95" s="141"/>
      <c r="H95" s="141"/>
      <c r="I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</row>
    <row r="96" spans="2:46" s="132" customFormat="1">
      <c r="B96" s="131"/>
      <c r="C96" s="131"/>
      <c r="F96" s="141"/>
      <c r="G96" s="141"/>
      <c r="H96" s="141"/>
      <c r="I96" s="141"/>
      <c r="K96" s="141"/>
      <c r="L96" s="141"/>
      <c r="M96" s="141"/>
      <c r="N96" s="141"/>
      <c r="O96" s="141"/>
      <c r="P96" s="141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</row>
    <row r="97" spans="2:46" s="132" customFormat="1">
      <c r="B97" s="131"/>
      <c r="C97" s="131"/>
      <c r="F97" s="141"/>
      <c r="G97" s="141"/>
      <c r="H97" s="141"/>
      <c r="I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</row>
    <row r="98" spans="2:46" s="132" customFormat="1">
      <c r="B98" s="131"/>
      <c r="C98" s="131"/>
      <c r="F98" s="141"/>
      <c r="G98" s="141"/>
      <c r="H98" s="141"/>
      <c r="I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</row>
    <row r="99" spans="2:46" s="132" customFormat="1">
      <c r="B99" s="131"/>
      <c r="C99" s="131"/>
      <c r="F99" s="141"/>
      <c r="G99" s="141"/>
      <c r="H99" s="141"/>
      <c r="I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</row>
    <row r="100" spans="2:46" s="132" customFormat="1">
      <c r="B100" s="131"/>
      <c r="C100" s="131"/>
      <c r="F100" s="141"/>
      <c r="G100" s="141"/>
      <c r="H100" s="141"/>
      <c r="I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</row>
    <row r="101" spans="2:46" s="132" customFormat="1">
      <c r="B101" s="131"/>
      <c r="C101" s="131"/>
      <c r="F101" s="141"/>
      <c r="G101" s="141"/>
      <c r="H101" s="141"/>
      <c r="I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</row>
    <row r="102" spans="2:46" s="132" customFormat="1">
      <c r="B102" s="131"/>
      <c r="C102" s="131"/>
      <c r="F102" s="141"/>
      <c r="G102" s="141"/>
      <c r="H102" s="141"/>
      <c r="I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</row>
    <row r="103" spans="2:46" s="132" customFormat="1">
      <c r="B103" s="131"/>
      <c r="C103" s="131"/>
      <c r="F103" s="141"/>
      <c r="G103" s="141"/>
      <c r="H103" s="141"/>
      <c r="I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</row>
    <row r="104" spans="2:46" s="132" customFormat="1">
      <c r="B104" s="131"/>
      <c r="C104" s="131"/>
      <c r="F104" s="141"/>
      <c r="G104" s="141"/>
      <c r="H104" s="141"/>
      <c r="I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</row>
    <row r="105" spans="2:46" s="132" customFormat="1">
      <c r="B105" s="131"/>
      <c r="C105" s="131"/>
      <c r="F105" s="141"/>
      <c r="G105" s="141"/>
      <c r="H105" s="141"/>
      <c r="I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</row>
    <row r="106" spans="2:46" s="132" customFormat="1">
      <c r="B106" s="131"/>
      <c r="C106" s="131"/>
      <c r="F106" s="141"/>
      <c r="G106" s="141"/>
      <c r="H106" s="141"/>
      <c r="I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</row>
    <row r="107" spans="2:46" s="132" customFormat="1">
      <c r="B107" s="131"/>
      <c r="C107" s="131"/>
      <c r="F107" s="141"/>
      <c r="G107" s="141"/>
      <c r="H107" s="141"/>
      <c r="I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</row>
    <row r="108" spans="2:46" s="132" customFormat="1">
      <c r="B108" s="131"/>
      <c r="C108" s="131"/>
      <c r="F108" s="141"/>
      <c r="G108" s="141"/>
      <c r="H108" s="141"/>
      <c r="I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</row>
    <row r="109" spans="2:46" s="132" customFormat="1">
      <c r="B109" s="131"/>
      <c r="C109" s="131"/>
      <c r="F109" s="141"/>
      <c r="G109" s="141"/>
      <c r="H109" s="141"/>
      <c r="I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</row>
    <row r="110" spans="2:46" s="132" customFormat="1">
      <c r="B110" s="131"/>
      <c r="C110" s="131"/>
      <c r="F110" s="141"/>
      <c r="G110" s="141"/>
      <c r="H110" s="141"/>
      <c r="I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</row>
    <row r="111" spans="2:46" s="132" customFormat="1">
      <c r="B111" s="131"/>
      <c r="C111" s="131"/>
      <c r="F111" s="141"/>
      <c r="G111" s="141"/>
      <c r="H111" s="141"/>
      <c r="I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</row>
    <row r="112" spans="2:46" s="132" customFormat="1">
      <c r="B112" s="131"/>
      <c r="C112" s="131"/>
      <c r="F112" s="141"/>
      <c r="G112" s="141"/>
      <c r="H112" s="141"/>
      <c r="I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</row>
    <row r="113" spans="2:46" s="132" customFormat="1">
      <c r="B113" s="131"/>
      <c r="C113" s="131"/>
      <c r="F113" s="141"/>
      <c r="G113" s="141"/>
      <c r="H113" s="141"/>
      <c r="I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</row>
    <row r="114" spans="2:46" s="132" customFormat="1">
      <c r="B114" s="131"/>
      <c r="C114" s="131"/>
      <c r="F114" s="141"/>
      <c r="G114" s="141"/>
      <c r="H114" s="141"/>
      <c r="I114" s="141"/>
      <c r="K114" s="141"/>
      <c r="L114" s="141"/>
      <c r="M114" s="141"/>
      <c r="N114" s="141"/>
      <c r="O114" s="141"/>
      <c r="P114" s="141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</row>
    <row r="115" spans="2:46" s="132" customFormat="1">
      <c r="B115" s="131"/>
      <c r="C115" s="131"/>
      <c r="F115" s="141"/>
      <c r="G115" s="141"/>
      <c r="H115" s="141"/>
      <c r="I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</row>
    <row r="116" spans="2:46" s="132" customFormat="1">
      <c r="B116" s="131"/>
      <c r="C116" s="131"/>
      <c r="F116" s="141"/>
      <c r="G116" s="141"/>
      <c r="H116" s="141"/>
      <c r="I116" s="141"/>
      <c r="K116" s="141"/>
      <c r="L116" s="141"/>
      <c r="M116" s="141"/>
      <c r="N116" s="141"/>
      <c r="O116" s="141"/>
      <c r="P116" s="141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</row>
    <row r="117" spans="2:46" s="132" customFormat="1">
      <c r="B117" s="131"/>
      <c r="C117" s="131"/>
      <c r="F117" s="141"/>
      <c r="G117" s="141"/>
      <c r="H117" s="141"/>
      <c r="I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</row>
    <row r="118" spans="2:46" s="132" customFormat="1">
      <c r="B118" s="131"/>
      <c r="C118" s="131"/>
      <c r="F118" s="141"/>
      <c r="G118" s="141"/>
      <c r="H118" s="141"/>
      <c r="I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</row>
    <row r="119" spans="2:46" s="132" customFormat="1">
      <c r="B119" s="131"/>
      <c r="C119" s="131"/>
      <c r="F119" s="141"/>
      <c r="G119" s="141"/>
      <c r="H119" s="141"/>
      <c r="I119" s="141"/>
      <c r="K119" s="141"/>
      <c r="L119" s="141"/>
      <c r="M119" s="141"/>
      <c r="N119" s="141"/>
      <c r="O119" s="141"/>
      <c r="P119" s="141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</row>
    <row r="120" spans="2:46" s="132" customFormat="1">
      <c r="B120" s="131"/>
      <c r="C120" s="131"/>
      <c r="F120" s="141"/>
      <c r="G120" s="141"/>
      <c r="H120" s="141"/>
      <c r="I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</row>
    <row r="121" spans="2:46" s="132" customFormat="1">
      <c r="B121" s="131"/>
      <c r="C121" s="131"/>
      <c r="F121" s="141"/>
      <c r="G121" s="141"/>
      <c r="H121" s="141"/>
      <c r="I121" s="141"/>
      <c r="K121" s="141"/>
      <c r="L121" s="141"/>
      <c r="M121" s="141"/>
      <c r="N121" s="141"/>
      <c r="O121" s="141"/>
      <c r="P121" s="141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</row>
    <row r="122" spans="2:46" s="132" customFormat="1">
      <c r="B122" s="131"/>
      <c r="C122" s="131"/>
      <c r="F122" s="141"/>
      <c r="G122" s="141"/>
      <c r="H122" s="141"/>
      <c r="I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</row>
    <row r="123" spans="2:46" s="132" customFormat="1">
      <c r="B123" s="131"/>
      <c r="C123" s="131"/>
      <c r="F123" s="141"/>
      <c r="G123" s="141"/>
      <c r="H123" s="141"/>
      <c r="I123" s="141"/>
      <c r="K123" s="141"/>
      <c r="L123" s="141"/>
      <c r="M123" s="141"/>
      <c r="N123" s="141"/>
      <c r="O123" s="141"/>
      <c r="P123" s="141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</row>
    <row r="124" spans="2:46" s="132" customFormat="1">
      <c r="B124" s="131"/>
      <c r="C124" s="131"/>
      <c r="F124" s="141"/>
      <c r="G124" s="141"/>
      <c r="H124" s="141"/>
      <c r="I124" s="141"/>
      <c r="K124" s="141"/>
      <c r="L124" s="141"/>
      <c r="M124" s="141"/>
      <c r="N124" s="141"/>
      <c r="O124" s="141"/>
      <c r="P124" s="141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</row>
    <row r="125" spans="2:46" s="132" customFormat="1">
      <c r="B125" s="131"/>
      <c r="C125" s="131"/>
      <c r="F125" s="141"/>
      <c r="G125" s="141"/>
      <c r="H125" s="141"/>
      <c r="I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</row>
    <row r="126" spans="2:46" s="132" customFormat="1">
      <c r="B126" s="131"/>
      <c r="C126" s="131"/>
      <c r="F126" s="141"/>
      <c r="G126" s="141"/>
      <c r="H126" s="141"/>
      <c r="I126" s="141"/>
      <c r="K126" s="141"/>
      <c r="L126" s="141"/>
      <c r="M126" s="141"/>
      <c r="N126" s="141"/>
      <c r="O126" s="141"/>
      <c r="P126" s="141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  <c r="AJ126" s="141"/>
      <c r="AK126" s="141"/>
      <c r="AL126" s="141"/>
      <c r="AM126" s="141"/>
      <c r="AN126" s="141"/>
      <c r="AO126" s="141"/>
      <c r="AP126" s="141"/>
      <c r="AQ126" s="141"/>
      <c r="AR126" s="141"/>
      <c r="AS126" s="141"/>
      <c r="AT126" s="141"/>
    </row>
    <row r="127" spans="2:46" s="132" customFormat="1">
      <c r="B127" s="131"/>
      <c r="C127" s="131"/>
      <c r="F127" s="141"/>
      <c r="G127" s="141"/>
      <c r="H127" s="141"/>
      <c r="I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  <c r="AJ127" s="141"/>
      <c r="AK127" s="141"/>
      <c r="AL127" s="141"/>
      <c r="AM127" s="141"/>
      <c r="AN127" s="141"/>
      <c r="AO127" s="141"/>
      <c r="AP127" s="141"/>
      <c r="AQ127" s="141"/>
      <c r="AR127" s="141"/>
      <c r="AS127" s="141"/>
      <c r="AT127" s="141"/>
    </row>
    <row r="128" spans="2:46" s="132" customFormat="1">
      <c r="B128" s="131"/>
      <c r="C128" s="131"/>
      <c r="F128" s="141"/>
      <c r="G128" s="141"/>
      <c r="H128" s="141"/>
      <c r="I128" s="141"/>
      <c r="K128" s="141"/>
      <c r="L128" s="141"/>
      <c r="M128" s="141"/>
      <c r="N128" s="141"/>
      <c r="O128" s="141"/>
      <c r="P128" s="141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  <c r="AJ128" s="141"/>
      <c r="AK128" s="141"/>
      <c r="AL128" s="141"/>
      <c r="AM128" s="141"/>
      <c r="AN128" s="141"/>
      <c r="AO128" s="141"/>
      <c r="AP128" s="141"/>
      <c r="AQ128" s="141"/>
      <c r="AR128" s="141"/>
      <c r="AS128" s="141"/>
      <c r="AT128" s="141"/>
    </row>
    <row r="129" spans="2:46" s="132" customFormat="1">
      <c r="B129" s="131"/>
      <c r="C129" s="131"/>
      <c r="F129" s="141"/>
      <c r="G129" s="141"/>
      <c r="H129" s="141"/>
      <c r="I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  <c r="AJ129" s="141"/>
      <c r="AK129" s="141"/>
      <c r="AL129" s="141"/>
      <c r="AM129" s="141"/>
      <c r="AN129" s="141"/>
      <c r="AO129" s="141"/>
      <c r="AP129" s="141"/>
      <c r="AQ129" s="141"/>
      <c r="AR129" s="141"/>
      <c r="AS129" s="141"/>
      <c r="AT129" s="141"/>
    </row>
    <row r="130" spans="2:46" s="132" customFormat="1">
      <c r="B130" s="131"/>
      <c r="C130" s="131"/>
      <c r="F130" s="141"/>
      <c r="G130" s="141"/>
      <c r="H130" s="141"/>
      <c r="I130" s="141"/>
      <c r="K130" s="141"/>
      <c r="L130" s="141"/>
      <c r="M130" s="141"/>
      <c r="N130" s="141"/>
      <c r="O130" s="141"/>
      <c r="P130" s="141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  <c r="AJ130" s="141"/>
      <c r="AK130" s="141"/>
      <c r="AL130" s="141"/>
      <c r="AM130" s="141"/>
      <c r="AN130" s="141"/>
      <c r="AO130" s="141"/>
      <c r="AP130" s="141"/>
      <c r="AQ130" s="141"/>
      <c r="AR130" s="141"/>
      <c r="AS130" s="141"/>
      <c r="AT130" s="141"/>
    </row>
    <row r="131" spans="2:46" s="132" customFormat="1">
      <c r="B131" s="131"/>
      <c r="C131" s="131"/>
      <c r="F131" s="141"/>
      <c r="G131" s="141"/>
      <c r="H131" s="141"/>
      <c r="I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  <c r="AJ131" s="141"/>
      <c r="AK131" s="141"/>
      <c r="AL131" s="141"/>
      <c r="AM131" s="141"/>
      <c r="AN131" s="141"/>
      <c r="AO131" s="141"/>
      <c r="AP131" s="141"/>
      <c r="AQ131" s="141"/>
      <c r="AR131" s="141"/>
      <c r="AS131" s="141"/>
      <c r="AT131" s="141"/>
    </row>
    <row r="132" spans="2:46" s="132" customFormat="1">
      <c r="B132" s="131"/>
      <c r="C132" s="131"/>
      <c r="F132" s="141"/>
      <c r="G132" s="141"/>
      <c r="H132" s="141"/>
      <c r="I132" s="141"/>
      <c r="K132" s="141"/>
      <c r="L132" s="141"/>
      <c r="M132" s="141"/>
      <c r="N132" s="141"/>
      <c r="O132" s="141"/>
      <c r="P132" s="141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  <c r="AJ132" s="141"/>
      <c r="AK132" s="141"/>
      <c r="AL132" s="141"/>
      <c r="AM132" s="141"/>
      <c r="AN132" s="141"/>
      <c r="AO132" s="141"/>
      <c r="AP132" s="141"/>
      <c r="AQ132" s="141"/>
      <c r="AR132" s="141"/>
      <c r="AS132" s="141"/>
      <c r="AT132" s="141"/>
    </row>
    <row r="133" spans="2:46" s="132" customFormat="1">
      <c r="B133" s="131"/>
      <c r="C133" s="131"/>
      <c r="F133" s="141"/>
      <c r="G133" s="141"/>
      <c r="H133" s="141"/>
      <c r="I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  <c r="AJ133" s="141"/>
      <c r="AK133" s="141"/>
      <c r="AL133" s="141"/>
      <c r="AM133" s="141"/>
      <c r="AN133" s="141"/>
      <c r="AO133" s="141"/>
      <c r="AP133" s="141"/>
      <c r="AQ133" s="141"/>
      <c r="AR133" s="141"/>
      <c r="AS133" s="141"/>
      <c r="AT133" s="141"/>
    </row>
    <row r="134" spans="2:46" s="132" customFormat="1">
      <c r="B134" s="131"/>
      <c r="C134" s="131"/>
      <c r="F134" s="141"/>
      <c r="G134" s="141"/>
      <c r="H134" s="141"/>
      <c r="I134" s="141"/>
      <c r="K134" s="141"/>
      <c r="L134" s="141"/>
      <c r="M134" s="141"/>
      <c r="N134" s="141"/>
      <c r="O134" s="141"/>
      <c r="P134" s="141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  <c r="AJ134" s="141"/>
      <c r="AK134" s="141"/>
      <c r="AL134" s="141"/>
      <c r="AM134" s="141"/>
      <c r="AN134" s="141"/>
      <c r="AO134" s="141"/>
      <c r="AP134" s="141"/>
      <c r="AQ134" s="141"/>
      <c r="AR134" s="141"/>
      <c r="AS134" s="141"/>
      <c r="AT134" s="141"/>
    </row>
    <row r="135" spans="2:46" s="132" customFormat="1">
      <c r="B135" s="131"/>
      <c r="C135" s="131"/>
      <c r="F135" s="141"/>
      <c r="G135" s="141"/>
      <c r="H135" s="141"/>
      <c r="I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  <c r="AJ135" s="141"/>
      <c r="AK135" s="141"/>
      <c r="AL135" s="141"/>
      <c r="AM135" s="141"/>
      <c r="AN135" s="141"/>
      <c r="AO135" s="141"/>
      <c r="AP135" s="141"/>
      <c r="AQ135" s="141"/>
      <c r="AR135" s="141"/>
      <c r="AS135" s="141"/>
      <c r="AT135" s="141"/>
    </row>
    <row r="136" spans="2:46" s="132" customFormat="1">
      <c r="B136" s="131"/>
      <c r="C136" s="131"/>
      <c r="F136" s="141"/>
      <c r="G136" s="141"/>
      <c r="H136" s="141"/>
      <c r="I136" s="141"/>
      <c r="K136" s="141"/>
      <c r="L136" s="141"/>
      <c r="M136" s="141"/>
      <c r="N136" s="141"/>
      <c r="O136" s="141"/>
      <c r="P136" s="141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  <c r="AJ136" s="141"/>
      <c r="AK136" s="141"/>
      <c r="AL136" s="141"/>
      <c r="AM136" s="141"/>
      <c r="AN136" s="141"/>
      <c r="AO136" s="141"/>
      <c r="AP136" s="141"/>
      <c r="AQ136" s="141"/>
      <c r="AR136" s="141"/>
      <c r="AS136" s="141"/>
      <c r="AT136" s="141"/>
    </row>
    <row r="137" spans="2:46" s="132" customFormat="1">
      <c r="B137" s="131"/>
      <c r="C137" s="131"/>
      <c r="F137" s="141"/>
      <c r="G137" s="141"/>
      <c r="H137" s="141"/>
      <c r="I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  <c r="AJ137" s="141"/>
      <c r="AK137" s="141"/>
      <c r="AL137" s="141"/>
      <c r="AM137" s="141"/>
      <c r="AN137" s="141"/>
      <c r="AO137" s="141"/>
      <c r="AP137" s="141"/>
      <c r="AQ137" s="141"/>
      <c r="AR137" s="141"/>
      <c r="AS137" s="141"/>
      <c r="AT137" s="141"/>
    </row>
    <row r="138" spans="2:46" s="132" customFormat="1">
      <c r="B138" s="131"/>
      <c r="C138" s="131"/>
      <c r="F138" s="141"/>
      <c r="G138" s="141"/>
      <c r="H138" s="141"/>
      <c r="I138" s="141"/>
      <c r="K138" s="141"/>
      <c r="L138" s="141"/>
      <c r="M138" s="141"/>
      <c r="N138" s="141"/>
      <c r="O138" s="141"/>
      <c r="P138" s="141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  <c r="AJ138" s="141"/>
      <c r="AK138" s="141"/>
      <c r="AL138" s="141"/>
      <c r="AM138" s="141"/>
      <c r="AN138" s="141"/>
      <c r="AO138" s="141"/>
      <c r="AP138" s="141"/>
      <c r="AQ138" s="141"/>
      <c r="AR138" s="141"/>
      <c r="AS138" s="141"/>
      <c r="AT138" s="141"/>
    </row>
    <row r="139" spans="2:46" s="132" customFormat="1">
      <c r="B139" s="131"/>
      <c r="C139" s="131"/>
      <c r="F139" s="141"/>
      <c r="G139" s="141"/>
      <c r="H139" s="141"/>
      <c r="I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  <c r="AJ139" s="141"/>
      <c r="AK139" s="141"/>
      <c r="AL139" s="141"/>
      <c r="AM139" s="141"/>
      <c r="AN139" s="141"/>
      <c r="AO139" s="141"/>
      <c r="AP139" s="141"/>
      <c r="AQ139" s="141"/>
      <c r="AR139" s="141"/>
      <c r="AS139" s="141"/>
      <c r="AT139" s="141"/>
    </row>
    <row r="140" spans="2:46" s="132" customFormat="1">
      <c r="B140" s="131"/>
      <c r="C140" s="131"/>
      <c r="F140" s="141"/>
      <c r="G140" s="141"/>
      <c r="H140" s="141"/>
      <c r="I140" s="141"/>
      <c r="K140" s="141"/>
      <c r="L140" s="141"/>
      <c r="M140" s="141"/>
      <c r="N140" s="141"/>
      <c r="O140" s="141"/>
      <c r="P140" s="141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  <c r="AJ140" s="141"/>
      <c r="AK140" s="141"/>
      <c r="AL140" s="141"/>
      <c r="AM140" s="141"/>
      <c r="AN140" s="141"/>
      <c r="AO140" s="141"/>
      <c r="AP140" s="141"/>
      <c r="AQ140" s="141"/>
      <c r="AR140" s="141"/>
      <c r="AS140" s="141"/>
      <c r="AT140" s="141"/>
    </row>
    <row r="141" spans="2:46" s="132" customFormat="1">
      <c r="B141" s="131"/>
      <c r="C141" s="131"/>
      <c r="F141" s="141"/>
      <c r="G141" s="141"/>
      <c r="H141" s="141"/>
      <c r="I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  <c r="AJ141" s="141"/>
      <c r="AK141" s="141"/>
      <c r="AL141" s="141"/>
      <c r="AM141" s="141"/>
      <c r="AN141" s="141"/>
      <c r="AO141" s="141"/>
      <c r="AP141" s="141"/>
      <c r="AQ141" s="141"/>
      <c r="AR141" s="141"/>
      <c r="AS141" s="141"/>
      <c r="AT141" s="141"/>
    </row>
    <row r="142" spans="2:46" s="132" customFormat="1">
      <c r="B142" s="131"/>
      <c r="C142" s="131"/>
      <c r="F142" s="141"/>
      <c r="G142" s="141"/>
      <c r="H142" s="141"/>
      <c r="I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  <c r="AJ142" s="141"/>
      <c r="AK142" s="141"/>
      <c r="AL142" s="141"/>
      <c r="AM142" s="141"/>
      <c r="AN142" s="141"/>
      <c r="AO142" s="141"/>
      <c r="AP142" s="141"/>
      <c r="AQ142" s="141"/>
      <c r="AR142" s="141"/>
      <c r="AS142" s="141"/>
      <c r="AT142" s="141"/>
    </row>
    <row r="143" spans="2:46" s="132" customFormat="1">
      <c r="B143" s="131"/>
      <c r="C143" s="131"/>
      <c r="F143" s="141"/>
      <c r="G143" s="141"/>
      <c r="H143" s="141"/>
      <c r="I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  <c r="AJ143" s="141"/>
      <c r="AK143" s="141"/>
      <c r="AL143" s="141"/>
      <c r="AM143" s="141"/>
      <c r="AN143" s="141"/>
      <c r="AO143" s="141"/>
      <c r="AP143" s="141"/>
      <c r="AQ143" s="141"/>
      <c r="AR143" s="141"/>
      <c r="AS143" s="141"/>
      <c r="AT143" s="141"/>
    </row>
    <row r="144" spans="2:46" s="132" customFormat="1">
      <c r="B144" s="131"/>
      <c r="C144" s="131"/>
      <c r="F144" s="141"/>
      <c r="G144" s="141"/>
      <c r="H144" s="141"/>
      <c r="I144" s="141"/>
      <c r="K144" s="141"/>
      <c r="L144" s="141"/>
      <c r="M144" s="141"/>
      <c r="N144" s="141"/>
      <c r="O144" s="141"/>
      <c r="P144" s="141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  <c r="AJ144" s="141"/>
      <c r="AK144" s="141"/>
      <c r="AL144" s="141"/>
      <c r="AM144" s="141"/>
      <c r="AN144" s="141"/>
      <c r="AO144" s="141"/>
      <c r="AP144" s="141"/>
      <c r="AQ144" s="141"/>
      <c r="AR144" s="141"/>
      <c r="AS144" s="141"/>
      <c r="AT144" s="141"/>
    </row>
    <row r="145" spans="2:46" s="132" customFormat="1">
      <c r="B145" s="131"/>
      <c r="C145" s="131"/>
      <c r="F145" s="141"/>
      <c r="G145" s="141"/>
      <c r="H145" s="141"/>
      <c r="I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  <c r="AJ145" s="141"/>
      <c r="AK145" s="141"/>
      <c r="AL145" s="141"/>
      <c r="AM145" s="141"/>
      <c r="AN145" s="141"/>
      <c r="AO145" s="141"/>
      <c r="AP145" s="141"/>
      <c r="AQ145" s="141"/>
      <c r="AR145" s="141"/>
      <c r="AS145" s="141"/>
      <c r="AT145" s="141"/>
    </row>
    <row r="146" spans="2:46" s="132" customFormat="1">
      <c r="B146" s="131"/>
      <c r="C146" s="131"/>
      <c r="F146" s="141"/>
      <c r="G146" s="141"/>
      <c r="H146" s="141"/>
      <c r="I146" s="141"/>
      <c r="K146" s="141"/>
      <c r="L146" s="141"/>
      <c r="M146" s="141"/>
      <c r="N146" s="141"/>
      <c r="O146" s="141"/>
      <c r="P146" s="141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  <c r="AJ146" s="141"/>
      <c r="AK146" s="141"/>
      <c r="AL146" s="141"/>
      <c r="AM146" s="141"/>
      <c r="AN146" s="141"/>
      <c r="AO146" s="141"/>
      <c r="AP146" s="141"/>
      <c r="AQ146" s="141"/>
      <c r="AR146" s="141"/>
      <c r="AS146" s="141"/>
      <c r="AT146" s="141"/>
    </row>
    <row r="147" spans="2:46" s="132" customFormat="1">
      <c r="B147" s="131"/>
      <c r="C147" s="131"/>
      <c r="F147" s="141"/>
      <c r="G147" s="141"/>
      <c r="H147" s="141"/>
      <c r="I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  <c r="AJ147" s="141"/>
      <c r="AK147" s="141"/>
      <c r="AL147" s="141"/>
      <c r="AM147" s="141"/>
      <c r="AN147" s="141"/>
      <c r="AO147" s="141"/>
      <c r="AP147" s="141"/>
      <c r="AQ147" s="141"/>
      <c r="AR147" s="141"/>
      <c r="AS147" s="141"/>
      <c r="AT147" s="141"/>
    </row>
    <row r="148" spans="2:46" s="132" customFormat="1">
      <c r="B148" s="131"/>
      <c r="C148" s="131"/>
      <c r="F148" s="141"/>
      <c r="G148" s="141"/>
      <c r="H148" s="141"/>
      <c r="I148" s="141"/>
      <c r="K148" s="141"/>
      <c r="L148" s="141"/>
      <c r="M148" s="141"/>
      <c r="N148" s="141"/>
      <c r="O148" s="141"/>
      <c r="P148" s="141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</row>
    <row r="149" spans="2:46" s="132" customFormat="1">
      <c r="B149" s="131"/>
      <c r="C149" s="131"/>
      <c r="F149" s="141"/>
      <c r="G149" s="141"/>
      <c r="H149" s="141"/>
      <c r="I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</row>
    <row r="150" spans="2:46" s="132" customFormat="1">
      <c r="B150" s="131"/>
      <c r="C150" s="131"/>
      <c r="F150" s="141"/>
      <c r="G150" s="141"/>
      <c r="H150" s="141"/>
      <c r="I150" s="141"/>
      <c r="K150" s="141"/>
      <c r="L150" s="141"/>
      <c r="M150" s="141"/>
      <c r="N150" s="141"/>
      <c r="O150" s="141"/>
      <c r="P150" s="141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</row>
    <row r="151" spans="2:46" s="132" customFormat="1">
      <c r="B151" s="131"/>
      <c r="C151" s="131"/>
      <c r="F151" s="141"/>
      <c r="G151" s="141"/>
      <c r="H151" s="141"/>
      <c r="I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</row>
    <row r="152" spans="2:46" s="132" customFormat="1">
      <c r="B152" s="131"/>
      <c r="C152" s="131"/>
      <c r="F152" s="141"/>
      <c r="G152" s="141"/>
      <c r="H152" s="141"/>
      <c r="I152" s="141"/>
      <c r="K152" s="141"/>
      <c r="L152" s="141"/>
      <c r="M152" s="141"/>
      <c r="N152" s="141"/>
      <c r="O152" s="141"/>
      <c r="P152" s="141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  <c r="AJ152" s="141"/>
      <c r="AK152" s="141"/>
      <c r="AL152" s="141"/>
      <c r="AM152" s="141"/>
      <c r="AN152" s="141"/>
      <c r="AO152" s="141"/>
      <c r="AP152" s="141"/>
      <c r="AQ152" s="141"/>
      <c r="AR152" s="141"/>
      <c r="AS152" s="141"/>
      <c r="AT152" s="141"/>
    </row>
    <row r="153" spans="2:46" s="132" customFormat="1">
      <c r="B153" s="131"/>
      <c r="C153" s="131"/>
      <c r="F153" s="141"/>
      <c r="G153" s="141"/>
      <c r="H153" s="141"/>
      <c r="I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  <c r="AJ153" s="141"/>
      <c r="AK153" s="141"/>
      <c r="AL153" s="141"/>
      <c r="AM153" s="141"/>
      <c r="AN153" s="141"/>
      <c r="AO153" s="141"/>
      <c r="AP153" s="141"/>
      <c r="AQ153" s="141"/>
      <c r="AR153" s="141"/>
      <c r="AS153" s="141"/>
      <c r="AT153" s="141"/>
    </row>
    <row r="154" spans="2:46" s="132" customFormat="1">
      <c r="B154" s="131"/>
      <c r="C154" s="131"/>
      <c r="F154" s="141"/>
      <c r="G154" s="141"/>
      <c r="H154" s="141"/>
      <c r="I154" s="141"/>
      <c r="K154" s="141"/>
      <c r="L154" s="141"/>
      <c r="M154" s="141"/>
      <c r="N154" s="141"/>
      <c r="O154" s="141"/>
      <c r="P154" s="141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  <c r="AJ154" s="141"/>
      <c r="AK154" s="141"/>
      <c r="AL154" s="141"/>
      <c r="AM154" s="141"/>
      <c r="AN154" s="141"/>
      <c r="AO154" s="141"/>
      <c r="AP154" s="141"/>
      <c r="AQ154" s="141"/>
      <c r="AR154" s="141"/>
      <c r="AS154" s="141"/>
      <c r="AT154" s="141"/>
    </row>
    <row r="155" spans="2:46" s="132" customFormat="1">
      <c r="B155" s="131"/>
      <c r="C155" s="131"/>
      <c r="F155" s="141"/>
      <c r="G155" s="141"/>
      <c r="H155" s="141"/>
      <c r="I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  <c r="AJ155" s="141"/>
      <c r="AK155" s="141"/>
      <c r="AL155" s="141"/>
      <c r="AM155" s="141"/>
      <c r="AN155" s="141"/>
      <c r="AO155" s="141"/>
      <c r="AP155" s="141"/>
      <c r="AQ155" s="141"/>
      <c r="AR155" s="141"/>
      <c r="AS155" s="141"/>
      <c r="AT155" s="141"/>
    </row>
    <row r="156" spans="2:46" s="132" customFormat="1">
      <c r="B156" s="131"/>
      <c r="C156" s="131"/>
      <c r="F156" s="141"/>
      <c r="G156" s="141"/>
      <c r="H156" s="141"/>
      <c r="I156" s="141"/>
      <c r="K156" s="141"/>
      <c r="L156" s="141"/>
      <c r="M156" s="141"/>
      <c r="N156" s="141"/>
      <c r="O156" s="141"/>
      <c r="P156" s="141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  <c r="AJ156" s="141"/>
      <c r="AK156" s="141"/>
      <c r="AL156" s="141"/>
      <c r="AM156" s="141"/>
      <c r="AN156" s="141"/>
      <c r="AO156" s="141"/>
      <c r="AP156" s="141"/>
      <c r="AQ156" s="141"/>
      <c r="AR156" s="141"/>
      <c r="AS156" s="141"/>
      <c r="AT156" s="141"/>
    </row>
    <row r="157" spans="2:46" s="132" customFormat="1">
      <c r="B157" s="131"/>
      <c r="C157" s="131"/>
      <c r="F157" s="141"/>
      <c r="G157" s="141"/>
      <c r="H157" s="141"/>
      <c r="I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  <c r="AJ157" s="141"/>
      <c r="AK157" s="141"/>
      <c r="AL157" s="141"/>
      <c r="AM157" s="141"/>
      <c r="AN157" s="141"/>
      <c r="AO157" s="141"/>
      <c r="AP157" s="141"/>
      <c r="AQ157" s="141"/>
      <c r="AR157" s="141"/>
      <c r="AS157" s="141"/>
      <c r="AT157" s="141"/>
    </row>
    <row r="158" spans="2:46" s="132" customFormat="1">
      <c r="B158" s="131"/>
      <c r="C158" s="131"/>
      <c r="F158" s="141"/>
      <c r="G158" s="141"/>
      <c r="H158" s="141"/>
      <c r="I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  <c r="AJ158" s="141"/>
      <c r="AK158" s="141"/>
      <c r="AL158" s="141"/>
      <c r="AM158" s="141"/>
      <c r="AN158" s="141"/>
      <c r="AO158" s="141"/>
      <c r="AP158" s="141"/>
      <c r="AQ158" s="141"/>
      <c r="AR158" s="141"/>
      <c r="AS158" s="141"/>
      <c r="AT158" s="141"/>
    </row>
    <row r="159" spans="2:46" s="132" customFormat="1">
      <c r="B159" s="131"/>
      <c r="C159" s="131"/>
      <c r="F159" s="141"/>
      <c r="G159" s="141"/>
      <c r="H159" s="141"/>
      <c r="I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  <c r="AJ159" s="141"/>
      <c r="AK159" s="141"/>
      <c r="AL159" s="141"/>
      <c r="AM159" s="141"/>
      <c r="AN159" s="141"/>
      <c r="AO159" s="141"/>
      <c r="AP159" s="141"/>
      <c r="AQ159" s="141"/>
      <c r="AR159" s="141"/>
      <c r="AS159" s="141"/>
      <c r="AT159" s="141"/>
    </row>
    <row r="160" spans="2:46" s="132" customFormat="1">
      <c r="B160" s="131"/>
      <c r="C160" s="131"/>
      <c r="F160" s="141"/>
      <c r="G160" s="141"/>
      <c r="H160" s="141"/>
      <c r="I160" s="141"/>
      <c r="K160" s="141"/>
      <c r="L160" s="141"/>
      <c r="M160" s="141"/>
      <c r="N160" s="141"/>
      <c r="O160" s="141"/>
      <c r="P160" s="141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  <c r="AJ160" s="141"/>
      <c r="AK160" s="141"/>
      <c r="AL160" s="141"/>
      <c r="AM160" s="141"/>
      <c r="AN160" s="141"/>
      <c r="AO160" s="141"/>
      <c r="AP160" s="141"/>
      <c r="AQ160" s="141"/>
      <c r="AR160" s="141"/>
      <c r="AS160" s="141"/>
      <c r="AT160" s="141"/>
    </row>
    <row r="161" spans="2:46" s="132" customFormat="1">
      <c r="B161" s="131"/>
      <c r="C161" s="131"/>
      <c r="F161" s="141"/>
      <c r="G161" s="141"/>
      <c r="H161" s="141"/>
      <c r="I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  <c r="AJ161" s="141"/>
      <c r="AK161" s="141"/>
      <c r="AL161" s="141"/>
      <c r="AM161" s="141"/>
      <c r="AN161" s="141"/>
      <c r="AO161" s="141"/>
      <c r="AP161" s="141"/>
      <c r="AQ161" s="141"/>
      <c r="AR161" s="141"/>
      <c r="AS161" s="141"/>
      <c r="AT161" s="141"/>
    </row>
    <row r="162" spans="2:46" s="132" customFormat="1">
      <c r="B162" s="131"/>
      <c r="C162" s="131"/>
      <c r="F162" s="141"/>
      <c r="G162" s="141"/>
      <c r="H162" s="141"/>
      <c r="I162" s="141"/>
      <c r="K162" s="141"/>
      <c r="L162" s="141"/>
      <c r="M162" s="141"/>
      <c r="N162" s="141"/>
      <c r="O162" s="141"/>
      <c r="P162" s="141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  <c r="AJ162" s="141"/>
      <c r="AK162" s="141"/>
      <c r="AL162" s="141"/>
      <c r="AM162" s="141"/>
      <c r="AN162" s="141"/>
      <c r="AO162" s="141"/>
      <c r="AP162" s="141"/>
      <c r="AQ162" s="141"/>
      <c r="AR162" s="141"/>
      <c r="AS162" s="141"/>
      <c r="AT162" s="141"/>
    </row>
    <row r="163" spans="2:46" s="132" customFormat="1">
      <c r="B163" s="131"/>
      <c r="C163" s="131"/>
      <c r="F163" s="141"/>
      <c r="G163" s="141"/>
      <c r="H163" s="141"/>
      <c r="I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  <c r="AJ163" s="141"/>
      <c r="AK163" s="141"/>
      <c r="AL163" s="141"/>
      <c r="AM163" s="141"/>
      <c r="AN163" s="141"/>
      <c r="AO163" s="141"/>
      <c r="AP163" s="141"/>
      <c r="AQ163" s="141"/>
      <c r="AR163" s="141"/>
      <c r="AS163" s="141"/>
      <c r="AT163" s="141"/>
    </row>
    <row r="164" spans="2:46" s="132" customFormat="1">
      <c r="B164" s="131"/>
      <c r="C164" s="131"/>
      <c r="F164" s="141"/>
      <c r="G164" s="141"/>
      <c r="H164" s="141"/>
      <c r="I164" s="141"/>
      <c r="K164" s="141"/>
      <c r="L164" s="141"/>
      <c r="M164" s="141"/>
      <c r="N164" s="141"/>
      <c r="O164" s="141"/>
      <c r="P164" s="141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  <c r="AJ164" s="141"/>
      <c r="AK164" s="141"/>
      <c r="AL164" s="141"/>
      <c r="AM164" s="141"/>
      <c r="AN164" s="141"/>
      <c r="AO164" s="141"/>
      <c r="AP164" s="141"/>
      <c r="AQ164" s="141"/>
      <c r="AR164" s="141"/>
      <c r="AS164" s="141"/>
      <c r="AT164" s="141"/>
    </row>
    <row r="165" spans="2:46" s="132" customFormat="1">
      <c r="B165" s="131"/>
      <c r="C165" s="131"/>
      <c r="F165" s="141"/>
      <c r="G165" s="141"/>
      <c r="H165" s="141"/>
      <c r="I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  <c r="AJ165" s="141"/>
      <c r="AK165" s="141"/>
      <c r="AL165" s="141"/>
      <c r="AM165" s="141"/>
      <c r="AN165" s="141"/>
      <c r="AO165" s="141"/>
      <c r="AP165" s="141"/>
      <c r="AQ165" s="141"/>
      <c r="AR165" s="141"/>
      <c r="AS165" s="141"/>
      <c r="AT165" s="141"/>
    </row>
    <row r="166" spans="2:46" s="132" customFormat="1">
      <c r="B166" s="131"/>
      <c r="C166" s="131"/>
      <c r="F166" s="141"/>
      <c r="G166" s="141"/>
      <c r="H166" s="141"/>
      <c r="I166" s="141"/>
      <c r="K166" s="141"/>
      <c r="L166" s="141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  <c r="AJ166" s="141"/>
      <c r="AK166" s="141"/>
      <c r="AL166" s="141"/>
      <c r="AM166" s="141"/>
      <c r="AN166" s="141"/>
      <c r="AO166" s="141"/>
      <c r="AP166" s="141"/>
      <c r="AQ166" s="141"/>
      <c r="AR166" s="141"/>
      <c r="AS166" s="141"/>
      <c r="AT166" s="141"/>
    </row>
    <row r="167" spans="2:46" s="132" customFormat="1">
      <c r="B167" s="131"/>
      <c r="C167" s="131"/>
      <c r="F167" s="141"/>
      <c r="G167" s="141"/>
      <c r="H167" s="141"/>
      <c r="I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</row>
    <row r="168" spans="2:46" s="132" customFormat="1">
      <c r="B168" s="131"/>
      <c r="C168" s="131"/>
      <c r="F168" s="141"/>
      <c r="G168" s="141"/>
      <c r="H168" s="141"/>
      <c r="I168" s="141"/>
      <c r="K168" s="141"/>
      <c r="L168" s="141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</row>
    <row r="169" spans="2:46" s="132" customFormat="1">
      <c r="B169" s="131"/>
      <c r="C169" s="131"/>
      <c r="F169" s="141"/>
      <c r="G169" s="141"/>
      <c r="H169" s="141"/>
      <c r="I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</row>
    <row r="170" spans="2:46" s="132" customFormat="1">
      <c r="B170" s="131"/>
      <c r="C170" s="131"/>
      <c r="F170" s="141"/>
      <c r="G170" s="141"/>
      <c r="H170" s="141"/>
      <c r="I170" s="141"/>
      <c r="K170" s="141"/>
      <c r="L170" s="141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</row>
    <row r="171" spans="2:46" s="132" customFormat="1">
      <c r="B171" s="131"/>
      <c r="C171" s="131"/>
      <c r="F171" s="141"/>
      <c r="G171" s="141"/>
      <c r="H171" s="141"/>
      <c r="I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</row>
    <row r="172" spans="2:46" s="132" customFormat="1">
      <c r="B172" s="131"/>
      <c r="C172" s="131"/>
      <c r="F172" s="141"/>
      <c r="G172" s="141"/>
      <c r="H172" s="141"/>
      <c r="I172" s="141"/>
      <c r="K172" s="141"/>
      <c r="L172" s="141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</row>
    <row r="173" spans="2:46" s="132" customFormat="1">
      <c r="B173" s="131"/>
      <c r="C173" s="131"/>
      <c r="F173" s="141"/>
      <c r="G173" s="141"/>
      <c r="H173" s="141"/>
      <c r="I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  <c r="AJ173" s="141"/>
      <c r="AK173" s="141"/>
      <c r="AL173" s="141"/>
      <c r="AM173" s="141"/>
      <c r="AN173" s="141"/>
      <c r="AO173" s="141"/>
      <c r="AP173" s="141"/>
      <c r="AQ173" s="141"/>
      <c r="AR173" s="141"/>
      <c r="AS173" s="141"/>
      <c r="AT173" s="141"/>
    </row>
    <row r="174" spans="2:46" s="132" customFormat="1">
      <c r="B174" s="131"/>
      <c r="C174" s="131"/>
      <c r="F174" s="141"/>
      <c r="G174" s="141"/>
      <c r="H174" s="141"/>
      <c r="I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  <c r="AJ174" s="141"/>
      <c r="AK174" s="141"/>
      <c r="AL174" s="141"/>
      <c r="AM174" s="141"/>
      <c r="AN174" s="141"/>
      <c r="AO174" s="141"/>
      <c r="AP174" s="141"/>
      <c r="AQ174" s="141"/>
      <c r="AR174" s="141"/>
      <c r="AS174" s="141"/>
      <c r="AT174" s="141"/>
    </row>
    <row r="175" spans="2:46" s="132" customFormat="1">
      <c r="B175" s="131"/>
      <c r="C175" s="131"/>
      <c r="F175" s="141"/>
      <c r="G175" s="141"/>
      <c r="H175" s="141"/>
      <c r="I175" s="141"/>
      <c r="K175" s="141"/>
      <c r="L175" s="141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  <c r="AJ175" s="141"/>
      <c r="AK175" s="141"/>
      <c r="AL175" s="141"/>
      <c r="AM175" s="141"/>
      <c r="AN175" s="141"/>
      <c r="AO175" s="141"/>
      <c r="AP175" s="141"/>
      <c r="AQ175" s="141"/>
      <c r="AR175" s="141"/>
      <c r="AS175" s="141"/>
      <c r="AT175" s="141"/>
    </row>
    <row r="176" spans="2:46" s="132" customFormat="1">
      <c r="B176" s="131"/>
      <c r="C176" s="131"/>
      <c r="F176" s="141"/>
      <c r="G176" s="141"/>
      <c r="H176" s="141"/>
      <c r="I176" s="141"/>
      <c r="K176" s="141"/>
      <c r="L176" s="141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  <c r="AJ176" s="141"/>
      <c r="AK176" s="141"/>
      <c r="AL176" s="141"/>
      <c r="AM176" s="141"/>
      <c r="AN176" s="141"/>
      <c r="AO176" s="141"/>
      <c r="AP176" s="141"/>
      <c r="AQ176" s="141"/>
      <c r="AR176" s="141"/>
      <c r="AS176" s="141"/>
      <c r="AT176" s="141"/>
    </row>
    <row r="177" spans="2:46" s="132" customFormat="1">
      <c r="B177" s="131"/>
      <c r="C177" s="131"/>
      <c r="F177" s="141"/>
      <c r="G177" s="141"/>
      <c r="H177" s="141"/>
      <c r="I177" s="141"/>
      <c r="K177" s="141"/>
      <c r="L177" s="141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  <c r="AJ177" s="141"/>
      <c r="AK177" s="141"/>
      <c r="AL177" s="141"/>
      <c r="AM177" s="141"/>
      <c r="AN177" s="141"/>
      <c r="AO177" s="141"/>
      <c r="AP177" s="141"/>
      <c r="AQ177" s="141"/>
      <c r="AR177" s="141"/>
      <c r="AS177" s="141"/>
      <c r="AT177" s="141"/>
    </row>
    <row r="178" spans="2:46" s="132" customFormat="1">
      <c r="B178" s="131"/>
      <c r="C178" s="131"/>
      <c r="F178" s="141"/>
      <c r="G178" s="141"/>
      <c r="H178" s="141"/>
      <c r="I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  <c r="AJ178" s="141"/>
      <c r="AK178" s="141"/>
      <c r="AL178" s="141"/>
      <c r="AM178" s="141"/>
      <c r="AN178" s="141"/>
      <c r="AO178" s="141"/>
      <c r="AP178" s="141"/>
      <c r="AQ178" s="141"/>
      <c r="AR178" s="141"/>
      <c r="AS178" s="141"/>
      <c r="AT178" s="141"/>
    </row>
    <row r="179" spans="2:46" s="132" customFormat="1">
      <c r="B179" s="131"/>
      <c r="C179" s="131"/>
      <c r="F179" s="141"/>
      <c r="G179" s="141"/>
      <c r="H179" s="141"/>
      <c r="I179" s="141"/>
      <c r="K179" s="141"/>
      <c r="L179" s="141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  <c r="AJ179" s="141"/>
      <c r="AK179" s="141"/>
      <c r="AL179" s="141"/>
      <c r="AM179" s="141"/>
      <c r="AN179" s="141"/>
      <c r="AO179" s="141"/>
      <c r="AP179" s="141"/>
      <c r="AQ179" s="141"/>
      <c r="AR179" s="141"/>
      <c r="AS179" s="141"/>
      <c r="AT179" s="141"/>
    </row>
    <row r="180" spans="2:46" s="132" customFormat="1">
      <c r="B180" s="131"/>
      <c r="C180" s="131"/>
      <c r="F180" s="141"/>
      <c r="G180" s="141"/>
      <c r="H180" s="141"/>
      <c r="I180" s="141"/>
      <c r="K180" s="141"/>
      <c r="L180" s="141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  <c r="AJ180" s="141"/>
      <c r="AK180" s="141"/>
      <c r="AL180" s="141"/>
      <c r="AM180" s="141"/>
      <c r="AN180" s="141"/>
      <c r="AO180" s="141"/>
      <c r="AP180" s="141"/>
      <c r="AQ180" s="141"/>
      <c r="AR180" s="141"/>
      <c r="AS180" s="141"/>
      <c r="AT180" s="141"/>
    </row>
    <row r="181" spans="2:46" s="132" customFormat="1">
      <c r="B181" s="131"/>
      <c r="C181" s="131"/>
      <c r="F181" s="141"/>
      <c r="G181" s="141"/>
      <c r="H181" s="141"/>
      <c r="I181" s="141"/>
      <c r="K181" s="141"/>
      <c r="L181" s="141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  <c r="AJ181" s="141"/>
      <c r="AK181" s="141"/>
      <c r="AL181" s="141"/>
      <c r="AM181" s="141"/>
      <c r="AN181" s="141"/>
      <c r="AO181" s="141"/>
      <c r="AP181" s="141"/>
      <c r="AQ181" s="141"/>
      <c r="AR181" s="141"/>
      <c r="AS181" s="141"/>
      <c r="AT181" s="141"/>
    </row>
    <row r="182" spans="2:46" s="132" customFormat="1">
      <c r="B182" s="131"/>
      <c r="C182" s="131"/>
      <c r="F182" s="141"/>
      <c r="G182" s="141"/>
      <c r="H182" s="141"/>
      <c r="I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  <c r="AJ182" s="141"/>
      <c r="AK182" s="141"/>
      <c r="AL182" s="141"/>
      <c r="AM182" s="141"/>
      <c r="AN182" s="141"/>
      <c r="AO182" s="141"/>
      <c r="AP182" s="141"/>
      <c r="AQ182" s="141"/>
      <c r="AR182" s="141"/>
      <c r="AS182" s="141"/>
      <c r="AT182" s="141"/>
    </row>
    <row r="183" spans="2:46" s="132" customFormat="1">
      <c r="B183" s="131"/>
      <c r="C183" s="131"/>
      <c r="F183" s="141"/>
      <c r="G183" s="141"/>
      <c r="H183" s="141"/>
      <c r="I183" s="141"/>
      <c r="K183" s="141"/>
      <c r="L183" s="141"/>
      <c r="M183" s="141"/>
      <c r="N183" s="141"/>
      <c r="O183" s="141"/>
      <c r="P183" s="141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  <c r="AJ183" s="141"/>
      <c r="AK183" s="141"/>
      <c r="AL183" s="141"/>
      <c r="AM183" s="141"/>
      <c r="AN183" s="141"/>
      <c r="AO183" s="141"/>
      <c r="AP183" s="141"/>
      <c r="AQ183" s="141"/>
      <c r="AR183" s="141"/>
      <c r="AS183" s="141"/>
      <c r="AT183" s="141"/>
    </row>
    <row r="184" spans="2:46" s="132" customFormat="1">
      <c r="B184" s="131"/>
      <c r="C184" s="131"/>
      <c r="F184" s="141"/>
      <c r="G184" s="141"/>
      <c r="H184" s="141"/>
      <c r="I184" s="141"/>
      <c r="K184" s="141"/>
      <c r="L184" s="141"/>
      <c r="M184" s="141"/>
      <c r="N184" s="141"/>
      <c r="O184" s="141"/>
      <c r="P184" s="141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  <c r="AJ184" s="141"/>
      <c r="AK184" s="141"/>
      <c r="AL184" s="141"/>
      <c r="AM184" s="141"/>
      <c r="AN184" s="141"/>
      <c r="AO184" s="141"/>
      <c r="AP184" s="141"/>
      <c r="AQ184" s="141"/>
      <c r="AR184" s="141"/>
      <c r="AS184" s="141"/>
      <c r="AT184" s="141"/>
    </row>
    <row r="185" spans="2:46" s="132" customFormat="1">
      <c r="B185" s="131"/>
      <c r="C185" s="131"/>
      <c r="F185" s="141"/>
      <c r="G185" s="141"/>
      <c r="H185" s="141"/>
      <c r="I185" s="141"/>
      <c r="K185" s="141"/>
      <c r="L185" s="141"/>
      <c r="M185" s="141"/>
      <c r="N185" s="141"/>
      <c r="O185" s="141"/>
      <c r="P185" s="141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  <c r="AJ185" s="141"/>
      <c r="AK185" s="141"/>
      <c r="AL185" s="141"/>
      <c r="AM185" s="141"/>
      <c r="AN185" s="141"/>
      <c r="AO185" s="141"/>
      <c r="AP185" s="141"/>
      <c r="AQ185" s="141"/>
      <c r="AR185" s="141"/>
      <c r="AS185" s="141"/>
      <c r="AT185" s="141"/>
    </row>
    <row r="186" spans="2:46" s="132" customFormat="1">
      <c r="B186" s="131"/>
      <c r="C186" s="131"/>
      <c r="F186" s="141"/>
      <c r="G186" s="141"/>
      <c r="H186" s="141"/>
      <c r="I186" s="141"/>
      <c r="K186" s="141"/>
      <c r="L186" s="141"/>
      <c r="M186" s="141"/>
      <c r="N186" s="141"/>
      <c r="O186" s="141"/>
      <c r="P186" s="141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  <c r="AJ186" s="141"/>
      <c r="AK186" s="141"/>
      <c r="AL186" s="141"/>
      <c r="AM186" s="141"/>
      <c r="AN186" s="141"/>
      <c r="AO186" s="141"/>
      <c r="AP186" s="141"/>
      <c r="AQ186" s="141"/>
      <c r="AR186" s="141"/>
      <c r="AS186" s="141"/>
      <c r="AT186" s="141"/>
    </row>
    <row r="187" spans="2:46" s="132" customFormat="1">
      <c r="B187" s="131"/>
      <c r="C187" s="131"/>
      <c r="F187" s="141"/>
      <c r="G187" s="141"/>
      <c r="H187" s="141"/>
      <c r="I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41"/>
      <c r="AQ187" s="141"/>
      <c r="AR187" s="141"/>
      <c r="AS187" s="141"/>
      <c r="AT187" s="141"/>
    </row>
    <row r="188" spans="2:46" s="132" customFormat="1">
      <c r="B188" s="131"/>
      <c r="C188" s="131"/>
      <c r="F188" s="141"/>
      <c r="G188" s="141"/>
      <c r="H188" s="141"/>
      <c r="I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41"/>
      <c r="AQ188" s="141"/>
      <c r="AR188" s="141"/>
      <c r="AS188" s="141"/>
      <c r="AT188" s="141"/>
    </row>
    <row r="189" spans="2:46" s="132" customFormat="1">
      <c r="B189" s="131"/>
      <c r="C189" s="131"/>
      <c r="F189" s="141"/>
      <c r="G189" s="141"/>
      <c r="H189" s="141"/>
      <c r="I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41"/>
      <c r="AR189" s="141"/>
      <c r="AS189" s="141"/>
      <c r="AT189" s="141"/>
    </row>
    <row r="190" spans="2:46" s="132" customFormat="1">
      <c r="B190" s="131"/>
      <c r="C190" s="131"/>
      <c r="F190" s="141"/>
      <c r="G190" s="141"/>
      <c r="H190" s="141"/>
      <c r="I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41"/>
      <c r="AR190" s="141"/>
      <c r="AS190" s="141"/>
      <c r="AT190" s="141"/>
    </row>
    <row r="191" spans="2:46" s="132" customFormat="1">
      <c r="B191" s="131"/>
      <c r="C191" s="131"/>
      <c r="F191" s="141"/>
      <c r="G191" s="141"/>
      <c r="H191" s="141"/>
      <c r="I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41"/>
      <c r="AR191" s="141"/>
      <c r="AS191" s="141"/>
      <c r="AT191" s="141"/>
    </row>
    <row r="192" spans="2:46" s="132" customFormat="1">
      <c r="B192" s="131"/>
      <c r="C192" s="131"/>
      <c r="F192" s="141"/>
      <c r="G192" s="141"/>
      <c r="H192" s="141"/>
      <c r="I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41"/>
      <c r="AR192" s="141"/>
      <c r="AS192" s="141"/>
      <c r="AT192" s="141"/>
    </row>
    <row r="193" spans="2:46" s="132" customFormat="1">
      <c r="B193" s="131"/>
      <c r="C193" s="131"/>
      <c r="F193" s="141"/>
      <c r="G193" s="141"/>
      <c r="H193" s="141"/>
      <c r="I193" s="141"/>
      <c r="K193" s="141"/>
      <c r="L193" s="141"/>
      <c r="M193" s="141"/>
      <c r="N193" s="141"/>
      <c r="O193" s="141"/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41"/>
      <c r="AR193" s="141"/>
      <c r="AS193" s="141"/>
      <c r="AT193" s="141"/>
    </row>
    <row r="194" spans="2:46" s="132" customFormat="1">
      <c r="B194" s="131"/>
      <c r="C194" s="131"/>
      <c r="F194" s="141"/>
      <c r="G194" s="141"/>
      <c r="H194" s="141"/>
      <c r="I194" s="141"/>
      <c r="K194" s="141"/>
      <c r="L194" s="141"/>
      <c r="M194" s="141"/>
      <c r="N194" s="141"/>
      <c r="O194" s="141"/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41"/>
      <c r="AR194" s="141"/>
      <c r="AS194" s="141"/>
      <c r="AT194" s="141"/>
    </row>
    <row r="195" spans="2:46" s="132" customFormat="1">
      <c r="B195" s="131"/>
      <c r="C195" s="131"/>
      <c r="F195" s="141"/>
      <c r="G195" s="141"/>
      <c r="H195" s="141"/>
      <c r="I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41"/>
      <c r="AR195" s="141"/>
      <c r="AS195" s="141"/>
      <c r="AT195" s="141"/>
    </row>
    <row r="196" spans="2:46" s="132" customFormat="1">
      <c r="B196" s="131"/>
      <c r="C196" s="131"/>
      <c r="F196" s="141"/>
      <c r="G196" s="141"/>
      <c r="H196" s="141"/>
      <c r="I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  <c r="AJ196" s="141"/>
      <c r="AK196" s="141"/>
      <c r="AL196" s="141"/>
      <c r="AM196" s="141"/>
      <c r="AN196" s="141"/>
      <c r="AO196" s="141"/>
      <c r="AP196" s="141"/>
      <c r="AQ196" s="141"/>
      <c r="AR196" s="141"/>
      <c r="AS196" s="141"/>
      <c r="AT196" s="141"/>
    </row>
    <row r="197" spans="2:46" s="132" customFormat="1">
      <c r="B197" s="131"/>
      <c r="C197" s="131"/>
      <c r="F197" s="141"/>
      <c r="G197" s="141"/>
      <c r="H197" s="141"/>
      <c r="I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  <c r="AJ197" s="141"/>
      <c r="AK197" s="141"/>
      <c r="AL197" s="141"/>
      <c r="AM197" s="141"/>
      <c r="AN197" s="141"/>
      <c r="AO197" s="141"/>
      <c r="AP197" s="141"/>
      <c r="AQ197" s="141"/>
      <c r="AR197" s="141"/>
      <c r="AS197" s="141"/>
      <c r="AT197" s="141"/>
    </row>
    <row r="198" spans="2:46" s="132" customFormat="1">
      <c r="B198" s="131"/>
      <c r="C198" s="131"/>
      <c r="F198" s="141"/>
      <c r="G198" s="141"/>
      <c r="H198" s="141"/>
      <c r="I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  <c r="AJ198" s="141"/>
      <c r="AK198" s="141"/>
      <c r="AL198" s="141"/>
      <c r="AM198" s="141"/>
      <c r="AN198" s="141"/>
      <c r="AO198" s="141"/>
      <c r="AP198" s="141"/>
      <c r="AQ198" s="141"/>
      <c r="AR198" s="141"/>
      <c r="AS198" s="141"/>
      <c r="AT198" s="141"/>
    </row>
    <row r="199" spans="2:46" s="132" customFormat="1">
      <c r="B199" s="131"/>
      <c r="C199" s="131"/>
      <c r="F199" s="141"/>
      <c r="G199" s="141"/>
      <c r="H199" s="141"/>
      <c r="I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41"/>
      <c r="AR199" s="141"/>
      <c r="AS199" s="141"/>
      <c r="AT199" s="141"/>
    </row>
    <row r="200" spans="2:46" s="132" customFormat="1">
      <c r="B200" s="131"/>
      <c r="C200" s="131"/>
      <c r="F200" s="141"/>
      <c r="G200" s="141"/>
      <c r="H200" s="141"/>
      <c r="I200" s="141"/>
      <c r="K200" s="141"/>
      <c r="L200" s="141"/>
      <c r="M200" s="141"/>
      <c r="N200" s="141"/>
      <c r="O200" s="141"/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</row>
    <row r="201" spans="2:46" s="132" customFormat="1">
      <c r="B201" s="131"/>
      <c r="C201" s="131"/>
      <c r="F201" s="141"/>
      <c r="G201" s="141"/>
      <c r="H201" s="141"/>
      <c r="I201" s="141"/>
      <c r="K201" s="141"/>
      <c r="L201" s="141"/>
      <c r="M201" s="141"/>
      <c r="N201" s="141"/>
      <c r="O201" s="141"/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</row>
    <row r="202" spans="2:46" s="132" customFormat="1">
      <c r="B202" s="131"/>
      <c r="C202" s="131"/>
      <c r="F202" s="141"/>
      <c r="G202" s="141"/>
      <c r="H202" s="141"/>
      <c r="I202" s="141"/>
      <c r="K202" s="141"/>
      <c r="L202" s="141"/>
      <c r="M202" s="141"/>
      <c r="N202" s="141"/>
      <c r="O202" s="141"/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41"/>
      <c r="AS202" s="141"/>
      <c r="AT202" s="141"/>
    </row>
    <row r="203" spans="2:46" s="132" customFormat="1">
      <c r="B203" s="131"/>
      <c r="C203" s="131"/>
      <c r="F203" s="141"/>
      <c r="G203" s="141"/>
      <c r="H203" s="141"/>
      <c r="I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  <c r="AJ203" s="141"/>
      <c r="AK203" s="141"/>
      <c r="AL203" s="141"/>
      <c r="AM203" s="141"/>
      <c r="AN203" s="141"/>
      <c r="AO203" s="141"/>
      <c r="AP203" s="141"/>
      <c r="AQ203" s="141"/>
      <c r="AR203" s="141"/>
      <c r="AS203" s="141"/>
      <c r="AT203" s="141"/>
    </row>
    <row r="204" spans="2:46" s="132" customFormat="1">
      <c r="B204" s="131"/>
      <c r="C204" s="131"/>
      <c r="F204" s="141"/>
      <c r="G204" s="141"/>
      <c r="H204" s="141"/>
      <c r="I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41"/>
      <c r="AS204" s="141"/>
      <c r="AT204" s="141"/>
    </row>
    <row r="205" spans="2:46" s="132" customFormat="1">
      <c r="B205" s="131"/>
      <c r="C205" s="131"/>
      <c r="F205" s="141"/>
      <c r="G205" s="141"/>
      <c r="H205" s="141"/>
      <c r="I205" s="141"/>
      <c r="K205" s="141"/>
      <c r="L205" s="141"/>
      <c r="M205" s="141"/>
      <c r="N205" s="141"/>
      <c r="O205" s="141"/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41"/>
      <c r="AS205" s="141"/>
      <c r="AT205" s="141"/>
    </row>
    <row r="206" spans="2:46" s="132" customFormat="1">
      <c r="B206" s="131"/>
      <c r="C206" s="131"/>
      <c r="F206" s="141"/>
      <c r="G206" s="141"/>
      <c r="H206" s="141"/>
      <c r="I206" s="141"/>
      <c r="K206" s="141"/>
      <c r="L206" s="141"/>
      <c r="M206" s="141"/>
      <c r="N206" s="141"/>
      <c r="O206" s="141"/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</row>
    <row r="207" spans="2:46" s="132" customFormat="1">
      <c r="B207" s="131"/>
      <c r="C207" s="131"/>
      <c r="F207" s="141"/>
      <c r="G207" s="141"/>
      <c r="H207" s="141"/>
      <c r="I207" s="141"/>
      <c r="K207" s="141"/>
      <c r="L207" s="141"/>
      <c r="M207" s="141"/>
      <c r="N207" s="141"/>
      <c r="O207" s="141"/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</row>
    <row r="208" spans="2:46" s="132" customFormat="1">
      <c r="B208" s="131"/>
      <c r="C208" s="131"/>
      <c r="F208" s="141"/>
      <c r="G208" s="141"/>
      <c r="H208" s="141"/>
      <c r="I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</row>
    <row r="209" spans="2:46" s="132" customFormat="1">
      <c r="B209" s="131"/>
      <c r="C209" s="131"/>
      <c r="F209" s="141"/>
      <c r="G209" s="141"/>
      <c r="H209" s="141"/>
      <c r="I209" s="141"/>
      <c r="K209" s="141"/>
      <c r="L209" s="141"/>
      <c r="M209" s="141"/>
      <c r="N209" s="141"/>
      <c r="O209" s="141"/>
      <c r="P209" s="141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  <c r="AJ209" s="141"/>
      <c r="AK209" s="141"/>
      <c r="AL209" s="141"/>
      <c r="AM209" s="141"/>
      <c r="AN209" s="141"/>
      <c r="AO209" s="141"/>
      <c r="AP209" s="141"/>
      <c r="AQ209" s="141"/>
      <c r="AR209" s="141"/>
      <c r="AS209" s="141"/>
      <c r="AT209" s="141"/>
    </row>
    <row r="210" spans="2:46" s="132" customFormat="1">
      <c r="B210" s="131"/>
      <c r="C210" s="131"/>
      <c r="F210" s="141"/>
      <c r="G210" s="141"/>
      <c r="H210" s="141"/>
      <c r="I210" s="141"/>
      <c r="K210" s="141"/>
      <c r="L210" s="141"/>
      <c r="M210" s="141"/>
      <c r="N210" s="141"/>
      <c r="O210" s="141"/>
      <c r="P210" s="141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  <c r="AJ210" s="141"/>
      <c r="AK210" s="141"/>
      <c r="AL210" s="141"/>
      <c r="AM210" s="141"/>
      <c r="AN210" s="141"/>
      <c r="AO210" s="141"/>
      <c r="AP210" s="141"/>
      <c r="AQ210" s="141"/>
      <c r="AR210" s="141"/>
      <c r="AS210" s="141"/>
      <c r="AT210" s="141"/>
    </row>
    <row r="211" spans="2:46" s="132" customFormat="1">
      <c r="B211" s="131"/>
      <c r="C211" s="131"/>
      <c r="F211" s="141"/>
      <c r="G211" s="141"/>
      <c r="H211" s="141"/>
      <c r="I211" s="141"/>
      <c r="K211" s="141"/>
      <c r="L211" s="141"/>
      <c r="M211" s="141"/>
      <c r="N211" s="141"/>
      <c r="O211" s="141"/>
      <c r="P211" s="141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  <c r="AJ211" s="141"/>
      <c r="AK211" s="141"/>
      <c r="AL211" s="141"/>
      <c r="AM211" s="141"/>
      <c r="AN211" s="141"/>
      <c r="AO211" s="141"/>
      <c r="AP211" s="141"/>
      <c r="AQ211" s="141"/>
      <c r="AR211" s="141"/>
      <c r="AS211" s="141"/>
      <c r="AT211" s="141"/>
    </row>
    <row r="212" spans="2:46" s="132" customFormat="1">
      <c r="B212" s="131"/>
      <c r="C212" s="131"/>
      <c r="F212" s="141"/>
      <c r="G212" s="141"/>
      <c r="H212" s="141"/>
      <c r="I212" s="141"/>
      <c r="K212" s="141"/>
      <c r="L212" s="141"/>
      <c r="M212" s="141"/>
      <c r="N212" s="141"/>
      <c r="O212" s="141"/>
      <c r="P212" s="141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  <c r="AJ212" s="141"/>
      <c r="AK212" s="141"/>
      <c r="AL212" s="141"/>
      <c r="AM212" s="141"/>
      <c r="AN212" s="141"/>
      <c r="AO212" s="141"/>
      <c r="AP212" s="141"/>
      <c r="AQ212" s="141"/>
      <c r="AR212" s="141"/>
      <c r="AS212" s="141"/>
      <c r="AT212" s="141"/>
    </row>
    <row r="213" spans="2:46" s="132" customFormat="1">
      <c r="B213" s="131"/>
      <c r="C213" s="131"/>
      <c r="F213" s="141"/>
      <c r="G213" s="141"/>
      <c r="H213" s="141"/>
      <c r="I213" s="141"/>
      <c r="K213" s="141"/>
      <c r="L213" s="141"/>
      <c r="M213" s="141"/>
      <c r="N213" s="141"/>
      <c r="O213" s="141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  <c r="AJ213" s="141"/>
      <c r="AK213" s="141"/>
      <c r="AL213" s="141"/>
      <c r="AM213" s="141"/>
      <c r="AN213" s="141"/>
      <c r="AO213" s="141"/>
      <c r="AP213" s="141"/>
      <c r="AQ213" s="141"/>
      <c r="AR213" s="141"/>
      <c r="AS213" s="141"/>
      <c r="AT213" s="141"/>
    </row>
    <row r="214" spans="2:46" s="132" customFormat="1">
      <c r="B214" s="131"/>
      <c r="C214" s="131"/>
      <c r="F214" s="141"/>
      <c r="G214" s="141"/>
      <c r="H214" s="141"/>
      <c r="I214" s="141"/>
      <c r="K214" s="141"/>
      <c r="L214" s="141"/>
      <c r="M214" s="141"/>
      <c r="N214" s="141"/>
      <c r="O214" s="141"/>
      <c r="P214" s="141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  <c r="AJ214" s="141"/>
      <c r="AK214" s="141"/>
      <c r="AL214" s="141"/>
      <c r="AM214" s="141"/>
      <c r="AN214" s="141"/>
      <c r="AO214" s="141"/>
      <c r="AP214" s="141"/>
      <c r="AQ214" s="141"/>
      <c r="AR214" s="141"/>
      <c r="AS214" s="141"/>
      <c r="AT214" s="141"/>
    </row>
    <row r="215" spans="2:46" s="132" customFormat="1">
      <c r="B215" s="131"/>
      <c r="C215" s="131"/>
      <c r="F215" s="141"/>
      <c r="G215" s="141"/>
      <c r="H215" s="141"/>
      <c r="I215" s="141"/>
      <c r="K215" s="141"/>
      <c r="L215" s="141"/>
      <c r="M215" s="141"/>
      <c r="N215" s="141"/>
      <c r="O215" s="141"/>
      <c r="P215" s="141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  <c r="AJ215" s="141"/>
      <c r="AK215" s="141"/>
      <c r="AL215" s="141"/>
      <c r="AM215" s="141"/>
      <c r="AN215" s="141"/>
      <c r="AO215" s="141"/>
      <c r="AP215" s="141"/>
      <c r="AQ215" s="141"/>
      <c r="AR215" s="141"/>
      <c r="AS215" s="141"/>
      <c r="AT215" s="141"/>
    </row>
    <row r="216" spans="2:46" s="132" customFormat="1">
      <c r="B216" s="131"/>
      <c r="C216" s="131"/>
      <c r="F216" s="141"/>
      <c r="G216" s="141"/>
      <c r="H216" s="141"/>
      <c r="I216" s="141"/>
      <c r="K216" s="141"/>
      <c r="L216" s="141"/>
      <c r="M216" s="141"/>
      <c r="N216" s="141"/>
      <c r="O216" s="141"/>
      <c r="P216" s="141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  <c r="AJ216" s="141"/>
      <c r="AK216" s="141"/>
      <c r="AL216" s="141"/>
      <c r="AM216" s="141"/>
      <c r="AN216" s="141"/>
      <c r="AO216" s="141"/>
      <c r="AP216" s="141"/>
      <c r="AQ216" s="141"/>
      <c r="AR216" s="141"/>
      <c r="AS216" s="141"/>
      <c r="AT216" s="141"/>
    </row>
    <row r="217" spans="2:46" s="132" customFormat="1">
      <c r="B217" s="131"/>
      <c r="C217" s="131"/>
      <c r="F217" s="141"/>
      <c r="G217" s="141"/>
      <c r="H217" s="141"/>
      <c r="I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  <c r="AJ217" s="141"/>
      <c r="AK217" s="141"/>
      <c r="AL217" s="141"/>
      <c r="AM217" s="141"/>
      <c r="AN217" s="141"/>
      <c r="AO217" s="141"/>
      <c r="AP217" s="141"/>
      <c r="AQ217" s="141"/>
      <c r="AR217" s="141"/>
      <c r="AS217" s="141"/>
      <c r="AT217" s="141"/>
    </row>
    <row r="218" spans="2:46" s="132" customFormat="1">
      <c r="B218" s="131"/>
      <c r="C218" s="131"/>
      <c r="F218" s="141"/>
      <c r="G218" s="141"/>
      <c r="H218" s="141"/>
      <c r="I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  <c r="AJ218" s="141"/>
      <c r="AK218" s="141"/>
      <c r="AL218" s="141"/>
      <c r="AM218" s="141"/>
      <c r="AN218" s="141"/>
      <c r="AO218" s="141"/>
      <c r="AP218" s="141"/>
      <c r="AQ218" s="141"/>
      <c r="AR218" s="141"/>
      <c r="AS218" s="141"/>
      <c r="AT218" s="141"/>
    </row>
    <row r="219" spans="2:46" s="132" customFormat="1">
      <c r="B219" s="131"/>
      <c r="C219" s="131"/>
      <c r="F219" s="141"/>
      <c r="G219" s="141"/>
      <c r="H219" s="141"/>
      <c r="I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  <c r="AP219" s="141"/>
      <c r="AQ219" s="141"/>
      <c r="AR219" s="141"/>
      <c r="AS219" s="141"/>
      <c r="AT219" s="141"/>
    </row>
    <row r="220" spans="2:46" s="132" customFormat="1">
      <c r="B220" s="131"/>
      <c r="C220" s="131"/>
      <c r="F220" s="141"/>
      <c r="G220" s="141"/>
      <c r="H220" s="141"/>
      <c r="I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  <c r="AJ220" s="141"/>
      <c r="AK220" s="141"/>
      <c r="AL220" s="141"/>
      <c r="AM220" s="141"/>
      <c r="AN220" s="141"/>
      <c r="AO220" s="141"/>
      <c r="AP220" s="141"/>
      <c r="AQ220" s="141"/>
      <c r="AR220" s="141"/>
      <c r="AS220" s="141"/>
      <c r="AT220" s="141"/>
    </row>
    <row r="221" spans="2:46" s="132" customFormat="1">
      <c r="B221" s="131"/>
      <c r="C221" s="131"/>
      <c r="F221" s="141"/>
      <c r="G221" s="141"/>
      <c r="H221" s="141"/>
      <c r="I221" s="141"/>
      <c r="K221" s="141"/>
      <c r="L221" s="141"/>
      <c r="M221" s="141"/>
      <c r="N221" s="141"/>
      <c r="O221" s="141"/>
      <c r="P221" s="141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  <c r="AJ221" s="141"/>
      <c r="AK221" s="141"/>
      <c r="AL221" s="141"/>
      <c r="AM221" s="141"/>
      <c r="AN221" s="141"/>
      <c r="AO221" s="141"/>
      <c r="AP221" s="141"/>
      <c r="AQ221" s="141"/>
      <c r="AR221" s="141"/>
      <c r="AS221" s="141"/>
      <c r="AT221" s="141"/>
    </row>
    <row r="222" spans="2:46" s="132" customFormat="1">
      <c r="B222" s="131"/>
      <c r="C222" s="131"/>
      <c r="F222" s="141"/>
      <c r="G222" s="141"/>
      <c r="H222" s="141"/>
      <c r="I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  <c r="AJ222" s="141"/>
      <c r="AK222" s="141"/>
      <c r="AL222" s="141"/>
      <c r="AM222" s="141"/>
      <c r="AN222" s="141"/>
      <c r="AO222" s="141"/>
      <c r="AP222" s="141"/>
      <c r="AQ222" s="141"/>
      <c r="AR222" s="141"/>
      <c r="AS222" s="141"/>
      <c r="AT222" s="141"/>
    </row>
    <row r="223" spans="2:46" s="132" customFormat="1">
      <c r="B223" s="131"/>
      <c r="C223" s="131"/>
      <c r="F223" s="141"/>
      <c r="G223" s="141"/>
      <c r="H223" s="141"/>
      <c r="I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  <c r="AJ223" s="141"/>
      <c r="AK223" s="141"/>
      <c r="AL223" s="141"/>
      <c r="AM223" s="141"/>
      <c r="AN223" s="141"/>
      <c r="AO223" s="141"/>
      <c r="AP223" s="141"/>
      <c r="AQ223" s="141"/>
      <c r="AR223" s="141"/>
      <c r="AS223" s="141"/>
      <c r="AT223" s="141"/>
    </row>
    <row r="224" spans="2:46" s="132" customFormat="1">
      <c r="B224" s="131"/>
      <c r="C224" s="131"/>
      <c r="F224" s="141"/>
      <c r="G224" s="141"/>
      <c r="H224" s="141"/>
      <c r="I224" s="141"/>
      <c r="K224" s="141"/>
      <c r="L224" s="141"/>
      <c r="M224" s="141"/>
      <c r="N224" s="141"/>
      <c r="O224" s="141"/>
      <c r="P224" s="141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  <c r="AJ224" s="141"/>
      <c r="AK224" s="141"/>
      <c r="AL224" s="141"/>
      <c r="AM224" s="141"/>
      <c r="AN224" s="141"/>
      <c r="AO224" s="141"/>
      <c r="AP224" s="141"/>
      <c r="AQ224" s="141"/>
      <c r="AR224" s="141"/>
      <c r="AS224" s="141"/>
      <c r="AT224" s="141"/>
    </row>
    <row r="225" spans="2:46" s="132" customFormat="1">
      <c r="B225" s="131"/>
      <c r="C225" s="131"/>
      <c r="F225" s="141"/>
      <c r="G225" s="141"/>
      <c r="H225" s="141"/>
      <c r="I225" s="141"/>
      <c r="K225" s="141"/>
      <c r="L225" s="141"/>
      <c r="M225" s="141"/>
      <c r="N225" s="141"/>
      <c r="O225" s="141"/>
      <c r="P225" s="141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  <c r="AJ225" s="141"/>
      <c r="AK225" s="141"/>
      <c r="AL225" s="141"/>
      <c r="AM225" s="141"/>
      <c r="AN225" s="141"/>
      <c r="AO225" s="141"/>
      <c r="AP225" s="141"/>
      <c r="AQ225" s="141"/>
      <c r="AR225" s="141"/>
      <c r="AS225" s="141"/>
      <c r="AT225" s="141"/>
    </row>
    <row r="226" spans="2:46" s="132" customFormat="1">
      <c r="B226" s="131"/>
      <c r="C226" s="131"/>
      <c r="F226" s="141"/>
      <c r="G226" s="141"/>
      <c r="H226" s="141"/>
      <c r="I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  <c r="AJ226" s="141"/>
      <c r="AK226" s="141"/>
      <c r="AL226" s="141"/>
      <c r="AM226" s="141"/>
      <c r="AN226" s="141"/>
      <c r="AO226" s="141"/>
      <c r="AP226" s="141"/>
      <c r="AQ226" s="141"/>
      <c r="AR226" s="141"/>
      <c r="AS226" s="141"/>
      <c r="AT226" s="141"/>
    </row>
    <row r="227" spans="2:46" s="132" customFormat="1">
      <c r="B227" s="131"/>
      <c r="C227" s="131"/>
      <c r="F227" s="141"/>
      <c r="G227" s="141"/>
      <c r="H227" s="141"/>
      <c r="I227" s="141"/>
      <c r="K227" s="141"/>
      <c r="L227" s="141"/>
      <c r="M227" s="141"/>
      <c r="N227" s="141"/>
      <c r="O227" s="141"/>
      <c r="P227" s="141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  <c r="AJ227" s="141"/>
      <c r="AK227" s="141"/>
      <c r="AL227" s="141"/>
      <c r="AM227" s="141"/>
      <c r="AN227" s="141"/>
      <c r="AO227" s="141"/>
      <c r="AP227" s="141"/>
      <c r="AQ227" s="141"/>
      <c r="AR227" s="141"/>
      <c r="AS227" s="141"/>
      <c r="AT227" s="141"/>
    </row>
    <row r="228" spans="2:46" s="132" customFormat="1">
      <c r="B228" s="131"/>
      <c r="C228" s="131"/>
      <c r="F228" s="141"/>
      <c r="G228" s="141"/>
      <c r="H228" s="141"/>
      <c r="I228" s="141"/>
      <c r="K228" s="141"/>
      <c r="L228" s="141"/>
      <c r="M228" s="141"/>
      <c r="N228" s="141"/>
      <c r="O228" s="141"/>
      <c r="P228" s="141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  <c r="AJ228" s="141"/>
      <c r="AK228" s="141"/>
      <c r="AL228" s="141"/>
      <c r="AM228" s="141"/>
      <c r="AN228" s="141"/>
      <c r="AO228" s="141"/>
      <c r="AP228" s="141"/>
      <c r="AQ228" s="141"/>
      <c r="AR228" s="141"/>
      <c r="AS228" s="141"/>
      <c r="AT228" s="141"/>
    </row>
    <row r="229" spans="2:46" s="132" customFormat="1">
      <c r="B229" s="131"/>
      <c r="C229" s="131"/>
      <c r="F229" s="141"/>
      <c r="G229" s="141"/>
      <c r="H229" s="141"/>
      <c r="I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  <c r="AJ229" s="141"/>
      <c r="AK229" s="141"/>
      <c r="AL229" s="141"/>
      <c r="AM229" s="141"/>
      <c r="AN229" s="141"/>
      <c r="AO229" s="141"/>
      <c r="AP229" s="141"/>
      <c r="AQ229" s="141"/>
      <c r="AR229" s="141"/>
      <c r="AS229" s="141"/>
      <c r="AT229" s="141"/>
    </row>
    <row r="230" spans="2:46" s="132" customFormat="1">
      <c r="B230" s="131"/>
      <c r="C230" s="131"/>
      <c r="F230" s="141"/>
      <c r="G230" s="141"/>
      <c r="H230" s="141"/>
      <c r="I230" s="141"/>
      <c r="K230" s="141"/>
      <c r="L230" s="141"/>
      <c r="M230" s="141"/>
      <c r="N230" s="141"/>
      <c r="O230" s="141"/>
      <c r="P230" s="141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  <c r="AJ230" s="141"/>
      <c r="AK230" s="141"/>
      <c r="AL230" s="141"/>
      <c r="AM230" s="141"/>
      <c r="AN230" s="141"/>
      <c r="AO230" s="141"/>
      <c r="AP230" s="141"/>
      <c r="AQ230" s="141"/>
      <c r="AR230" s="141"/>
      <c r="AS230" s="141"/>
      <c r="AT230" s="141"/>
    </row>
    <row r="231" spans="2:46" s="132" customFormat="1">
      <c r="B231" s="131"/>
      <c r="C231" s="131"/>
      <c r="F231" s="141"/>
      <c r="G231" s="141"/>
      <c r="H231" s="141"/>
      <c r="I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  <c r="AJ231" s="141"/>
      <c r="AK231" s="141"/>
      <c r="AL231" s="141"/>
      <c r="AM231" s="141"/>
      <c r="AN231" s="141"/>
      <c r="AO231" s="141"/>
      <c r="AP231" s="141"/>
      <c r="AQ231" s="141"/>
      <c r="AR231" s="141"/>
      <c r="AS231" s="141"/>
      <c r="AT231" s="141"/>
    </row>
    <row r="232" spans="2:46" s="132" customFormat="1">
      <c r="B232" s="131"/>
      <c r="C232" s="131"/>
      <c r="F232" s="141"/>
      <c r="G232" s="141"/>
      <c r="H232" s="141"/>
      <c r="I232" s="141"/>
      <c r="K232" s="141"/>
      <c r="L232" s="141"/>
      <c r="M232" s="141"/>
      <c r="N232" s="141"/>
      <c r="O232" s="141"/>
      <c r="P232" s="141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  <c r="AJ232" s="141"/>
      <c r="AK232" s="141"/>
      <c r="AL232" s="141"/>
      <c r="AM232" s="141"/>
      <c r="AN232" s="141"/>
      <c r="AO232" s="141"/>
      <c r="AP232" s="141"/>
      <c r="AQ232" s="141"/>
      <c r="AR232" s="141"/>
      <c r="AS232" s="141"/>
      <c r="AT232" s="141"/>
    </row>
    <row r="233" spans="2:46" s="132" customFormat="1">
      <c r="B233" s="131"/>
      <c r="C233" s="131"/>
      <c r="F233" s="141"/>
      <c r="G233" s="141"/>
      <c r="H233" s="141"/>
      <c r="I233" s="141"/>
      <c r="K233" s="141"/>
      <c r="L233" s="141"/>
      <c r="M233" s="141"/>
      <c r="N233" s="141"/>
      <c r="O233" s="141"/>
      <c r="P233" s="141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  <c r="AJ233" s="141"/>
      <c r="AK233" s="141"/>
      <c r="AL233" s="141"/>
      <c r="AM233" s="141"/>
      <c r="AN233" s="141"/>
      <c r="AO233" s="141"/>
      <c r="AP233" s="141"/>
      <c r="AQ233" s="141"/>
      <c r="AR233" s="141"/>
      <c r="AS233" s="141"/>
      <c r="AT233" s="141"/>
    </row>
    <row r="234" spans="2:46" s="132" customFormat="1">
      <c r="B234" s="131"/>
      <c r="C234" s="131"/>
      <c r="F234" s="141"/>
      <c r="G234" s="141"/>
      <c r="H234" s="141"/>
      <c r="I234" s="141"/>
      <c r="K234" s="141"/>
      <c r="L234" s="141"/>
      <c r="M234" s="141"/>
      <c r="N234" s="141"/>
      <c r="O234" s="141"/>
      <c r="P234" s="141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  <c r="AJ234" s="141"/>
      <c r="AK234" s="141"/>
      <c r="AL234" s="141"/>
      <c r="AM234" s="141"/>
      <c r="AN234" s="141"/>
      <c r="AO234" s="141"/>
      <c r="AP234" s="141"/>
      <c r="AQ234" s="141"/>
      <c r="AR234" s="141"/>
      <c r="AS234" s="141"/>
      <c r="AT234" s="141"/>
    </row>
    <row r="235" spans="2:46" s="132" customFormat="1">
      <c r="B235" s="131"/>
      <c r="C235" s="131"/>
      <c r="F235" s="141"/>
      <c r="G235" s="141"/>
      <c r="H235" s="141"/>
      <c r="I235" s="141"/>
      <c r="K235" s="141"/>
      <c r="L235" s="141"/>
      <c r="M235" s="141"/>
      <c r="N235" s="141"/>
      <c r="O235" s="141"/>
      <c r="P235" s="141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  <c r="AJ235" s="141"/>
      <c r="AK235" s="141"/>
      <c r="AL235" s="141"/>
      <c r="AM235" s="141"/>
      <c r="AN235" s="141"/>
      <c r="AO235" s="141"/>
      <c r="AP235" s="141"/>
      <c r="AQ235" s="141"/>
      <c r="AR235" s="141"/>
      <c r="AS235" s="141"/>
      <c r="AT235" s="141"/>
    </row>
    <row r="236" spans="2:46" s="132" customFormat="1">
      <c r="B236" s="131"/>
      <c r="C236" s="131"/>
      <c r="F236" s="141"/>
      <c r="G236" s="141"/>
      <c r="H236" s="141"/>
      <c r="I236" s="141"/>
      <c r="K236" s="141"/>
      <c r="L236" s="141"/>
      <c r="M236" s="141"/>
      <c r="N236" s="141"/>
      <c r="O236" s="141"/>
      <c r="P236" s="141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  <c r="AJ236" s="141"/>
      <c r="AK236" s="141"/>
      <c r="AL236" s="141"/>
      <c r="AM236" s="141"/>
      <c r="AN236" s="141"/>
      <c r="AO236" s="141"/>
      <c r="AP236" s="141"/>
      <c r="AQ236" s="141"/>
      <c r="AR236" s="141"/>
      <c r="AS236" s="141"/>
      <c r="AT236" s="141"/>
    </row>
    <row r="237" spans="2:46" s="132" customFormat="1">
      <c r="B237" s="131"/>
      <c r="C237" s="131"/>
      <c r="F237" s="141"/>
      <c r="G237" s="141"/>
      <c r="H237" s="141"/>
      <c r="I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  <c r="AJ237" s="141"/>
      <c r="AK237" s="141"/>
      <c r="AL237" s="141"/>
      <c r="AM237" s="141"/>
      <c r="AN237" s="141"/>
      <c r="AO237" s="141"/>
      <c r="AP237" s="141"/>
      <c r="AQ237" s="141"/>
      <c r="AR237" s="141"/>
      <c r="AS237" s="141"/>
      <c r="AT237" s="141"/>
    </row>
    <row r="238" spans="2:46" s="132" customFormat="1">
      <c r="B238" s="131"/>
      <c r="C238" s="131"/>
      <c r="F238" s="141"/>
      <c r="G238" s="141"/>
      <c r="H238" s="141"/>
      <c r="I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  <c r="AJ238" s="141"/>
      <c r="AK238" s="141"/>
      <c r="AL238" s="141"/>
      <c r="AM238" s="141"/>
      <c r="AN238" s="141"/>
      <c r="AO238" s="141"/>
      <c r="AP238" s="141"/>
      <c r="AQ238" s="141"/>
      <c r="AR238" s="141"/>
      <c r="AS238" s="141"/>
      <c r="AT238" s="141"/>
    </row>
    <row r="239" spans="2:46" s="132" customFormat="1">
      <c r="B239" s="131"/>
      <c r="C239" s="131"/>
      <c r="F239" s="141"/>
      <c r="G239" s="141"/>
      <c r="H239" s="141"/>
      <c r="I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  <c r="AJ239" s="141"/>
      <c r="AK239" s="141"/>
      <c r="AL239" s="141"/>
      <c r="AM239" s="141"/>
      <c r="AN239" s="141"/>
      <c r="AO239" s="141"/>
      <c r="AP239" s="141"/>
      <c r="AQ239" s="141"/>
      <c r="AR239" s="141"/>
      <c r="AS239" s="141"/>
      <c r="AT239" s="141"/>
    </row>
    <row r="240" spans="2:46" s="132" customFormat="1">
      <c r="B240" s="131"/>
      <c r="C240" s="131"/>
      <c r="F240" s="141"/>
      <c r="G240" s="141"/>
      <c r="H240" s="141"/>
      <c r="I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141"/>
      <c r="AM240" s="141"/>
      <c r="AN240" s="141"/>
      <c r="AO240" s="141"/>
      <c r="AP240" s="141"/>
      <c r="AQ240" s="141"/>
      <c r="AR240" s="141"/>
      <c r="AS240" s="141"/>
      <c r="AT240" s="141"/>
    </row>
    <row r="241" spans="2:46" s="132" customFormat="1">
      <c r="B241" s="131"/>
      <c r="C241" s="131"/>
      <c r="F241" s="141"/>
      <c r="G241" s="141"/>
      <c r="H241" s="141"/>
      <c r="I241" s="141"/>
      <c r="K241" s="141"/>
      <c r="L241" s="141"/>
      <c r="M241" s="141"/>
      <c r="N241" s="141"/>
      <c r="O241" s="141"/>
      <c r="P241" s="141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  <c r="AJ241" s="141"/>
      <c r="AK241" s="141"/>
      <c r="AL241" s="141"/>
      <c r="AM241" s="141"/>
      <c r="AN241" s="141"/>
      <c r="AO241" s="141"/>
      <c r="AP241" s="141"/>
      <c r="AQ241" s="141"/>
      <c r="AR241" s="141"/>
      <c r="AS241" s="141"/>
      <c r="AT241" s="141"/>
    </row>
    <row r="242" spans="2:46" s="132" customFormat="1">
      <c r="B242" s="131"/>
      <c r="C242" s="131"/>
      <c r="F242" s="141"/>
      <c r="G242" s="141"/>
      <c r="H242" s="141"/>
      <c r="I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  <c r="AJ242" s="141"/>
      <c r="AK242" s="141"/>
      <c r="AL242" s="141"/>
      <c r="AM242" s="141"/>
      <c r="AN242" s="141"/>
      <c r="AO242" s="141"/>
      <c r="AP242" s="141"/>
      <c r="AQ242" s="141"/>
      <c r="AR242" s="141"/>
      <c r="AS242" s="141"/>
      <c r="AT242" s="141"/>
    </row>
    <row r="243" spans="2:46" s="132" customFormat="1">
      <c r="B243" s="131"/>
      <c r="C243" s="131"/>
      <c r="F243" s="141"/>
      <c r="G243" s="141"/>
      <c r="H243" s="141"/>
      <c r="I243" s="141"/>
      <c r="K243" s="141"/>
      <c r="L243" s="141"/>
      <c r="M243" s="141"/>
      <c r="N243" s="141"/>
      <c r="O243" s="141"/>
      <c r="P243" s="141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  <c r="AJ243" s="141"/>
      <c r="AK243" s="141"/>
      <c r="AL243" s="141"/>
      <c r="AM243" s="141"/>
      <c r="AN243" s="141"/>
      <c r="AO243" s="141"/>
      <c r="AP243" s="141"/>
      <c r="AQ243" s="141"/>
      <c r="AR243" s="141"/>
      <c r="AS243" s="141"/>
      <c r="AT243" s="141"/>
    </row>
    <row r="244" spans="2:46" s="132" customFormat="1">
      <c r="B244" s="131"/>
      <c r="C244" s="131"/>
      <c r="F244" s="141"/>
      <c r="G244" s="141"/>
      <c r="H244" s="141"/>
      <c r="I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  <c r="AJ244" s="141"/>
      <c r="AK244" s="141"/>
      <c r="AL244" s="141"/>
      <c r="AM244" s="141"/>
      <c r="AN244" s="141"/>
      <c r="AO244" s="141"/>
      <c r="AP244" s="141"/>
      <c r="AQ244" s="141"/>
      <c r="AR244" s="141"/>
      <c r="AS244" s="141"/>
      <c r="AT244" s="141"/>
    </row>
    <row r="245" spans="2:46" s="132" customFormat="1">
      <c r="B245" s="131"/>
      <c r="C245" s="131"/>
      <c r="F245" s="141"/>
      <c r="G245" s="141"/>
      <c r="H245" s="141"/>
      <c r="I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  <c r="AJ245" s="141"/>
      <c r="AK245" s="141"/>
      <c r="AL245" s="141"/>
      <c r="AM245" s="141"/>
      <c r="AN245" s="141"/>
      <c r="AO245" s="141"/>
      <c r="AP245" s="141"/>
      <c r="AQ245" s="141"/>
      <c r="AR245" s="141"/>
      <c r="AS245" s="141"/>
      <c r="AT245" s="141"/>
    </row>
    <row r="246" spans="2:46" s="132" customFormat="1">
      <c r="B246" s="131"/>
      <c r="C246" s="131"/>
      <c r="F246" s="141"/>
      <c r="G246" s="141"/>
      <c r="H246" s="141"/>
      <c r="I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  <c r="AJ246" s="141"/>
      <c r="AK246" s="141"/>
      <c r="AL246" s="141"/>
      <c r="AM246" s="141"/>
      <c r="AN246" s="141"/>
      <c r="AO246" s="141"/>
      <c r="AP246" s="141"/>
      <c r="AQ246" s="141"/>
      <c r="AR246" s="141"/>
      <c r="AS246" s="141"/>
      <c r="AT246" s="141"/>
    </row>
    <row r="247" spans="2:46" s="132" customFormat="1">
      <c r="B247" s="131"/>
      <c r="C247" s="131"/>
      <c r="F247" s="141"/>
      <c r="G247" s="141"/>
      <c r="H247" s="141"/>
      <c r="I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  <c r="AJ247" s="141"/>
      <c r="AK247" s="141"/>
      <c r="AL247" s="141"/>
      <c r="AM247" s="141"/>
      <c r="AN247" s="141"/>
      <c r="AO247" s="141"/>
      <c r="AP247" s="141"/>
      <c r="AQ247" s="141"/>
      <c r="AR247" s="141"/>
      <c r="AS247" s="141"/>
      <c r="AT247" s="141"/>
    </row>
    <row r="248" spans="2:46" s="132" customFormat="1">
      <c r="B248" s="131"/>
      <c r="C248" s="131"/>
      <c r="F248" s="141"/>
      <c r="G248" s="141"/>
      <c r="H248" s="141"/>
      <c r="I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  <c r="AJ248" s="141"/>
      <c r="AK248" s="141"/>
      <c r="AL248" s="141"/>
      <c r="AM248" s="141"/>
      <c r="AN248" s="141"/>
      <c r="AO248" s="141"/>
      <c r="AP248" s="141"/>
      <c r="AQ248" s="141"/>
      <c r="AR248" s="141"/>
      <c r="AS248" s="141"/>
      <c r="AT248" s="141"/>
    </row>
    <row r="249" spans="2:46" s="132" customFormat="1">
      <c r="B249" s="131"/>
      <c r="C249" s="131"/>
      <c r="F249" s="141"/>
      <c r="G249" s="141"/>
      <c r="H249" s="141"/>
      <c r="I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  <c r="AJ249" s="141"/>
      <c r="AK249" s="141"/>
      <c r="AL249" s="141"/>
      <c r="AM249" s="141"/>
      <c r="AN249" s="141"/>
      <c r="AO249" s="141"/>
      <c r="AP249" s="141"/>
      <c r="AQ249" s="141"/>
      <c r="AR249" s="141"/>
      <c r="AS249" s="141"/>
      <c r="AT249" s="141"/>
    </row>
    <row r="250" spans="2:46" s="132" customFormat="1">
      <c r="B250" s="131"/>
      <c r="C250" s="131"/>
      <c r="F250" s="141"/>
      <c r="G250" s="141"/>
      <c r="H250" s="141"/>
      <c r="I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  <c r="AJ250" s="141"/>
      <c r="AK250" s="141"/>
      <c r="AL250" s="141"/>
      <c r="AM250" s="141"/>
      <c r="AN250" s="141"/>
      <c r="AO250" s="141"/>
      <c r="AP250" s="141"/>
      <c r="AQ250" s="141"/>
      <c r="AR250" s="141"/>
      <c r="AS250" s="141"/>
      <c r="AT250" s="141"/>
    </row>
    <row r="251" spans="2:46" s="132" customFormat="1">
      <c r="B251" s="131"/>
      <c r="C251" s="131"/>
      <c r="F251" s="141"/>
      <c r="G251" s="141"/>
      <c r="H251" s="141"/>
      <c r="I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  <c r="AJ251" s="141"/>
      <c r="AK251" s="141"/>
      <c r="AL251" s="141"/>
      <c r="AM251" s="141"/>
      <c r="AN251" s="141"/>
      <c r="AO251" s="141"/>
      <c r="AP251" s="141"/>
      <c r="AQ251" s="141"/>
      <c r="AR251" s="141"/>
      <c r="AS251" s="141"/>
      <c r="AT251" s="141"/>
    </row>
    <row r="252" spans="2:46" s="132" customFormat="1">
      <c r="B252" s="131"/>
      <c r="C252" s="131"/>
      <c r="F252" s="141"/>
      <c r="G252" s="141"/>
      <c r="H252" s="141"/>
      <c r="I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  <c r="AJ252" s="141"/>
      <c r="AK252" s="141"/>
      <c r="AL252" s="141"/>
      <c r="AM252" s="141"/>
      <c r="AN252" s="141"/>
      <c r="AO252" s="141"/>
      <c r="AP252" s="141"/>
      <c r="AQ252" s="141"/>
      <c r="AR252" s="141"/>
      <c r="AS252" s="141"/>
      <c r="AT252" s="141"/>
    </row>
    <row r="253" spans="2:46" s="132" customFormat="1">
      <c r="B253" s="131"/>
      <c r="C253" s="131"/>
      <c r="F253" s="141"/>
      <c r="G253" s="141"/>
      <c r="H253" s="141"/>
      <c r="I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  <c r="AP253" s="141"/>
      <c r="AQ253" s="141"/>
      <c r="AR253" s="141"/>
      <c r="AS253" s="141"/>
      <c r="AT253" s="141"/>
    </row>
    <row r="254" spans="2:46" s="132" customFormat="1">
      <c r="B254" s="131"/>
      <c r="C254" s="131"/>
      <c r="F254" s="141"/>
      <c r="G254" s="141"/>
      <c r="H254" s="141"/>
      <c r="I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  <c r="AP254" s="141"/>
      <c r="AQ254" s="141"/>
      <c r="AR254" s="141"/>
      <c r="AS254" s="141"/>
      <c r="AT254" s="141"/>
    </row>
    <row r="255" spans="2:46" s="132" customFormat="1">
      <c r="B255" s="131"/>
      <c r="C255" s="131"/>
      <c r="F255" s="141"/>
      <c r="G255" s="141"/>
      <c r="H255" s="141"/>
      <c r="I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  <c r="AP255" s="141"/>
      <c r="AQ255" s="141"/>
      <c r="AR255" s="141"/>
      <c r="AS255" s="141"/>
      <c r="AT255" s="141"/>
    </row>
    <row r="256" spans="2:46" s="132" customFormat="1">
      <c r="B256" s="131"/>
      <c r="C256" s="131"/>
      <c r="F256" s="141"/>
      <c r="G256" s="141"/>
      <c r="H256" s="141"/>
      <c r="I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  <c r="AP256" s="141"/>
      <c r="AQ256" s="141"/>
      <c r="AR256" s="141"/>
      <c r="AS256" s="141"/>
      <c r="AT256" s="141"/>
    </row>
    <row r="257" spans="2:46" s="132" customFormat="1">
      <c r="B257" s="131"/>
      <c r="C257" s="131"/>
      <c r="F257" s="141"/>
      <c r="G257" s="141"/>
      <c r="H257" s="141"/>
      <c r="I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  <c r="AP257" s="141"/>
      <c r="AQ257" s="141"/>
      <c r="AR257" s="141"/>
      <c r="AS257" s="141"/>
      <c r="AT257" s="141"/>
    </row>
    <row r="258" spans="2:46" s="132" customFormat="1">
      <c r="B258" s="131"/>
      <c r="C258" s="131"/>
      <c r="F258" s="141"/>
      <c r="G258" s="141"/>
      <c r="H258" s="141"/>
      <c r="I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  <c r="AP258" s="141"/>
      <c r="AQ258" s="141"/>
      <c r="AR258" s="141"/>
      <c r="AS258" s="141"/>
      <c r="AT258" s="141"/>
    </row>
    <row r="259" spans="2:46" s="132" customFormat="1">
      <c r="B259" s="131"/>
      <c r="C259" s="131"/>
      <c r="F259" s="141"/>
      <c r="G259" s="141"/>
      <c r="H259" s="141"/>
      <c r="I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  <c r="AP259" s="141"/>
      <c r="AQ259" s="141"/>
      <c r="AR259" s="141"/>
      <c r="AS259" s="141"/>
      <c r="AT259" s="141"/>
    </row>
    <row r="260" spans="2:46" s="132" customFormat="1">
      <c r="B260" s="131"/>
      <c r="C260" s="131"/>
      <c r="F260" s="141"/>
      <c r="G260" s="141"/>
      <c r="H260" s="141"/>
      <c r="I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  <c r="AP260" s="141"/>
      <c r="AQ260" s="141"/>
      <c r="AR260" s="141"/>
      <c r="AS260" s="141"/>
      <c r="AT260" s="141"/>
    </row>
    <row r="261" spans="2:46" s="132" customFormat="1">
      <c r="B261" s="131"/>
      <c r="C261" s="131"/>
      <c r="F261" s="141"/>
      <c r="G261" s="141"/>
      <c r="H261" s="141"/>
      <c r="I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  <c r="AP261" s="141"/>
      <c r="AQ261" s="141"/>
      <c r="AR261" s="141"/>
      <c r="AS261" s="141"/>
      <c r="AT261" s="141"/>
    </row>
    <row r="262" spans="2:46" s="132" customFormat="1">
      <c r="B262" s="131"/>
      <c r="C262" s="131"/>
      <c r="F262" s="141"/>
      <c r="G262" s="141"/>
      <c r="H262" s="141"/>
      <c r="I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  <c r="AP262" s="141"/>
      <c r="AQ262" s="141"/>
      <c r="AR262" s="141"/>
      <c r="AS262" s="141"/>
      <c r="AT262" s="141"/>
    </row>
    <row r="263" spans="2:46">
      <c r="F263" s="3"/>
      <c r="G263" s="3"/>
      <c r="H263" s="3"/>
      <c r="I263" s="3"/>
    </row>
    <row r="264" spans="2:46">
      <c r="F264" s="3"/>
      <c r="G264" s="3"/>
      <c r="H264" s="3"/>
      <c r="I264" s="3"/>
    </row>
    <row r="265" spans="2:46">
      <c r="F265" s="3"/>
      <c r="G265" s="3"/>
      <c r="H265" s="3"/>
      <c r="I265" s="3"/>
    </row>
    <row r="266" spans="2:46">
      <c r="F266" s="3"/>
      <c r="G266" s="3"/>
      <c r="H266" s="3"/>
      <c r="I266" s="3"/>
    </row>
    <row r="267" spans="2:46">
      <c r="F267" s="3"/>
      <c r="G267" s="3"/>
      <c r="H267" s="3"/>
      <c r="I267" s="3"/>
    </row>
    <row r="268" spans="2:46">
      <c r="F268" s="3"/>
      <c r="G268" s="3"/>
      <c r="H268" s="3"/>
      <c r="I268" s="3"/>
    </row>
    <row r="269" spans="2:46">
      <c r="F269" s="3"/>
      <c r="G269" s="3"/>
      <c r="H269" s="3"/>
      <c r="I269" s="3"/>
    </row>
    <row r="270" spans="2:46">
      <c r="F270" s="3"/>
      <c r="G270" s="3"/>
      <c r="H270" s="3"/>
      <c r="I270" s="3"/>
    </row>
    <row r="271" spans="2:46">
      <c r="F271" s="3"/>
      <c r="G271" s="3"/>
      <c r="H271" s="3"/>
      <c r="I271" s="3"/>
    </row>
    <row r="272" spans="2:46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50:J1048576 X28:XFD29 E10:E12 K1:XFD27 K30:XFD1048576 K28:V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185</v>
      </c>
      <c r="C1" s="78" t="s" vm="1">
        <v>273</v>
      </c>
    </row>
    <row r="2" spans="2:60">
      <c r="B2" s="57" t="s">
        <v>184</v>
      </c>
      <c r="C2" s="78" t="s">
        <v>274</v>
      </c>
    </row>
    <row r="3" spans="2:60">
      <c r="B3" s="57" t="s">
        <v>186</v>
      </c>
      <c r="C3" s="78" t="s">
        <v>275</v>
      </c>
    </row>
    <row r="4" spans="2:60">
      <c r="B4" s="57" t="s">
        <v>187</v>
      </c>
      <c r="C4" s="78">
        <v>2102</v>
      </c>
    </row>
    <row r="6" spans="2:60" ht="26.25" customHeight="1">
      <c r="B6" s="181" t="s">
        <v>220</v>
      </c>
      <c r="C6" s="182"/>
      <c r="D6" s="182"/>
      <c r="E6" s="182"/>
      <c r="F6" s="182"/>
      <c r="G6" s="182"/>
      <c r="H6" s="182"/>
      <c r="I6" s="182"/>
      <c r="J6" s="182"/>
      <c r="K6" s="183"/>
    </row>
    <row r="7" spans="2:60" s="3" customFormat="1" ht="66">
      <c r="B7" s="60" t="s">
        <v>124</v>
      </c>
      <c r="C7" s="60" t="s">
        <v>125</v>
      </c>
      <c r="D7" s="60" t="s">
        <v>15</v>
      </c>
      <c r="E7" s="60" t="s">
        <v>16</v>
      </c>
      <c r="F7" s="60" t="s">
        <v>62</v>
      </c>
      <c r="G7" s="60" t="s">
        <v>109</v>
      </c>
      <c r="H7" s="60" t="s">
        <v>58</v>
      </c>
      <c r="I7" s="60" t="s">
        <v>118</v>
      </c>
      <c r="J7" s="60" t="s">
        <v>188</v>
      </c>
      <c r="K7" s="60" t="s">
        <v>189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252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4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4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0" sqref="H10:H12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8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185</v>
      </c>
      <c r="C1" s="78" t="s" vm="1">
        <v>273</v>
      </c>
    </row>
    <row r="2" spans="2:60">
      <c r="B2" s="57" t="s">
        <v>184</v>
      </c>
      <c r="C2" s="78" t="s">
        <v>274</v>
      </c>
    </row>
    <row r="3" spans="2:60">
      <c r="B3" s="57" t="s">
        <v>186</v>
      </c>
      <c r="C3" s="78" t="s">
        <v>275</v>
      </c>
    </row>
    <row r="4" spans="2:60">
      <c r="B4" s="57" t="s">
        <v>187</v>
      </c>
      <c r="C4" s="78">
        <v>2102</v>
      </c>
    </row>
    <row r="6" spans="2:60" ht="26.25" customHeight="1">
      <c r="B6" s="181" t="s">
        <v>221</v>
      </c>
      <c r="C6" s="182"/>
      <c r="D6" s="182"/>
      <c r="E6" s="182"/>
      <c r="F6" s="182"/>
      <c r="G6" s="182"/>
      <c r="H6" s="182"/>
      <c r="I6" s="182"/>
      <c r="J6" s="182"/>
      <c r="K6" s="183"/>
    </row>
    <row r="7" spans="2:60" s="3" customFormat="1" ht="63">
      <c r="B7" s="60" t="s">
        <v>124</v>
      </c>
      <c r="C7" s="62" t="s">
        <v>49</v>
      </c>
      <c r="D7" s="62" t="s">
        <v>15</v>
      </c>
      <c r="E7" s="62" t="s">
        <v>16</v>
      </c>
      <c r="F7" s="62" t="s">
        <v>62</v>
      </c>
      <c r="G7" s="62" t="s">
        <v>109</v>
      </c>
      <c r="H7" s="62" t="s">
        <v>58</v>
      </c>
      <c r="I7" s="62" t="s">
        <v>118</v>
      </c>
      <c r="J7" s="62" t="s">
        <v>188</v>
      </c>
      <c r="K7" s="64" t="s">
        <v>189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252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8" t="s">
        <v>61</v>
      </c>
      <c r="C10" s="124"/>
      <c r="D10" s="124"/>
      <c r="E10" s="124"/>
      <c r="F10" s="124"/>
      <c r="G10" s="124"/>
      <c r="H10" s="126">
        <v>0</v>
      </c>
      <c r="I10" s="125">
        <v>296.43127746299996</v>
      </c>
      <c r="J10" s="126">
        <f>I10/$I$10</f>
        <v>1</v>
      </c>
      <c r="K10" s="126">
        <f>I10/'סכום נכסי הקרן'!$C$42</f>
        <v>5.1015549309787324E-6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9" t="s">
        <v>243</v>
      </c>
      <c r="C11" s="124"/>
      <c r="D11" s="124"/>
      <c r="E11" s="124"/>
      <c r="F11" s="124"/>
      <c r="G11" s="124"/>
      <c r="H11" s="126">
        <v>0</v>
      </c>
      <c r="I11" s="125">
        <v>296.43127746299996</v>
      </c>
      <c r="J11" s="126">
        <f t="shared" ref="J11:J12" si="0">I11/$I$10</f>
        <v>1</v>
      </c>
      <c r="K11" s="126">
        <f>I11/'סכום נכסי הקרן'!$C$42</f>
        <v>5.1015549309787324E-6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2934</v>
      </c>
      <c r="C12" s="84" t="s">
        <v>2935</v>
      </c>
      <c r="D12" s="84" t="s">
        <v>716</v>
      </c>
      <c r="E12" s="84" t="s">
        <v>361</v>
      </c>
      <c r="F12" s="98">
        <v>0</v>
      </c>
      <c r="G12" s="97" t="s">
        <v>170</v>
      </c>
      <c r="H12" s="95">
        <v>0</v>
      </c>
      <c r="I12" s="94">
        <v>296.43127746299996</v>
      </c>
      <c r="J12" s="95">
        <f t="shared" si="0"/>
        <v>1</v>
      </c>
      <c r="K12" s="95">
        <f>I12/'סכום נכסי הקרן'!$C$42</f>
        <v>5.1015549309787324E-6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4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4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AL174"/>
  <sheetViews>
    <sheetView rightToLeft="1" topLeftCell="A169" workbookViewId="0">
      <selection activeCell="E1" sqref="E1:M1048576"/>
    </sheetView>
  </sheetViews>
  <sheetFormatPr defaultColWidth="9.140625" defaultRowHeight="18"/>
  <cols>
    <col min="1" max="1" width="6.28515625" style="1" customWidth="1"/>
    <col min="2" max="2" width="38.42578125" style="2" bestFit="1" customWidth="1"/>
    <col min="3" max="3" width="48.42578125" style="1" bestFit="1" customWidth="1"/>
    <col min="4" max="4" width="11.85546875" style="1" customWidth="1"/>
    <col min="5" max="5" width="6.140625" style="3" customWidth="1"/>
    <col min="6" max="7" width="5.7109375" style="3" customWidth="1"/>
    <col min="8" max="8" width="6.85546875" style="3" customWidth="1"/>
    <col min="9" max="9" width="6.42578125" style="1" customWidth="1"/>
    <col min="10" max="10" width="6.7109375" style="1" customWidth="1"/>
    <col min="11" max="11" width="7.28515625" style="1" customWidth="1"/>
    <col min="12" max="23" width="5.7109375" style="1" customWidth="1"/>
    <col min="24" max="16384" width="9.140625" style="1"/>
  </cols>
  <sheetData>
    <row r="1" spans="2:38">
      <c r="B1" s="57" t="s">
        <v>185</v>
      </c>
      <c r="C1" s="78" t="s" vm="1">
        <v>273</v>
      </c>
    </row>
    <row r="2" spans="2:38">
      <c r="B2" s="57" t="s">
        <v>184</v>
      </c>
      <c r="C2" s="78" t="s">
        <v>274</v>
      </c>
    </row>
    <row r="3" spans="2:38">
      <c r="B3" s="57" t="s">
        <v>186</v>
      </c>
      <c r="C3" s="78" t="s">
        <v>275</v>
      </c>
    </row>
    <row r="4" spans="2:38">
      <c r="B4" s="57" t="s">
        <v>187</v>
      </c>
      <c r="C4" s="78">
        <v>2102</v>
      </c>
    </row>
    <row r="6" spans="2:38" ht="26.25" customHeight="1">
      <c r="B6" s="181" t="s">
        <v>222</v>
      </c>
      <c r="C6" s="182"/>
      <c r="D6" s="183"/>
    </row>
    <row r="7" spans="2:38" s="3" customFormat="1" ht="47.25">
      <c r="B7" s="60" t="s">
        <v>124</v>
      </c>
      <c r="C7" s="65" t="s">
        <v>115</v>
      </c>
      <c r="D7" s="66" t="s">
        <v>114</v>
      </c>
    </row>
    <row r="8" spans="2:38" s="3" customFormat="1">
      <c r="B8" s="16"/>
      <c r="C8" s="33" t="s">
        <v>252</v>
      </c>
      <c r="D8" s="18" t="s">
        <v>22</v>
      </c>
    </row>
    <row r="9" spans="2:38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</row>
    <row r="10" spans="2:38" s="4" customFormat="1" ht="18" customHeight="1">
      <c r="B10" s="106" t="s">
        <v>3034</v>
      </c>
      <c r="C10" s="130">
        <f>C11+C49</f>
        <v>4518335.7426134925</v>
      </c>
      <c r="D10" s="101"/>
      <c r="E10" s="3"/>
      <c r="F10" s="3"/>
      <c r="G10" s="3"/>
      <c r="H10" s="3"/>
    </row>
    <row r="11" spans="2:38">
      <c r="B11" s="106" t="s">
        <v>28</v>
      </c>
      <c r="C11" s="130">
        <f>SUM(C12:C47)</f>
        <v>763345.78473945253</v>
      </c>
      <c r="D11" s="101"/>
    </row>
    <row r="12" spans="2:38" s="132" customFormat="1">
      <c r="B12" s="101" t="s">
        <v>2941</v>
      </c>
      <c r="C12" s="149">
        <v>18393.651832320003</v>
      </c>
      <c r="D12" s="150">
        <v>45640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</row>
    <row r="13" spans="2:38" s="132" customFormat="1">
      <c r="B13" s="101" t="s">
        <v>2948</v>
      </c>
      <c r="C13" s="149">
        <v>5518.2779209067985</v>
      </c>
      <c r="D13" s="150">
        <v>44440</v>
      </c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</row>
    <row r="14" spans="2:38" s="132" customFormat="1">
      <c r="B14" s="101" t="s">
        <v>2943</v>
      </c>
      <c r="C14" s="149">
        <v>4213.4950699999999</v>
      </c>
      <c r="D14" s="150">
        <v>44516</v>
      </c>
      <c r="E14" s="141"/>
      <c r="F14" s="141"/>
      <c r="G14" s="141"/>
      <c r="H14" s="141"/>
    </row>
    <row r="15" spans="2:38" s="132" customFormat="1">
      <c r="B15" s="101" t="s">
        <v>2944</v>
      </c>
      <c r="C15" s="149">
        <v>711.78825999999935</v>
      </c>
      <c r="D15" s="150">
        <v>44196</v>
      </c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</row>
    <row r="16" spans="2:38" s="132" customFormat="1">
      <c r="B16" s="101" t="s">
        <v>3006</v>
      </c>
      <c r="C16" s="149">
        <v>9000.0067320983144</v>
      </c>
      <c r="D16" s="150">
        <v>47467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</row>
    <row r="17" spans="2:8" s="132" customFormat="1">
      <c r="B17" s="101" t="s">
        <v>2979</v>
      </c>
      <c r="C17" s="149">
        <v>24627.14015616</v>
      </c>
      <c r="D17" s="150">
        <v>46054</v>
      </c>
      <c r="E17" s="141"/>
      <c r="F17" s="141"/>
      <c r="G17" s="141"/>
      <c r="H17" s="141"/>
    </row>
    <row r="18" spans="2:8" s="132" customFormat="1">
      <c r="B18" s="101" t="s">
        <v>2233</v>
      </c>
      <c r="C18" s="149">
        <v>1565.9896319999993</v>
      </c>
      <c r="D18" s="150">
        <v>44196</v>
      </c>
      <c r="E18" s="141"/>
      <c r="F18" s="141"/>
      <c r="G18" s="141"/>
      <c r="H18" s="141"/>
    </row>
    <row r="19" spans="2:8" s="132" customFormat="1">
      <c r="B19" s="101" t="s">
        <v>2234</v>
      </c>
      <c r="C19" s="149">
        <v>1799.5530240000005</v>
      </c>
      <c r="D19" s="150">
        <v>44196</v>
      </c>
      <c r="E19" s="141"/>
      <c r="F19" s="141"/>
      <c r="G19" s="141"/>
      <c r="H19" s="141"/>
    </row>
    <row r="20" spans="2:8" s="132" customFormat="1">
      <c r="B20" s="101" t="s">
        <v>2952</v>
      </c>
      <c r="C20" s="149">
        <v>2505.6</v>
      </c>
      <c r="D20" s="150">
        <v>43883</v>
      </c>
      <c r="E20" s="141"/>
      <c r="F20" s="141"/>
      <c r="G20" s="141"/>
      <c r="H20" s="141"/>
    </row>
    <row r="21" spans="2:8" s="132" customFormat="1">
      <c r="B21" s="101" t="s">
        <v>2953</v>
      </c>
      <c r="C21" s="149">
        <v>466.54970112000007</v>
      </c>
      <c r="D21" s="150">
        <v>44738</v>
      </c>
      <c r="E21" s="141"/>
      <c r="F21" s="141"/>
      <c r="G21" s="141"/>
      <c r="H21" s="141"/>
    </row>
    <row r="22" spans="2:8" s="132" customFormat="1">
      <c r="B22" s="101" t="s">
        <v>3007</v>
      </c>
      <c r="C22" s="149">
        <v>1626.06621</v>
      </c>
      <c r="D22" s="150">
        <v>44498</v>
      </c>
      <c r="E22" s="141"/>
      <c r="F22" s="141"/>
      <c r="G22" s="141"/>
      <c r="H22" s="141"/>
    </row>
    <row r="23" spans="2:8" s="132" customFormat="1">
      <c r="B23" s="101" t="s">
        <v>3035</v>
      </c>
      <c r="C23" s="149">
        <v>36603.121981704127</v>
      </c>
      <c r="D23" s="150">
        <v>44255</v>
      </c>
      <c r="E23" s="141"/>
      <c r="F23" s="141"/>
      <c r="G23" s="141"/>
      <c r="H23" s="141"/>
    </row>
    <row r="24" spans="2:8" s="132" customFormat="1">
      <c r="B24" s="101" t="s">
        <v>2240</v>
      </c>
      <c r="C24" s="149">
        <v>37497.704647680002</v>
      </c>
      <c r="D24" s="150">
        <v>47209</v>
      </c>
      <c r="E24" s="141"/>
      <c r="F24" s="141"/>
      <c r="G24" s="141"/>
      <c r="H24" s="141"/>
    </row>
    <row r="25" spans="2:8" s="132" customFormat="1">
      <c r="B25" s="101" t="s">
        <v>3036</v>
      </c>
      <c r="C25" s="149">
        <v>27559.8063</v>
      </c>
      <c r="D25" s="150">
        <v>44821</v>
      </c>
      <c r="E25" s="141"/>
      <c r="F25" s="141"/>
      <c r="G25" s="141"/>
      <c r="H25" s="141"/>
    </row>
    <row r="26" spans="2:8" s="132" customFormat="1">
      <c r="B26" s="101" t="s">
        <v>2983</v>
      </c>
      <c r="C26" s="149">
        <v>426.66831999999886</v>
      </c>
      <c r="D26" s="150">
        <v>45534</v>
      </c>
      <c r="E26" s="141"/>
      <c r="F26" s="141"/>
      <c r="G26" s="141"/>
      <c r="H26" s="141"/>
    </row>
    <row r="27" spans="2:8" s="132" customFormat="1">
      <c r="B27" s="101" t="s">
        <v>2942</v>
      </c>
      <c r="C27" s="149">
        <v>13326.09996</v>
      </c>
      <c r="D27" s="150">
        <v>45534</v>
      </c>
      <c r="E27" s="141"/>
      <c r="F27" s="141"/>
      <c r="G27" s="141"/>
      <c r="H27" s="141"/>
    </row>
    <row r="28" spans="2:8" s="132" customFormat="1">
      <c r="B28" s="101" t="s">
        <v>2982</v>
      </c>
      <c r="C28" s="149">
        <v>18868.463677383254</v>
      </c>
      <c r="D28" s="150">
        <v>46132</v>
      </c>
      <c r="E28" s="141"/>
      <c r="F28" s="141"/>
      <c r="G28" s="141"/>
      <c r="H28" s="141"/>
    </row>
    <row r="29" spans="2:8" s="132" customFormat="1">
      <c r="B29" s="101" t="s">
        <v>2962</v>
      </c>
      <c r="C29" s="149">
        <v>174.18240000000046</v>
      </c>
      <c r="D29" s="150">
        <v>44290</v>
      </c>
      <c r="E29" s="141"/>
      <c r="F29" s="141"/>
      <c r="G29" s="141"/>
      <c r="H29" s="141"/>
    </row>
    <row r="30" spans="2:8" s="132" customFormat="1">
      <c r="B30" s="101" t="s">
        <v>2963</v>
      </c>
      <c r="C30" s="149">
        <v>11477.031379999997</v>
      </c>
      <c r="D30" s="150">
        <v>44727</v>
      </c>
      <c r="E30" s="141"/>
      <c r="F30" s="141"/>
      <c r="G30" s="141"/>
      <c r="H30" s="141"/>
    </row>
    <row r="31" spans="2:8" s="132" customFormat="1">
      <c r="B31" s="101" t="s">
        <v>2967</v>
      </c>
      <c r="C31" s="149">
        <v>134.63884800000005</v>
      </c>
      <c r="D31" s="150">
        <v>43861</v>
      </c>
      <c r="E31" s="141"/>
      <c r="F31" s="141"/>
      <c r="G31" s="141"/>
      <c r="H31" s="141"/>
    </row>
    <row r="32" spans="2:8" s="132" customFormat="1">
      <c r="B32" s="101" t="s">
        <v>2969</v>
      </c>
      <c r="C32" s="149">
        <v>623.73542400000008</v>
      </c>
      <c r="D32" s="150">
        <v>44012</v>
      </c>
      <c r="E32" s="141"/>
      <c r="F32" s="141"/>
      <c r="G32" s="141"/>
      <c r="H32" s="141"/>
    </row>
    <row r="33" spans="2:8" s="132" customFormat="1">
      <c r="B33" s="101" t="s">
        <v>2970</v>
      </c>
      <c r="C33" s="149">
        <v>4374.1762560000006</v>
      </c>
      <c r="D33" s="150">
        <v>44012</v>
      </c>
      <c r="E33" s="141"/>
      <c r="F33" s="141"/>
      <c r="G33" s="141"/>
      <c r="H33" s="141"/>
    </row>
    <row r="34" spans="2:8" s="132" customFormat="1">
      <c r="B34" s="101" t="s">
        <v>2991</v>
      </c>
      <c r="C34" s="149">
        <v>23490.472504320001</v>
      </c>
      <c r="D34" s="150">
        <v>46752</v>
      </c>
      <c r="E34" s="141"/>
      <c r="F34" s="141"/>
      <c r="G34" s="141"/>
      <c r="H34" s="141"/>
    </row>
    <row r="35" spans="2:8" s="132" customFormat="1">
      <c r="B35" s="101" t="s">
        <v>3002</v>
      </c>
      <c r="C35" s="149">
        <v>30350.351893658313</v>
      </c>
      <c r="D35" s="150">
        <v>46631</v>
      </c>
      <c r="E35" s="141"/>
      <c r="F35" s="141"/>
      <c r="G35" s="141"/>
      <c r="H35" s="141"/>
    </row>
    <row r="36" spans="2:8" s="132" customFormat="1">
      <c r="B36" s="101" t="s">
        <v>2972</v>
      </c>
      <c r="C36" s="149">
        <v>47.786112000000777</v>
      </c>
      <c r="D36" s="150">
        <v>44927</v>
      </c>
      <c r="E36" s="141"/>
      <c r="F36" s="141"/>
      <c r="G36" s="141"/>
      <c r="H36" s="141"/>
    </row>
    <row r="37" spans="2:8" s="132" customFormat="1">
      <c r="B37" s="101" t="s">
        <v>2973</v>
      </c>
      <c r="C37" s="149">
        <v>3522.3793920000012</v>
      </c>
      <c r="D37" s="150">
        <v>45255</v>
      </c>
      <c r="E37" s="141"/>
      <c r="F37" s="141"/>
      <c r="G37" s="141"/>
      <c r="H37" s="141"/>
    </row>
    <row r="38" spans="2:8" s="132" customFormat="1">
      <c r="B38" s="101" t="s">
        <v>2267</v>
      </c>
      <c r="C38" s="149">
        <v>23535.730966435953</v>
      </c>
      <c r="D38" s="150">
        <v>48214</v>
      </c>
      <c r="E38" s="141"/>
      <c r="F38" s="141"/>
      <c r="G38" s="141"/>
      <c r="H38" s="141"/>
    </row>
    <row r="39" spans="2:8" s="132" customFormat="1">
      <c r="B39" s="101" t="s">
        <v>2256</v>
      </c>
      <c r="C39" s="149">
        <v>135628.68179</v>
      </c>
      <c r="D39" s="150">
        <v>46661</v>
      </c>
      <c r="E39" s="141"/>
      <c r="F39" s="141"/>
      <c r="G39" s="141"/>
      <c r="H39" s="141"/>
    </row>
    <row r="40" spans="2:8" s="132" customFormat="1">
      <c r="B40" s="101" t="s">
        <v>3037</v>
      </c>
      <c r="C40" s="149">
        <v>140534.14723608541</v>
      </c>
      <c r="D40" s="150">
        <v>44545</v>
      </c>
      <c r="E40" s="141"/>
      <c r="F40" s="141"/>
      <c r="G40" s="141"/>
      <c r="H40" s="141"/>
    </row>
    <row r="41" spans="2:8" s="132" customFormat="1">
      <c r="B41" s="101" t="s">
        <v>3038</v>
      </c>
      <c r="C41" s="149">
        <v>28054.98731042747</v>
      </c>
      <c r="D41" s="150">
        <v>44561</v>
      </c>
      <c r="E41" s="141"/>
      <c r="F41" s="141"/>
      <c r="G41" s="141"/>
      <c r="H41" s="141"/>
    </row>
    <row r="42" spans="2:8" s="132" customFormat="1">
      <c r="B42" s="101" t="s">
        <v>3146</v>
      </c>
      <c r="C42" s="149">
        <v>11650.324563451173</v>
      </c>
      <c r="D42" s="150">
        <v>44196</v>
      </c>
      <c r="E42" s="141"/>
      <c r="F42" s="141"/>
      <c r="G42" s="141"/>
      <c r="H42" s="141"/>
    </row>
    <row r="43" spans="2:8" s="132" customFormat="1">
      <c r="B43" s="101" t="s">
        <v>3039</v>
      </c>
      <c r="C43" s="149">
        <v>31129.480734698613</v>
      </c>
      <c r="D43" s="150">
        <v>45107</v>
      </c>
      <c r="E43" s="141"/>
      <c r="F43" s="141"/>
      <c r="G43" s="141"/>
      <c r="H43" s="141"/>
    </row>
    <row r="44" spans="2:8" s="132" customFormat="1">
      <c r="B44" s="101" t="s">
        <v>3040</v>
      </c>
      <c r="C44" s="149">
        <v>8250.938830000001</v>
      </c>
      <c r="D44" s="150">
        <v>44246</v>
      </c>
      <c r="E44" s="141"/>
      <c r="F44" s="141"/>
      <c r="G44" s="141"/>
      <c r="H44" s="141"/>
    </row>
    <row r="45" spans="2:8" s="132" customFormat="1">
      <c r="B45" s="101" t="s">
        <v>3041</v>
      </c>
      <c r="C45" s="149">
        <v>79959.474607456301</v>
      </c>
      <c r="D45" s="150">
        <v>46100</v>
      </c>
      <c r="E45" s="141"/>
      <c r="F45" s="141"/>
      <c r="G45" s="141"/>
      <c r="H45" s="141"/>
    </row>
    <row r="46" spans="2:8" s="132" customFormat="1">
      <c r="B46" s="101" t="s">
        <v>3042</v>
      </c>
      <c r="C46" s="149">
        <v>6154.315335546723</v>
      </c>
      <c r="D46" s="150">
        <v>44926</v>
      </c>
      <c r="E46" s="141"/>
      <c r="F46" s="141"/>
      <c r="G46" s="141"/>
      <c r="H46" s="141"/>
    </row>
    <row r="47" spans="2:8" s="132" customFormat="1">
      <c r="B47" s="101" t="s">
        <v>3043</v>
      </c>
      <c r="C47" s="149">
        <v>19542.96573</v>
      </c>
      <c r="D47" s="150">
        <v>44739</v>
      </c>
      <c r="E47" s="141"/>
      <c r="F47" s="141"/>
      <c r="G47" s="141"/>
      <c r="H47" s="141"/>
    </row>
    <row r="48" spans="2:8" s="132" customFormat="1">
      <c r="B48" s="101"/>
      <c r="C48" s="101"/>
      <c r="D48" s="101"/>
      <c r="E48" s="141"/>
      <c r="F48" s="141"/>
      <c r="G48" s="141"/>
      <c r="H48" s="141"/>
    </row>
    <row r="49" spans="2:8" s="132" customFormat="1">
      <c r="B49" s="106" t="s">
        <v>3044</v>
      </c>
      <c r="C49" s="125">
        <f>SUM(C50:C174)</f>
        <v>3754989.9578740401</v>
      </c>
      <c r="D49" s="101"/>
      <c r="E49" s="141"/>
      <c r="F49" s="141"/>
      <c r="G49" s="141"/>
      <c r="H49" s="141"/>
    </row>
    <row r="50" spans="2:8" s="132" customFormat="1">
      <c r="B50" s="101" t="s">
        <v>3009</v>
      </c>
      <c r="C50" s="149">
        <v>49698.524553724943</v>
      </c>
      <c r="D50" s="150">
        <v>45778</v>
      </c>
      <c r="E50" s="141"/>
      <c r="F50" s="141"/>
      <c r="G50" s="141"/>
      <c r="H50" s="141"/>
    </row>
    <row r="51" spans="2:8" s="132" customFormat="1">
      <c r="B51" s="101" t="s">
        <v>3015</v>
      </c>
      <c r="C51" s="149">
        <v>84579.153099953866</v>
      </c>
      <c r="D51" s="150">
        <v>46326</v>
      </c>
      <c r="E51" s="141"/>
      <c r="F51" s="141"/>
      <c r="G51" s="141"/>
      <c r="H51" s="141"/>
    </row>
    <row r="52" spans="2:8" s="132" customFormat="1">
      <c r="B52" s="101" t="s">
        <v>3016</v>
      </c>
      <c r="C52" s="149">
        <v>46434.999241527832</v>
      </c>
      <c r="D52" s="150">
        <v>46326</v>
      </c>
      <c r="E52" s="141"/>
      <c r="F52" s="141"/>
      <c r="G52" s="141"/>
      <c r="H52" s="141"/>
    </row>
    <row r="53" spans="2:8" s="132" customFormat="1">
      <c r="B53" s="101" t="s">
        <v>2980</v>
      </c>
      <c r="C53" s="149">
        <v>3752.1572589760071</v>
      </c>
      <c r="D53" s="150">
        <v>46054</v>
      </c>
      <c r="E53" s="141"/>
      <c r="F53" s="141"/>
      <c r="G53" s="141"/>
      <c r="H53" s="141"/>
    </row>
    <row r="54" spans="2:8" s="132" customFormat="1">
      <c r="B54" s="101" t="s">
        <v>2286</v>
      </c>
      <c r="C54" s="149">
        <v>36506.136464217998</v>
      </c>
      <c r="D54" s="150">
        <v>47270</v>
      </c>
      <c r="E54" s="141"/>
      <c r="F54" s="141"/>
      <c r="G54" s="141"/>
      <c r="H54" s="141"/>
    </row>
    <row r="55" spans="2:8" s="132" customFormat="1">
      <c r="B55" s="101" t="s">
        <v>2984</v>
      </c>
      <c r="C55" s="149">
        <v>27784.836166103116</v>
      </c>
      <c r="D55" s="150">
        <v>44429</v>
      </c>
      <c r="E55" s="141"/>
      <c r="F55" s="141"/>
      <c r="G55" s="141"/>
      <c r="H55" s="141"/>
    </row>
    <row r="56" spans="2:8" s="132" customFormat="1">
      <c r="B56" s="101" t="s">
        <v>2290</v>
      </c>
      <c r="C56" s="149">
        <v>67284.66855055216</v>
      </c>
      <c r="D56" s="150">
        <v>46601</v>
      </c>
      <c r="E56" s="141"/>
      <c r="F56" s="141"/>
      <c r="G56" s="141"/>
      <c r="H56" s="141"/>
    </row>
    <row r="57" spans="2:8" s="132" customFormat="1">
      <c r="B57" s="101" t="s">
        <v>3031</v>
      </c>
      <c r="C57" s="149">
        <v>86481.005944320001</v>
      </c>
      <c r="D57" s="150">
        <v>47209</v>
      </c>
      <c r="E57" s="141"/>
      <c r="F57" s="141"/>
      <c r="G57" s="141"/>
      <c r="H57" s="141"/>
    </row>
    <row r="58" spans="2:8" s="132" customFormat="1">
      <c r="B58" s="101" t="s">
        <v>2993</v>
      </c>
      <c r="C58" s="149">
        <v>41180.856427217361</v>
      </c>
      <c r="D58" s="150">
        <v>45382</v>
      </c>
      <c r="E58" s="141"/>
      <c r="F58" s="141"/>
      <c r="G58" s="141"/>
      <c r="H58" s="141"/>
    </row>
    <row r="59" spans="2:8" s="132" customFormat="1">
      <c r="B59" s="101" t="s">
        <v>2945</v>
      </c>
      <c r="C59" s="149">
        <v>1421.9221247999944</v>
      </c>
      <c r="D59" s="150">
        <v>44621</v>
      </c>
      <c r="E59" s="141"/>
      <c r="F59" s="141"/>
      <c r="G59" s="141"/>
      <c r="H59" s="141"/>
    </row>
    <row r="60" spans="2:8" s="132" customFormat="1">
      <c r="B60" s="101" t="s">
        <v>2946</v>
      </c>
      <c r="C60" s="149">
        <v>4.7259745200000003</v>
      </c>
      <c r="D60" s="150">
        <v>43861</v>
      </c>
      <c r="E60" s="141"/>
      <c r="F60" s="141"/>
      <c r="G60" s="141"/>
      <c r="H60" s="141"/>
    </row>
    <row r="61" spans="2:8" s="132" customFormat="1">
      <c r="B61" s="101" t="s">
        <v>2295</v>
      </c>
      <c r="C61" s="149">
        <v>92858.79389664717</v>
      </c>
      <c r="D61" s="150">
        <v>47119</v>
      </c>
      <c r="E61" s="141"/>
      <c r="F61" s="141"/>
      <c r="G61" s="141"/>
      <c r="H61" s="141"/>
    </row>
    <row r="62" spans="2:8" s="132" customFormat="1">
      <c r="B62" s="101" t="s">
        <v>2947</v>
      </c>
      <c r="C62" s="149">
        <v>42.132096000000011</v>
      </c>
      <c r="D62" s="150">
        <v>43861</v>
      </c>
      <c r="E62" s="141"/>
      <c r="F62" s="141"/>
      <c r="G62" s="141"/>
      <c r="H62" s="141"/>
    </row>
    <row r="63" spans="2:8" s="132" customFormat="1">
      <c r="B63" s="101" t="s">
        <v>2950</v>
      </c>
      <c r="C63" s="149">
        <v>10990.467014412592</v>
      </c>
      <c r="D63" s="150">
        <v>45748</v>
      </c>
      <c r="E63" s="141"/>
      <c r="F63" s="141"/>
      <c r="G63" s="141"/>
      <c r="H63" s="141"/>
    </row>
    <row r="64" spans="2:8" s="132" customFormat="1">
      <c r="B64" s="101" t="s">
        <v>2276</v>
      </c>
      <c r="C64" s="149">
        <v>68103.776854168245</v>
      </c>
      <c r="D64" s="150">
        <v>47119</v>
      </c>
      <c r="E64" s="141"/>
      <c r="F64" s="141"/>
      <c r="G64" s="141"/>
      <c r="H64" s="141"/>
    </row>
    <row r="65" spans="2:8" s="132" customFormat="1">
      <c r="B65" s="101" t="s">
        <v>2985</v>
      </c>
      <c r="C65" s="149">
        <v>32446.237766390033</v>
      </c>
      <c r="D65" s="150">
        <v>44722</v>
      </c>
      <c r="E65" s="141"/>
      <c r="F65" s="141"/>
      <c r="G65" s="141"/>
      <c r="H65" s="141"/>
    </row>
    <row r="66" spans="2:8" s="132" customFormat="1">
      <c r="B66" s="101" t="s">
        <v>3047</v>
      </c>
      <c r="C66" s="149">
        <v>18914.21328</v>
      </c>
      <c r="D66" s="150">
        <v>44332</v>
      </c>
      <c r="E66" s="141"/>
      <c r="F66" s="141"/>
      <c r="G66" s="141"/>
      <c r="H66" s="141"/>
    </row>
    <row r="67" spans="2:8" s="132" customFormat="1">
      <c r="B67" s="101" t="s">
        <v>2949</v>
      </c>
      <c r="C67" s="149">
        <v>15331.0359744</v>
      </c>
      <c r="D67" s="150">
        <v>46082</v>
      </c>
      <c r="E67" s="141"/>
      <c r="F67" s="141"/>
      <c r="G67" s="141"/>
      <c r="H67" s="141"/>
    </row>
    <row r="68" spans="2:8" s="132" customFormat="1">
      <c r="B68" s="101" t="s">
        <v>2297</v>
      </c>
      <c r="C68" s="149">
        <v>12168.746380800003</v>
      </c>
      <c r="D68" s="150">
        <v>44727</v>
      </c>
      <c r="E68" s="141"/>
      <c r="F68" s="141"/>
      <c r="G68" s="141"/>
      <c r="H68" s="141"/>
    </row>
    <row r="69" spans="2:8" s="132" customFormat="1">
      <c r="B69" s="101" t="s">
        <v>2298</v>
      </c>
      <c r="C69" s="149">
        <v>107623.56082092199</v>
      </c>
      <c r="D69" s="150">
        <v>47119</v>
      </c>
      <c r="E69" s="141"/>
      <c r="F69" s="141"/>
      <c r="G69" s="141"/>
      <c r="H69" s="141"/>
    </row>
    <row r="70" spans="2:8" s="132" customFormat="1">
      <c r="B70" s="101" t="s">
        <v>3028</v>
      </c>
      <c r="C70" s="149">
        <v>3892.8568204800017</v>
      </c>
      <c r="D70" s="150">
        <v>47119</v>
      </c>
      <c r="E70" s="141"/>
      <c r="F70" s="141"/>
      <c r="G70" s="141"/>
      <c r="H70" s="141"/>
    </row>
    <row r="71" spans="2:8" s="132" customFormat="1">
      <c r="B71" s="101" t="s">
        <v>3045</v>
      </c>
      <c r="C71" s="149">
        <v>93584.62348615106</v>
      </c>
      <c r="D71" s="150">
        <v>46742</v>
      </c>
      <c r="E71" s="141"/>
      <c r="F71" s="141"/>
      <c r="G71" s="141"/>
      <c r="H71" s="141"/>
    </row>
    <row r="72" spans="2:8" s="132" customFormat="1">
      <c r="B72" s="101" t="s">
        <v>2301</v>
      </c>
      <c r="C72" s="149">
        <v>48314.114555986685</v>
      </c>
      <c r="D72" s="150">
        <v>45557</v>
      </c>
      <c r="E72" s="141"/>
      <c r="F72" s="141"/>
      <c r="G72" s="141"/>
      <c r="H72" s="141"/>
    </row>
    <row r="73" spans="2:8" s="132" customFormat="1">
      <c r="B73" s="101" t="s">
        <v>2302</v>
      </c>
      <c r="C73" s="149">
        <v>150.06771071999989</v>
      </c>
      <c r="D73" s="150">
        <v>44196</v>
      </c>
      <c r="E73" s="141"/>
      <c r="F73" s="141"/>
      <c r="G73" s="141"/>
      <c r="H73" s="141"/>
    </row>
    <row r="74" spans="2:8" s="132" customFormat="1">
      <c r="B74" s="101" t="s">
        <v>2306</v>
      </c>
      <c r="C74" s="149">
        <v>114953.94354895789</v>
      </c>
      <c r="D74" s="150">
        <v>50041</v>
      </c>
      <c r="E74" s="141"/>
      <c r="F74" s="141"/>
      <c r="G74" s="141"/>
      <c r="H74" s="141"/>
    </row>
    <row r="75" spans="2:8" s="132" customFormat="1">
      <c r="B75" s="101" t="s">
        <v>2308</v>
      </c>
      <c r="C75" s="149">
        <v>60908.467003419057</v>
      </c>
      <c r="D75" s="150">
        <v>46971</v>
      </c>
      <c r="E75" s="141"/>
      <c r="F75" s="141"/>
      <c r="G75" s="141"/>
      <c r="H75" s="141"/>
    </row>
    <row r="76" spans="2:8" s="132" customFormat="1">
      <c r="B76" s="101" t="s">
        <v>2992</v>
      </c>
      <c r="C76" s="149">
        <v>35676.679902790434</v>
      </c>
      <c r="D76" s="150">
        <v>46012</v>
      </c>
      <c r="E76" s="141"/>
      <c r="F76" s="141"/>
      <c r="G76" s="141"/>
      <c r="H76" s="141"/>
    </row>
    <row r="77" spans="2:8" s="132" customFormat="1">
      <c r="B77" s="101" t="s">
        <v>3020</v>
      </c>
      <c r="C77" s="149">
        <v>763.48081358550814</v>
      </c>
      <c r="D77" s="150">
        <v>46326</v>
      </c>
      <c r="E77" s="141"/>
      <c r="F77" s="141"/>
      <c r="G77" s="141"/>
      <c r="H77" s="141"/>
    </row>
    <row r="78" spans="2:8" s="132" customFormat="1">
      <c r="B78" s="101" t="s">
        <v>3025</v>
      </c>
      <c r="C78" s="149">
        <v>479.753996305508</v>
      </c>
      <c r="D78" s="150">
        <v>46326</v>
      </c>
      <c r="E78" s="141"/>
      <c r="F78" s="141"/>
      <c r="G78" s="141"/>
      <c r="H78" s="141"/>
    </row>
    <row r="79" spans="2:8" s="132" customFormat="1">
      <c r="B79" s="101" t="s">
        <v>3048</v>
      </c>
      <c r="C79" s="149">
        <v>69345.91072</v>
      </c>
      <c r="D79" s="150">
        <v>45615</v>
      </c>
      <c r="E79" s="141"/>
      <c r="F79" s="141"/>
      <c r="G79" s="141"/>
      <c r="H79" s="141"/>
    </row>
    <row r="80" spans="2:8" s="132" customFormat="1">
      <c r="B80" s="101" t="s">
        <v>2313</v>
      </c>
      <c r="C80" s="149">
        <v>11.308562991868829</v>
      </c>
      <c r="D80" s="150">
        <v>43861</v>
      </c>
      <c r="E80" s="141"/>
      <c r="F80" s="141"/>
      <c r="G80" s="141"/>
      <c r="H80" s="141"/>
    </row>
    <row r="81" spans="2:8" s="132" customFormat="1">
      <c r="B81" s="101" t="s">
        <v>2221</v>
      </c>
      <c r="C81" s="149">
        <v>691.2</v>
      </c>
      <c r="D81" s="150">
        <v>43995</v>
      </c>
      <c r="E81" s="141"/>
      <c r="F81" s="141"/>
      <c r="G81" s="141"/>
      <c r="H81" s="141"/>
    </row>
    <row r="82" spans="2:8" s="132" customFormat="1">
      <c r="B82" s="101" t="s">
        <v>2951</v>
      </c>
      <c r="C82" s="149">
        <v>1036.7996728888913</v>
      </c>
      <c r="D82" s="150">
        <v>44474</v>
      </c>
      <c r="E82" s="141"/>
      <c r="F82" s="141"/>
      <c r="G82" s="141"/>
      <c r="H82" s="141"/>
    </row>
    <row r="83" spans="2:8" s="132" customFormat="1">
      <c r="B83" s="101" t="s">
        <v>2955</v>
      </c>
      <c r="C83" s="149">
        <v>691.2</v>
      </c>
      <c r="D83" s="150">
        <v>44013</v>
      </c>
      <c r="E83" s="141"/>
      <c r="F83" s="141"/>
      <c r="G83" s="141"/>
      <c r="H83" s="141"/>
    </row>
    <row r="84" spans="2:8" s="132" customFormat="1">
      <c r="B84" s="101" t="s">
        <v>2956</v>
      </c>
      <c r="C84" s="149">
        <v>1425.5481599999989</v>
      </c>
      <c r="D84" s="150">
        <v>44378</v>
      </c>
      <c r="E84" s="141"/>
      <c r="F84" s="141"/>
      <c r="G84" s="141"/>
      <c r="H84" s="141"/>
    </row>
    <row r="85" spans="2:8" s="132" customFormat="1">
      <c r="B85" s="101" t="s">
        <v>3030</v>
      </c>
      <c r="C85" s="149">
        <v>152742.61383552002</v>
      </c>
      <c r="D85" s="150">
        <v>47392</v>
      </c>
      <c r="E85" s="141"/>
      <c r="F85" s="141"/>
      <c r="G85" s="141"/>
      <c r="H85" s="141"/>
    </row>
    <row r="86" spans="2:8" s="132" customFormat="1">
      <c r="B86" s="101" t="s">
        <v>2954</v>
      </c>
      <c r="C86" s="149">
        <v>177.67582847999918</v>
      </c>
      <c r="D86" s="150">
        <v>44727</v>
      </c>
      <c r="E86" s="141"/>
      <c r="F86" s="141"/>
      <c r="G86" s="141"/>
      <c r="H86" s="141"/>
    </row>
    <row r="87" spans="2:8" s="132" customFormat="1">
      <c r="B87" s="101" t="s">
        <v>2319</v>
      </c>
      <c r="C87" s="149">
        <v>3282.8649359272972</v>
      </c>
      <c r="D87" s="150">
        <v>46199</v>
      </c>
      <c r="E87" s="141"/>
      <c r="F87" s="141"/>
      <c r="G87" s="141"/>
      <c r="H87" s="141"/>
    </row>
    <row r="88" spans="2:8" s="132" customFormat="1">
      <c r="B88" s="101" t="s">
        <v>3049</v>
      </c>
      <c r="C88" s="149">
        <v>56723.044299999994</v>
      </c>
      <c r="D88" s="150">
        <v>46626</v>
      </c>
      <c r="E88" s="141"/>
      <c r="F88" s="141"/>
      <c r="G88" s="141"/>
      <c r="H88" s="141"/>
    </row>
    <row r="89" spans="2:8" s="132" customFormat="1">
      <c r="B89" s="101" t="s">
        <v>2321</v>
      </c>
      <c r="C89" s="149">
        <v>4677.7803609599996</v>
      </c>
      <c r="D89" s="150">
        <v>46998</v>
      </c>
      <c r="E89" s="141"/>
      <c r="F89" s="141"/>
      <c r="G89" s="141"/>
      <c r="H89" s="141"/>
    </row>
    <row r="90" spans="2:8" s="132" customFormat="1">
      <c r="B90" s="101" t="s">
        <v>2987</v>
      </c>
      <c r="C90" s="149">
        <v>17230.824045381556</v>
      </c>
      <c r="D90" s="150">
        <v>47026</v>
      </c>
      <c r="E90" s="141"/>
      <c r="F90" s="141"/>
      <c r="G90" s="141"/>
      <c r="H90" s="141"/>
    </row>
    <row r="91" spans="2:8" s="132" customFormat="1">
      <c r="B91" s="101" t="s">
        <v>3046</v>
      </c>
      <c r="C91" s="149">
        <v>2036.7032266600575</v>
      </c>
      <c r="D91" s="150">
        <v>46663</v>
      </c>
      <c r="E91" s="141"/>
      <c r="F91" s="141"/>
      <c r="G91" s="141"/>
      <c r="H91" s="141"/>
    </row>
    <row r="92" spans="2:8" s="132" customFormat="1">
      <c r="B92" s="101" t="s">
        <v>2325</v>
      </c>
      <c r="C92" s="149">
        <v>320.31217259999943</v>
      </c>
      <c r="D92" s="150">
        <v>44012</v>
      </c>
      <c r="E92" s="141"/>
      <c r="F92" s="141"/>
      <c r="G92" s="141"/>
      <c r="H92" s="141"/>
    </row>
    <row r="93" spans="2:8" s="132" customFormat="1">
      <c r="B93" s="101" t="s">
        <v>3003</v>
      </c>
      <c r="C93" s="149">
        <v>1443.8240409599998</v>
      </c>
      <c r="D93" s="150">
        <v>46938</v>
      </c>
      <c r="E93" s="141"/>
      <c r="F93" s="141"/>
      <c r="G93" s="141"/>
      <c r="H93" s="141"/>
    </row>
    <row r="94" spans="2:8" s="132" customFormat="1">
      <c r="B94" s="101" t="s">
        <v>2995</v>
      </c>
      <c r="C94" s="149">
        <v>9134.5079598879202</v>
      </c>
      <c r="D94" s="150">
        <v>46201</v>
      </c>
      <c r="E94" s="141"/>
      <c r="F94" s="141"/>
      <c r="G94" s="141"/>
      <c r="H94" s="141"/>
    </row>
    <row r="95" spans="2:8" s="132" customFormat="1">
      <c r="B95" s="101" t="s">
        <v>3000</v>
      </c>
      <c r="C95" s="149">
        <v>253.31199400891512</v>
      </c>
      <c r="D95" s="150">
        <v>46938</v>
      </c>
      <c r="E95" s="141"/>
      <c r="F95" s="141"/>
      <c r="G95" s="141"/>
      <c r="H95" s="141"/>
    </row>
    <row r="96" spans="2:8" s="132" customFormat="1">
      <c r="B96" s="101" t="s">
        <v>2327</v>
      </c>
      <c r="C96" s="149">
        <v>968.85697535999952</v>
      </c>
      <c r="D96" s="150">
        <v>46938</v>
      </c>
      <c r="E96" s="141"/>
      <c r="F96" s="141"/>
      <c r="G96" s="141"/>
      <c r="H96" s="141"/>
    </row>
    <row r="97" spans="2:8" s="132" customFormat="1">
      <c r="B97" s="101" t="s">
        <v>2328</v>
      </c>
      <c r="C97" s="149">
        <v>135.09744031926238</v>
      </c>
      <c r="D97" s="150">
        <v>46938</v>
      </c>
      <c r="E97" s="141"/>
      <c r="F97" s="141"/>
      <c r="G97" s="141"/>
      <c r="H97" s="141"/>
    </row>
    <row r="98" spans="2:8" s="132" customFormat="1">
      <c r="B98" s="101" t="s">
        <v>2986</v>
      </c>
      <c r="C98" s="149">
        <v>2635.6035070071944</v>
      </c>
      <c r="D98" s="150">
        <v>46938</v>
      </c>
      <c r="E98" s="141"/>
      <c r="F98" s="141"/>
      <c r="G98" s="141"/>
      <c r="H98" s="141"/>
    </row>
    <row r="99" spans="2:8" s="132" customFormat="1">
      <c r="B99" s="101" t="s">
        <v>2329</v>
      </c>
      <c r="C99" s="149">
        <v>1689.2368816800001</v>
      </c>
      <c r="D99" s="150">
        <v>43861</v>
      </c>
      <c r="E99" s="141"/>
      <c r="F99" s="141"/>
      <c r="G99" s="141"/>
      <c r="H99" s="141"/>
    </row>
    <row r="100" spans="2:8" s="132" customFormat="1">
      <c r="B100" s="101" t="s">
        <v>2330</v>
      </c>
      <c r="C100" s="149">
        <v>13655.761878469302</v>
      </c>
      <c r="D100" s="150">
        <v>46201</v>
      </c>
      <c r="E100" s="141"/>
      <c r="F100" s="141"/>
      <c r="G100" s="141"/>
      <c r="H100" s="141"/>
    </row>
    <row r="101" spans="2:8" s="132" customFormat="1">
      <c r="B101" s="101" t="s">
        <v>2260</v>
      </c>
      <c r="C101" s="149">
        <v>27103.513565664965</v>
      </c>
      <c r="D101" s="150">
        <v>47262</v>
      </c>
      <c r="E101" s="141"/>
      <c r="F101" s="141"/>
      <c r="G101" s="141"/>
      <c r="H101" s="141"/>
    </row>
    <row r="102" spans="2:8" s="132" customFormat="1">
      <c r="B102" s="101" t="s">
        <v>3050</v>
      </c>
      <c r="C102" s="149">
        <v>5196.7716100000007</v>
      </c>
      <c r="D102" s="150">
        <v>44031</v>
      </c>
      <c r="E102" s="141"/>
      <c r="F102" s="141"/>
      <c r="G102" s="141"/>
      <c r="H102" s="141"/>
    </row>
    <row r="103" spans="2:8" s="132" customFormat="1">
      <c r="B103" s="101" t="s">
        <v>2999</v>
      </c>
      <c r="C103" s="149">
        <v>42327.821428611991</v>
      </c>
      <c r="D103" s="150">
        <v>45485</v>
      </c>
      <c r="E103" s="141"/>
      <c r="F103" s="141"/>
      <c r="G103" s="141"/>
      <c r="H103" s="141"/>
    </row>
    <row r="104" spans="2:8" s="132" customFormat="1">
      <c r="B104" s="101" t="s">
        <v>3008</v>
      </c>
      <c r="C104" s="149">
        <v>80272.035381911148</v>
      </c>
      <c r="D104" s="150">
        <v>45777</v>
      </c>
      <c r="E104" s="141"/>
      <c r="F104" s="141"/>
      <c r="G104" s="141"/>
      <c r="H104" s="141"/>
    </row>
    <row r="105" spans="2:8" s="132" customFormat="1">
      <c r="B105" s="101" t="s">
        <v>2334</v>
      </c>
      <c r="C105" s="149">
        <v>5834.5071988366935</v>
      </c>
      <c r="D105" s="150">
        <v>46734</v>
      </c>
      <c r="E105" s="141"/>
      <c r="F105" s="141"/>
      <c r="G105" s="141"/>
      <c r="H105" s="141"/>
    </row>
    <row r="106" spans="2:8" s="132" customFormat="1">
      <c r="B106" s="101" t="s">
        <v>3051</v>
      </c>
      <c r="C106" s="149">
        <v>66370.861346251317</v>
      </c>
      <c r="D106" s="150">
        <v>44819</v>
      </c>
      <c r="E106" s="141"/>
      <c r="F106" s="141"/>
      <c r="G106" s="141"/>
      <c r="H106" s="141"/>
    </row>
    <row r="107" spans="2:8" s="132" customFormat="1">
      <c r="B107" s="101" t="s">
        <v>3001</v>
      </c>
      <c r="C107" s="149">
        <v>58209.037671577833</v>
      </c>
      <c r="D107" s="150">
        <v>47178</v>
      </c>
      <c r="E107" s="141"/>
      <c r="F107" s="141"/>
      <c r="G107" s="141"/>
      <c r="H107" s="141"/>
    </row>
    <row r="108" spans="2:8" s="132" customFormat="1">
      <c r="B108" s="101" t="s">
        <v>2337</v>
      </c>
      <c r="C108" s="149">
        <v>2599.1616268800021</v>
      </c>
      <c r="D108" s="150">
        <v>46201</v>
      </c>
      <c r="E108" s="141"/>
      <c r="F108" s="141"/>
      <c r="G108" s="141"/>
      <c r="H108" s="141"/>
    </row>
    <row r="109" spans="2:8" s="132" customFormat="1">
      <c r="B109" s="101" t="s">
        <v>2338</v>
      </c>
      <c r="C109" s="149">
        <v>10938.578204976</v>
      </c>
      <c r="D109" s="150">
        <v>47363</v>
      </c>
      <c r="E109" s="141"/>
      <c r="F109" s="141"/>
      <c r="G109" s="141"/>
      <c r="H109" s="141"/>
    </row>
    <row r="110" spans="2:8" s="132" customFormat="1">
      <c r="B110" s="101" t="s">
        <v>2959</v>
      </c>
      <c r="C110" s="149">
        <v>470.01600000000002</v>
      </c>
      <c r="D110" s="150">
        <v>44305</v>
      </c>
      <c r="E110" s="141"/>
      <c r="F110" s="141"/>
      <c r="G110" s="141"/>
      <c r="H110" s="141"/>
    </row>
    <row r="111" spans="2:8" s="132" customFormat="1">
      <c r="B111" s="101" t="s">
        <v>3022</v>
      </c>
      <c r="C111" s="149">
        <v>5816.7195033600001</v>
      </c>
      <c r="D111" s="150">
        <v>45047</v>
      </c>
      <c r="E111" s="141"/>
      <c r="F111" s="141"/>
      <c r="G111" s="141"/>
      <c r="H111" s="141"/>
    </row>
    <row r="112" spans="2:8" s="132" customFormat="1">
      <c r="B112" s="101" t="s">
        <v>3019</v>
      </c>
      <c r="C112" s="149">
        <v>166910.39427855308</v>
      </c>
      <c r="D112" s="150">
        <v>401768</v>
      </c>
      <c r="E112" s="141"/>
      <c r="F112" s="141"/>
      <c r="G112" s="141"/>
      <c r="H112" s="141"/>
    </row>
    <row r="113" spans="2:8" s="132" customFormat="1">
      <c r="B113" s="101" t="s">
        <v>2998</v>
      </c>
      <c r="C113" s="149">
        <v>29262.421551030002</v>
      </c>
      <c r="D113" s="150">
        <v>45710</v>
      </c>
      <c r="E113" s="141"/>
      <c r="F113" s="141"/>
      <c r="G113" s="141"/>
      <c r="H113" s="141"/>
    </row>
    <row r="114" spans="2:8" s="132" customFormat="1">
      <c r="B114" s="101" t="s">
        <v>3026</v>
      </c>
      <c r="C114" s="149">
        <v>95921.280410813983</v>
      </c>
      <c r="D114" s="150">
        <v>46573</v>
      </c>
      <c r="E114" s="141"/>
      <c r="F114" s="141"/>
      <c r="G114" s="141"/>
      <c r="H114" s="141"/>
    </row>
    <row r="115" spans="2:8" s="132" customFormat="1">
      <c r="B115" s="101" t="s">
        <v>2340</v>
      </c>
      <c r="C115" s="149">
        <v>31756.078787602004</v>
      </c>
      <c r="D115" s="150">
        <v>47255</v>
      </c>
      <c r="E115" s="141"/>
      <c r="F115" s="141"/>
      <c r="G115" s="141"/>
      <c r="H115" s="141"/>
    </row>
    <row r="116" spans="2:8" s="132" customFormat="1">
      <c r="B116" s="101" t="s">
        <v>3017</v>
      </c>
      <c r="C116" s="149">
        <v>12172.72655232</v>
      </c>
      <c r="D116" s="150">
        <v>46734</v>
      </c>
      <c r="E116" s="141"/>
      <c r="F116" s="141"/>
      <c r="G116" s="141"/>
      <c r="H116" s="141"/>
    </row>
    <row r="117" spans="2:8" s="132" customFormat="1">
      <c r="B117" s="101" t="s">
        <v>3029</v>
      </c>
      <c r="C117" s="149">
        <v>49526.178450000007</v>
      </c>
      <c r="D117" s="150">
        <v>46572</v>
      </c>
      <c r="E117" s="141"/>
      <c r="F117" s="141"/>
      <c r="G117" s="141"/>
      <c r="H117" s="141"/>
    </row>
    <row r="118" spans="2:8" s="132" customFormat="1">
      <c r="B118" s="101" t="s">
        <v>2957</v>
      </c>
      <c r="C118" s="149">
        <v>101.2059999999999</v>
      </c>
      <c r="D118" s="150">
        <v>43902</v>
      </c>
      <c r="E118" s="141"/>
      <c r="F118" s="141"/>
      <c r="G118" s="141"/>
      <c r="H118" s="141"/>
    </row>
    <row r="119" spans="2:8" s="132" customFormat="1">
      <c r="B119" s="101" t="s">
        <v>2958</v>
      </c>
      <c r="C119" s="149">
        <v>5649.505000000001</v>
      </c>
      <c r="D119" s="150">
        <v>44836</v>
      </c>
      <c r="E119" s="141"/>
      <c r="F119" s="141"/>
      <c r="G119" s="141"/>
      <c r="H119" s="141"/>
    </row>
    <row r="120" spans="2:8" s="132" customFormat="1">
      <c r="B120" s="101" t="s">
        <v>2960</v>
      </c>
      <c r="C120" s="149">
        <v>2545.7552294400007</v>
      </c>
      <c r="D120" s="150">
        <v>44992</v>
      </c>
      <c r="E120" s="141"/>
      <c r="F120" s="141"/>
      <c r="G120" s="141"/>
      <c r="H120" s="141"/>
    </row>
    <row r="121" spans="2:8" s="132" customFormat="1">
      <c r="B121" s="101" t="s">
        <v>3023</v>
      </c>
      <c r="C121" s="149">
        <v>50336.387383310001</v>
      </c>
      <c r="D121" s="150">
        <v>46524</v>
      </c>
      <c r="E121" s="141"/>
      <c r="F121" s="141"/>
      <c r="G121" s="141"/>
      <c r="H121" s="141"/>
    </row>
    <row r="122" spans="2:8" s="132" customFormat="1">
      <c r="B122" s="101" t="s">
        <v>2348</v>
      </c>
      <c r="C122" s="149">
        <v>85934.51770590806</v>
      </c>
      <c r="D122" s="150">
        <v>46844</v>
      </c>
      <c r="E122" s="141"/>
      <c r="F122" s="141"/>
      <c r="G122" s="141"/>
      <c r="H122" s="141"/>
    </row>
    <row r="123" spans="2:8" s="132" customFormat="1">
      <c r="B123" s="101" t="s">
        <v>2349</v>
      </c>
      <c r="C123" s="149">
        <v>112.29050078100001</v>
      </c>
      <c r="D123" s="150">
        <v>47009</v>
      </c>
      <c r="E123" s="141"/>
      <c r="F123" s="141"/>
      <c r="G123" s="141"/>
      <c r="H123" s="141"/>
    </row>
    <row r="124" spans="2:8" s="132" customFormat="1">
      <c r="B124" s="101" t="s">
        <v>2981</v>
      </c>
      <c r="C124" s="149">
        <v>62058.022335530004</v>
      </c>
      <c r="D124" s="150">
        <v>51592</v>
      </c>
      <c r="E124" s="141"/>
      <c r="F124" s="141"/>
      <c r="G124" s="141"/>
      <c r="H124" s="141"/>
    </row>
    <row r="125" spans="2:8" s="132" customFormat="1">
      <c r="B125" s="101" t="s">
        <v>2355</v>
      </c>
      <c r="C125" s="149">
        <v>1.9557055752293626</v>
      </c>
      <c r="D125" s="150">
        <v>46938</v>
      </c>
      <c r="E125" s="141"/>
      <c r="F125" s="141"/>
      <c r="G125" s="141"/>
      <c r="H125" s="141"/>
    </row>
    <row r="126" spans="2:8" s="132" customFormat="1">
      <c r="B126" s="101" t="s">
        <v>3005</v>
      </c>
      <c r="C126" s="149">
        <v>855.13187056777053</v>
      </c>
      <c r="D126" s="150">
        <v>46938</v>
      </c>
      <c r="E126" s="141"/>
      <c r="F126" s="141"/>
      <c r="G126" s="141"/>
      <c r="H126" s="141"/>
    </row>
    <row r="127" spans="2:8" s="132" customFormat="1">
      <c r="B127" s="101" t="s">
        <v>2994</v>
      </c>
      <c r="C127" s="149">
        <v>20024.797167596094</v>
      </c>
      <c r="D127" s="150">
        <v>46201</v>
      </c>
      <c r="E127" s="141"/>
      <c r="F127" s="141"/>
      <c r="G127" s="141"/>
      <c r="H127" s="141"/>
    </row>
    <row r="128" spans="2:8" s="132" customFormat="1">
      <c r="B128" s="101" t="s">
        <v>3011</v>
      </c>
      <c r="C128" s="149">
        <v>25.400839680000033</v>
      </c>
      <c r="D128" s="150">
        <v>46938</v>
      </c>
      <c r="E128" s="141"/>
      <c r="F128" s="141"/>
      <c r="G128" s="141"/>
      <c r="H128" s="141"/>
    </row>
    <row r="129" spans="2:8" s="132" customFormat="1">
      <c r="B129" s="101" t="s">
        <v>2358</v>
      </c>
      <c r="C129" s="149">
        <v>61538.391118181607</v>
      </c>
      <c r="D129" s="150">
        <v>45869</v>
      </c>
      <c r="E129" s="141"/>
      <c r="F129" s="141"/>
      <c r="G129" s="141"/>
      <c r="H129" s="141"/>
    </row>
    <row r="130" spans="2:8" s="132" customFormat="1">
      <c r="B130" s="101" t="s">
        <v>3052</v>
      </c>
      <c r="C130" s="149">
        <v>4259.4769400000005</v>
      </c>
      <c r="D130" s="150">
        <v>46059</v>
      </c>
      <c r="E130" s="141"/>
      <c r="F130" s="141"/>
      <c r="G130" s="141"/>
      <c r="H130" s="141"/>
    </row>
    <row r="131" spans="2:8" s="132" customFormat="1">
      <c r="B131" s="101" t="s">
        <v>3053</v>
      </c>
      <c r="C131" s="149">
        <v>6707.1472199999998</v>
      </c>
      <c r="D131" s="150">
        <v>44256</v>
      </c>
      <c r="E131" s="141"/>
      <c r="F131" s="141"/>
      <c r="G131" s="141"/>
      <c r="H131" s="141"/>
    </row>
    <row r="132" spans="2:8" s="132" customFormat="1">
      <c r="B132" s="101" t="s">
        <v>2961</v>
      </c>
      <c r="C132" s="149">
        <v>274.84106111999995</v>
      </c>
      <c r="D132" s="150">
        <v>43861</v>
      </c>
      <c r="E132" s="141"/>
      <c r="F132" s="141"/>
      <c r="G132" s="141"/>
      <c r="H132" s="141"/>
    </row>
    <row r="133" spans="2:8" s="132" customFormat="1">
      <c r="B133" s="101" t="s">
        <v>2264</v>
      </c>
      <c r="C133" s="149">
        <v>31.217958719999999</v>
      </c>
      <c r="D133" s="150">
        <v>43861</v>
      </c>
      <c r="E133" s="141"/>
      <c r="F133" s="141"/>
      <c r="G133" s="141"/>
      <c r="H133" s="141"/>
    </row>
    <row r="134" spans="2:8" s="132" customFormat="1">
      <c r="B134" s="101" t="s">
        <v>2362</v>
      </c>
      <c r="C134" s="149">
        <v>61929.505532160008</v>
      </c>
      <c r="D134" s="150">
        <v>47992</v>
      </c>
      <c r="E134" s="141"/>
      <c r="F134" s="141"/>
      <c r="G134" s="141"/>
      <c r="H134" s="141"/>
    </row>
    <row r="135" spans="2:8" s="132" customFormat="1">
      <c r="B135" s="101" t="s">
        <v>2363</v>
      </c>
      <c r="C135" s="149">
        <v>7801.4426558240011</v>
      </c>
      <c r="D135" s="150">
        <v>47212</v>
      </c>
      <c r="E135" s="141"/>
      <c r="F135" s="141"/>
      <c r="G135" s="141"/>
      <c r="H135" s="141"/>
    </row>
    <row r="136" spans="2:8" s="132" customFormat="1">
      <c r="B136" s="101" t="s">
        <v>3004</v>
      </c>
      <c r="C136" s="149">
        <v>66186.056671431041</v>
      </c>
      <c r="D136" s="150">
        <v>44044</v>
      </c>
      <c r="E136" s="141"/>
      <c r="F136" s="141"/>
      <c r="G136" s="141"/>
      <c r="H136" s="141"/>
    </row>
    <row r="137" spans="2:8" s="132" customFormat="1">
      <c r="B137" s="101" t="s">
        <v>2989</v>
      </c>
      <c r="C137" s="149">
        <v>7913.8159038797821</v>
      </c>
      <c r="D137" s="150">
        <v>46722</v>
      </c>
      <c r="E137" s="141"/>
      <c r="F137" s="141"/>
      <c r="G137" s="141"/>
      <c r="H137" s="141"/>
    </row>
    <row r="138" spans="2:8" s="132" customFormat="1">
      <c r="B138" s="101" t="s">
        <v>3027</v>
      </c>
      <c r="C138" s="149">
        <v>64800.192939318462</v>
      </c>
      <c r="D138" s="150">
        <v>46794</v>
      </c>
      <c r="E138" s="141"/>
      <c r="F138" s="141"/>
      <c r="G138" s="141"/>
      <c r="H138" s="141"/>
    </row>
    <row r="139" spans="2:8" s="132" customFormat="1">
      <c r="B139" s="101" t="s">
        <v>3033</v>
      </c>
      <c r="C139" s="149">
        <v>119716.15580000001</v>
      </c>
      <c r="D139" s="150">
        <v>47407</v>
      </c>
      <c r="E139" s="141"/>
      <c r="F139" s="141"/>
      <c r="G139" s="141"/>
      <c r="H139" s="141"/>
    </row>
    <row r="140" spans="2:8" s="132" customFormat="1">
      <c r="B140" s="101" t="s">
        <v>3013</v>
      </c>
      <c r="C140" s="149">
        <v>35173.073626586411</v>
      </c>
      <c r="D140" s="150">
        <v>48213</v>
      </c>
      <c r="E140" s="141"/>
      <c r="F140" s="141"/>
      <c r="G140" s="141"/>
      <c r="H140" s="141"/>
    </row>
    <row r="141" spans="2:8" s="132" customFormat="1">
      <c r="B141" s="101" t="s">
        <v>2282</v>
      </c>
      <c r="C141" s="149">
        <v>2983.3777267199989</v>
      </c>
      <c r="D141" s="150">
        <v>45939</v>
      </c>
      <c r="E141" s="141"/>
      <c r="F141" s="141"/>
      <c r="G141" s="141"/>
      <c r="H141" s="141"/>
    </row>
    <row r="142" spans="2:8" s="132" customFormat="1">
      <c r="B142" s="101" t="s">
        <v>3054</v>
      </c>
      <c r="C142" s="149">
        <v>15513.66705</v>
      </c>
      <c r="D142" s="150">
        <v>44076</v>
      </c>
      <c r="E142" s="141"/>
      <c r="F142" s="141"/>
      <c r="G142" s="141"/>
      <c r="H142" s="141"/>
    </row>
    <row r="143" spans="2:8" s="132" customFormat="1">
      <c r="B143" s="101" t="s">
        <v>3055</v>
      </c>
      <c r="C143" s="149">
        <v>13452.24309</v>
      </c>
      <c r="D143" s="150">
        <v>44013</v>
      </c>
      <c r="E143" s="141"/>
      <c r="F143" s="141"/>
      <c r="G143" s="141"/>
      <c r="H143" s="141"/>
    </row>
    <row r="144" spans="2:8" s="132" customFormat="1">
      <c r="B144" s="101" t="s">
        <v>3024</v>
      </c>
      <c r="C144" s="149">
        <v>108500.31180837627</v>
      </c>
      <c r="D144" s="150">
        <v>46539</v>
      </c>
      <c r="E144" s="141"/>
      <c r="F144" s="141"/>
      <c r="G144" s="141"/>
      <c r="H144" s="141"/>
    </row>
    <row r="145" spans="2:8" s="132" customFormat="1">
      <c r="B145" s="101" t="s">
        <v>2964</v>
      </c>
      <c r="C145" s="149">
        <v>10532.525496401317</v>
      </c>
      <c r="D145" s="150">
        <v>45838</v>
      </c>
      <c r="E145" s="141"/>
      <c r="F145" s="141"/>
      <c r="G145" s="141"/>
      <c r="H145" s="141"/>
    </row>
    <row r="146" spans="2:8" s="132" customFormat="1">
      <c r="B146" s="101" t="s">
        <v>3056</v>
      </c>
      <c r="C146" s="149">
        <v>60216.540399999998</v>
      </c>
      <c r="D146" s="150">
        <v>44611</v>
      </c>
      <c r="E146" s="141"/>
      <c r="F146" s="141"/>
      <c r="G146" s="141"/>
      <c r="H146" s="141"/>
    </row>
    <row r="147" spans="2:8" s="132" customFormat="1">
      <c r="B147" s="101" t="s">
        <v>2965</v>
      </c>
      <c r="C147" s="149">
        <v>3490.38</v>
      </c>
      <c r="D147" s="150">
        <v>44196</v>
      </c>
      <c r="E147" s="141"/>
      <c r="F147" s="141"/>
      <c r="G147" s="141"/>
      <c r="H147" s="141"/>
    </row>
    <row r="148" spans="2:8" s="132" customFormat="1">
      <c r="B148" s="101" t="s">
        <v>2966</v>
      </c>
      <c r="C148" s="149">
        <v>342.29620224000234</v>
      </c>
      <c r="D148" s="150">
        <v>43861</v>
      </c>
      <c r="E148" s="141"/>
      <c r="F148" s="141"/>
      <c r="G148" s="141"/>
      <c r="H148" s="141"/>
    </row>
    <row r="149" spans="2:8" s="132" customFormat="1">
      <c r="B149" s="101" t="s">
        <v>2968</v>
      </c>
      <c r="C149" s="149">
        <v>5722.4317430739984</v>
      </c>
      <c r="D149" s="150">
        <v>45806</v>
      </c>
      <c r="E149" s="141"/>
      <c r="F149" s="141"/>
      <c r="G149" s="141"/>
      <c r="H149" s="141"/>
    </row>
    <row r="150" spans="2:8" s="132" customFormat="1">
      <c r="B150" s="101" t="s">
        <v>2375</v>
      </c>
      <c r="C150" s="149">
        <v>11397.64169088</v>
      </c>
      <c r="D150" s="150">
        <v>46827</v>
      </c>
      <c r="E150" s="141"/>
      <c r="F150" s="141"/>
      <c r="G150" s="141"/>
      <c r="H150" s="141"/>
    </row>
    <row r="151" spans="2:8" s="132" customFormat="1">
      <c r="B151" s="101" t="s">
        <v>3057</v>
      </c>
      <c r="C151" s="149">
        <v>22741.103605089986</v>
      </c>
      <c r="D151" s="150">
        <v>44335</v>
      </c>
      <c r="E151" s="141"/>
      <c r="F151" s="141"/>
      <c r="G151" s="141"/>
      <c r="H151" s="141"/>
    </row>
    <row r="152" spans="2:8" s="132" customFormat="1">
      <c r="B152" s="101" t="s">
        <v>3010</v>
      </c>
      <c r="C152" s="149">
        <v>34168.737081600004</v>
      </c>
      <c r="D152" s="150">
        <v>48723</v>
      </c>
      <c r="E152" s="141"/>
      <c r="F152" s="141"/>
      <c r="G152" s="141"/>
      <c r="H152" s="141"/>
    </row>
    <row r="153" spans="2:8" s="132" customFormat="1">
      <c r="B153" s="101" t="s">
        <v>2990</v>
      </c>
      <c r="C153" s="149">
        <v>13508.483653321566</v>
      </c>
      <c r="D153" s="150">
        <v>47031</v>
      </c>
      <c r="E153" s="141"/>
      <c r="F153" s="141"/>
      <c r="G153" s="141"/>
      <c r="H153" s="141"/>
    </row>
    <row r="154" spans="2:8" s="132" customFormat="1">
      <c r="B154" s="101" t="s">
        <v>3018</v>
      </c>
      <c r="C154" s="149">
        <v>26851.228843897617</v>
      </c>
      <c r="D154" s="150">
        <v>45869</v>
      </c>
      <c r="E154" s="141"/>
      <c r="F154" s="141"/>
      <c r="G154" s="141"/>
      <c r="H154" s="141"/>
    </row>
    <row r="155" spans="2:8" s="132" customFormat="1">
      <c r="B155" s="101" t="s">
        <v>2971</v>
      </c>
      <c r="C155" s="149">
        <v>393.98273236687152</v>
      </c>
      <c r="D155" s="150">
        <v>44439</v>
      </c>
      <c r="E155" s="141"/>
      <c r="F155" s="141"/>
      <c r="G155" s="141"/>
      <c r="H155" s="141"/>
    </row>
    <row r="156" spans="2:8" s="132" customFormat="1">
      <c r="B156" s="101" t="s">
        <v>2379</v>
      </c>
      <c r="C156" s="149">
        <v>65811.879641175037</v>
      </c>
      <c r="D156" s="150">
        <v>47107</v>
      </c>
      <c r="E156" s="141"/>
      <c r="F156" s="141"/>
      <c r="G156" s="141"/>
      <c r="H156" s="141"/>
    </row>
    <row r="157" spans="2:8" s="132" customFormat="1">
      <c r="B157" s="101" t="s">
        <v>2380</v>
      </c>
      <c r="C157" s="149">
        <v>6048.4323456000002</v>
      </c>
      <c r="D157" s="150">
        <v>46734</v>
      </c>
      <c r="E157" s="141"/>
      <c r="F157" s="141"/>
      <c r="G157" s="141"/>
      <c r="H157" s="141"/>
    </row>
    <row r="158" spans="2:8" s="132" customFormat="1">
      <c r="B158" s="101" t="s">
        <v>2974</v>
      </c>
      <c r="C158" s="149">
        <v>3022.4739591866346</v>
      </c>
      <c r="D158" s="150">
        <v>46054</v>
      </c>
      <c r="E158" s="141"/>
      <c r="F158" s="141"/>
      <c r="G158" s="141"/>
      <c r="H158" s="141"/>
    </row>
    <row r="159" spans="2:8" s="132" customFormat="1">
      <c r="B159" s="101" t="s">
        <v>3014</v>
      </c>
      <c r="C159" s="149">
        <v>41443.202085119992</v>
      </c>
      <c r="D159" s="150">
        <v>46637</v>
      </c>
      <c r="E159" s="141"/>
      <c r="F159" s="141"/>
      <c r="G159" s="141"/>
      <c r="H159" s="141"/>
    </row>
    <row r="160" spans="2:8" s="132" customFormat="1">
      <c r="B160" s="101" t="s">
        <v>2975</v>
      </c>
      <c r="C160" s="149">
        <v>13842.847080000003</v>
      </c>
      <c r="D160" s="150">
        <v>45383</v>
      </c>
      <c r="E160" s="141"/>
      <c r="F160" s="141"/>
      <c r="G160" s="141"/>
      <c r="H160" s="141"/>
    </row>
    <row r="161" spans="2:8" s="132" customFormat="1">
      <c r="B161" s="101" t="s">
        <v>3058</v>
      </c>
      <c r="C161" s="149">
        <v>81681.500290000011</v>
      </c>
      <c r="D161" s="150">
        <v>43889</v>
      </c>
      <c r="E161" s="141"/>
      <c r="F161" s="141"/>
      <c r="G161" s="141"/>
      <c r="H161" s="141"/>
    </row>
    <row r="162" spans="2:8" s="132" customFormat="1">
      <c r="B162" s="101" t="s">
        <v>2976</v>
      </c>
      <c r="C162" s="149">
        <v>1073.7706982399995</v>
      </c>
      <c r="D162" s="150">
        <v>44621</v>
      </c>
      <c r="E162" s="141"/>
      <c r="F162" s="141"/>
      <c r="G162" s="141"/>
      <c r="H162" s="141"/>
    </row>
    <row r="163" spans="2:8" s="132" customFormat="1">
      <c r="B163" s="101" t="s">
        <v>3012</v>
      </c>
      <c r="C163" s="149">
        <v>43952.170976663176</v>
      </c>
      <c r="D163" s="150">
        <v>48069</v>
      </c>
      <c r="E163" s="141"/>
      <c r="F163" s="141"/>
      <c r="G163" s="141"/>
      <c r="H163" s="141"/>
    </row>
    <row r="164" spans="2:8" s="132" customFormat="1">
      <c r="B164" s="101" t="s">
        <v>2977</v>
      </c>
      <c r="C164" s="149">
        <v>15433.559769600008</v>
      </c>
      <c r="D164" s="150">
        <v>47177</v>
      </c>
      <c r="E164" s="141"/>
      <c r="F164" s="141"/>
      <c r="G164" s="141"/>
      <c r="H164" s="141"/>
    </row>
    <row r="165" spans="2:8" s="132" customFormat="1">
      <c r="B165" s="101" t="s">
        <v>2997</v>
      </c>
      <c r="C165" s="149">
        <v>7799.5903449599982</v>
      </c>
      <c r="D165" s="150">
        <v>46482</v>
      </c>
      <c r="E165" s="141"/>
      <c r="F165" s="141"/>
      <c r="G165" s="141"/>
      <c r="H165" s="141"/>
    </row>
    <row r="166" spans="2:8" s="132" customFormat="1">
      <c r="B166" s="101" t="s">
        <v>3032</v>
      </c>
      <c r="C166" s="149">
        <v>18725.731718400002</v>
      </c>
      <c r="D166" s="150">
        <v>48214</v>
      </c>
      <c r="E166" s="141"/>
      <c r="F166" s="141"/>
      <c r="G166" s="141"/>
      <c r="H166" s="141"/>
    </row>
    <row r="167" spans="2:8" s="132" customFormat="1">
      <c r="B167" s="101" t="s">
        <v>2978</v>
      </c>
      <c r="C167" s="149">
        <v>1103.1935270400024</v>
      </c>
      <c r="D167" s="150">
        <v>45536</v>
      </c>
      <c r="E167" s="141"/>
      <c r="F167" s="141"/>
      <c r="G167" s="141"/>
      <c r="H167" s="141"/>
    </row>
    <row r="168" spans="2:8" s="132" customFormat="1">
      <c r="B168" s="101" t="s">
        <v>2988</v>
      </c>
      <c r="C168" s="149">
        <v>4402.4830403792594</v>
      </c>
      <c r="D168" s="150">
        <v>47102</v>
      </c>
      <c r="E168" s="141"/>
      <c r="F168" s="141"/>
      <c r="G168" s="141"/>
      <c r="H168" s="141"/>
    </row>
    <row r="169" spans="2:8" s="132" customFormat="1">
      <c r="B169" s="101" t="s">
        <v>2386</v>
      </c>
      <c r="C169" s="149">
        <v>55913.780666879997</v>
      </c>
      <c r="D169" s="150">
        <v>48004</v>
      </c>
      <c r="E169" s="141"/>
      <c r="F169" s="141"/>
      <c r="G169" s="141"/>
      <c r="H169" s="141"/>
    </row>
    <row r="170" spans="2:8" s="132" customFormat="1">
      <c r="B170" s="101" t="s">
        <v>2996</v>
      </c>
      <c r="C170" s="149">
        <v>24953.678484479999</v>
      </c>
      <c r="D170" s="150">
        <v>46482</v>
      </c>
      <c r="E170" s="141"/>
      <c r="F170" s="141"/>
      <c r="G170" s="141"/>
      <c r="H170" s="141"/>
    </row>
    <row r="171" spans="2:8" s="132" customFormat="1">
      <c r="B171" s="101" t="s">
        <v>2388</v>
      </c>
      <c r="C171" s="149">
        <v>2987.0853580800003</v>
      </c>
      <c r="D171" s="150">
        <v>47009</v>
      </c>
      <c r="E171" s="141"/>
      <c r="F171" s="141"/>
      <c r="G171" s="141"/>
      <c r="H171" s="141"/>
    </row>
    <row r="172" spans="2:8" s="132" customFormat="1">
      <c r="B172" s="101" t="s">
        <v>2389</v>
      </c>
      <c r="C172" s="149">
        <v>4562.5183718400003</v>
      </c>
      <c r="D172" s="150">
        <v>46933</v>
      </c>
      <c r="E172" s="141"/>
      <c r="F172" s="141"/>
      <c r="G172" s="141"/>
      <c r="H172" s="141"/>
    </row>
    <row r="173" spans="2:8" s="132" customFormat="1">
      <c r="B173" s="101" t="s">
        <v>3021</v>
      </c>
      <c r="C173" s="149">
        <v>121487.24176127998</v>
      </c>
      <c r="D173" s="150">
        <v>46643</v>
      </c>
      <c r="E173" s="141"/>
      <c r="F173" s="141"/>
      <c r="G173" s="141"/>
      <c r="H173" s="141"/>
    </row>
    <row r="174" spans="2:8" s="132" customFormat="1">
      <c r="B174" s="101" t="s">
        <v>3059</v>
      </c>
      <c r="C174" s="149">
        <v>53623.551670000001</v>
      </c>
      <c r="D174" s="150">
        <v>44502</v>
      </c>
      <c r="E174" s="141"/>
      <c r="F174" s="141"/>
      <c r="G174" s="141"/>
      <c r="H174" s="141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Y28:XFD29 A1:A1048576 B1:B9 C5:C9 D1:D1048576 B10:C1048576 E30:XFD1048576 E1:XFD27 E28:W2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185</v>
      </c>
      <c r="C1" s="78" t="s" vm="1">
        <v>273</v>
      </c>
    </row>
    <row r="2" spans="2:18">
      <c r="B2" s="57" t="s">
        <v>184</v>
      </c>
      <c r="C2" s="78" t="s">
        <v>274</v>
      </c>
    </row>
    <row r="3" spans="2:18">
      <c r="B3" s="57" t="s">
        <v>186</v>
      </c>
      <c r="C3" s="78" t="s">
        <v>275</v>
      </c>
    </row>
    <row r="4" spans="2:18">
      <c r="B4" s="57" t="s">
        <v>187</v>
      </c>
      <c r="C4" s="78">
        <v>2102</v>
      </c>
    </row>
    <row r="6" spans="2:18" ht="26.25" customHeight="1">
      <c r="B6" s="181" t="s">
        <v>225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2:18" s="3" customFormat="1" ht="78.75">
      <c r="B7" s="23" t="s">
        <v>124</v>
      </c>
      <c r="C7" s="31" t="s">
        <v>49</v>
      </c>
      <c r="D7" s="31" t="s">
        <v>70</v>
      </c>
      <c r="E7" s="31" t="s">
        <v>15</v>
      </c>
      <c r="F7" s="31" t="s">
        <v>71</v>
      </c>
      <c r="G7" s="31" t="s">
        <v>110</v>
      </c>
      <c r="H7" s="31" t="s">
        <v>18</v>
      </c>
      <c r="I7" s="31" t="s">
        <v>109</v>
      </c>
      <c r="J7" s="31" t="s">
        <v>17</v>
      </c>
      <c r="K7" s="31" t="s">
        <v>223</v>
      </c>
      <c r="L7" s="31" t="s">
        <v>254</v>
      </c>
      <c r="M7" s="31" t="s">
        <v>224</v>
      </c>
      <c r="N7" s="31" t="s">
        <v>64</v>
      </c>
      <c r="O7" s="31" t="s">
        <v>188</v>
      </c>
      <c r="P7" s="32" t="s">
        <v>190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256</v>
      </c>
      <c r="M8" s="33" t="s">
        <v>252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120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255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I519"/>
  <sheetViews>
    <sheetView rightToLeft="1" workbookViewId="0">
      <selection activeCell="J72" sqref="J7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8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3.140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7.7109375" style="1" customWidth="1"/>
    <col min="15" max="15" width="16.140625" style="1" customWidth="1"/>
    <col min="16" max="16" width="10.85546875" style="1" customWidth="1"/>
    <col min="17" max="17" width="13.140625" style="1" customWidth="1"/>
    <col min="18" max="18" width="10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3" width="5.7109375" style="1" customWidth="1"/>
    <col min="34" max="34" width="3.42578125" style="1" customWidth="1"/>
    <col min="35" max="35" width="5.7109375" style="1" hidden="1" customWidth="1"/>
    <col min="36" max="36" width="10.140625" style="1" customWidth="1"/>
    <col min="37" max="37" width="13.85546875" style="1" customWidth="1"/>
    <col min="38" max="38" width="5.7109375" style="1" customWidth="1"/>
    <col min="39" max="16384" width="9.140625" style="1"/>
  </cols>
  <sheetData>
    <row r="1" spans="2:13">
      <c r="B1" s="57" t="s">
        <v>185</v>
      </c>
      <c r="C1" s="78" t="s" vm="1">
        <v>273</v>
      </c>
    </row>
    <row r="2" spans="2:13">
      <c r="B2" s="57" t="s">
        <v>184</v>
      </c>
      <c r="C2" s="78" t="s">
        <v>274</v>
      </c>
    </row>
    <row r="3" spans="2:13">
      <c r="B3" s="57" t="s">
        <v>186</v>
      </c>
      <c r="C3" s="78" t="s">
        <v>275</v>
      </c>
    </row>
    <row r="4" spans="2:13">
      <c r="B4" s="57" t="s">
        <v>187</v>
      </c>
      <c r="C4" s="78">
        <v>2102</v>
      </c>
    </row>
    <row r="6" spans="2:13" ht="26.25" customHeight="1">
      <c r="B6" s="170" t="s">
        <v>214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</row>
    <row r="7" spans="2:13" s="3" customFormat="1" ht="63">
      <c r="B7" s="13" t="s">
        <v>123</v>
      </c>
      <c r="C7" s="14" t="s">
        <v>49</v>
      </c>
      <c r="D7" s="14" t="s">
        <v>125</v>
      </c>
      <c r="E7" s="14" t="s">
        <v>15</v>
      </c>
      <c r="F7" s="14" t="s">
        <v>71</v>
      </c>
      <c r="G7" s="14" t="s">
        <v>109</v>
      </c>
      <c r="H7" s="14" t="s">
        <v>17</v>
      </c>
      <c r="I7" s="14" t="s">
        <v>19</v>
      </c>
      <c r="J7" s="14" t="s">
        <v>67</v>
      </c>
      <c r="K7" s="14" t="s">
        <v>188</v>
      </c>
      <c r="L7" s="14" t="s">
        <v>189</v>
      </c>
      <c r="M7" s="1"/>
    </row>
    <row r="8" spans="2:13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252</v>
      </c>
      <c r="K8" s="17" t="s">
        <v>20</v>
      </c>
      <c r="L8" s="17" t="s">
        <v>20</v>
      </c>
    </row>
    <row r="9" spans="2:13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3" s="135" customFormat="1" ht="18" customHeight="1">
      <c r="B10" s="79" t="s">
        <v>48</v>
      </c>
      <c r="C10" s="88"/>
      <c r="D10" s="80"/>
      <c r="E10" s="80"/>
      <c r="F10" s="80"/>
      <c r="G10" s="88"/>
      <c r="H10" s="88"/>
      <c r="I10" s="80"/>
      <c r="J10" s="88">
        <f>J11+J63</f>
        <v>4522816.4666750962</v>
      </c>
      <c r="K10" s="89">
        <f>J10/$J$10</f>
        <v>1</v>
      </c>
      <c r="L10" s="89">
        <f>J10/'[5]סכום נכסי הקרן'!$C$42</f>
        <v>7.7837265979754655E-2</v>
      </c>
    </row>
    <row r="11" spans="2:13" s="132" customFormat="1">
      <c r="B11" s="81" t="s">
        <v>243</v>
      </c>
      <c r="C11" s="82"/>
      <c r="D11" s="82"/>
      <c r="E11" s="82"/>
      <c r="F11" s="82"/>
      <c r="G11" s="82"/>
      <c r="H11" s="82"/>
      <c r="I11" s="82"/>
      <c r="J11" s="91">
        <f>J12+J22+J60</f>
        <v>4522538.9394350965</v>
      </c>
      <c r="K11" s="92">
        <f t="shared" ref="K11:K20" si="0">J11/$J$10</f>
        <v>0.99993863840329478</v>
      </c>
      <c r="L11" s="92">
        <f>J11/'[5]סכום נכסי הקרן'!$C$42</f>
        <v>7.7832489760830972E-2</v>
      </c>
    </row>
    <row r="12" spans="2:13" s="132" customFormat="1">
      <c r="B12" s="102" t="s">
        <v>46</v>
      </c>
      <c r="C12" s="82"/>
      <c r="D12" s="82"/>
      <c r="E12" s="82"/>
      <c r="F12" s="82"/>
      <c r="G12" s="82"/>
      <c r="H12" s="82"/>
      <c r="I12" s="82"/>
      <c r="J12" s="91">
        <f>SUM(J13:J20)</f>
        <v>3048424.753404066</v>
      </c>
      <c r="K12" s="92">
        <f t="shared" si="0"/>
        <v>0.67401027122488688</v>
      </c>
      <c r="L12" s="92">
        <f>J12/'[5]סכום נכסי הקרן'!$C$42</f>
        <v>5.2463116754418095E-2</v>
      </c>
    </row>
    <row r="13" spans="2:13" s="132" customFormat="1">
      <c r="B13" s="87" t="s">
        <v>2767</v>
      </c>
      <c r="C13" s="84" t="s">
        <v>2768</v>
      </c>
      <c r="D13" s="84">
        <v>11</v>
      </c>
      <c r="E13" s="84" t="s">
        <v>360</v>
      </c>
      <c r="F13" s="84" t="s">
        <v>361</v>
      </c>
      <c r="G13" s="97" t="s">
        <v>170</v>
      </c>
      <c r="H13" s="98">
        <v>0</v>
      </c>
      <c r="I13" s="98">
        <v>0</v>
      </c>
      <c r="J13" s="94">
        <v>5330.2748451970001</v>
      </c>
      <c r="K13" s="95">
        <f t="shared" si="0"/>
        <v>1.1785299899899539E-3</v>
      </c>
      <c r="L13" s="95">
        <f>J13/'[5]סכום נכסי הקרן'!$C$42</f>
        <v>9.1733552295965645E-5</v>
      </c>
    </row>
    <row r="14" spans="2:13" s="132" customFormat="1">
      <c r="B14" s="87" t="s">
        <v>2767</v>
      </c>
      <c r="C14" s="84" t="s">
        <v>2769</v>
      </c>
      <c r="D14" s="84">
        <v>11</v>
      </c>
      <c r="E14" s="84" t="s">
        <v>360</v>
      </c>
      <c r="F14" s="84" t="s">
        <v>361</v>
      </c>
      <c r="G14" s="97" t="s">
        <v>170</v>
      </c>
      <c r="H14" s="98">
        <v>0</v>
      </c>
      <c r="I14" s="98">
        <v>0</v>
      </c>
      <c r="J14" s="94">
        <v>673721.02271000005</v>
      </c>
      <c r="K14" s="95">
        <f t="shared" si="0"/>
        <v>0.14896050451617804</v>
      </c>
      <c r="L14" s="95">
        <f>J14/'[5]סכום נכסי הקרן'!$C$42</f>
        <v>1.1594678410504195E-2</v>
      </c>
    </row>
    <row r="15" spans="2:13" s="132" customFormat="1">
      <c r="B15" s="87" t="s">
        <v>2770</v>
      </c>
      <c r="C15" s="84" t="s">
        <v>2771</v>
      </c>
      <c r="D15" s="84">
        <v>12</v>
      </c>
      <c r="E15" s="84" t="s">
        <v>360</v>
      </c>
      <c r="F15" s="84" t="s">
        <v>361</v>
      </c>
      <c r="G15" s="97" t="s">
        <v>170</v>
      </c>
      <c r="H15" s="98">
        <v>0</v>
      </c>
      <c r="I15" s="98">
        <v>0</v>
      </c>
      <c r="J15" s="94">
        <v>710235.97328000003</v>
      </c>
      <c r="K15" s="95">
        <f t="shared" si="0"/>
        <v>0.15703400270896312</v>
      </c>
      <c r="L15" s="95">
        <f>J15/'[5]סכום נכסי הקרן'!$C$42</f>
        <v>1.2223097436723077E-2</v>
      </c>
    </row>
    <row r="16" spans="2:13" s="132" customFormat="1">
      <c r="B16" s="87" t="s">
        <v>2770</v>
      </c>
      <c r="C16" s="84" t="s">
        <v>2772</v>
      </c>
      <c r="D16" s="84">
        <v>12</v>
      </c>
      <c r="E16" s="84" t="s">
        <v>360</v>
      </c>
      <c r="F16" s="84" t="s">
        <v>361</v>
      </c>
      <c r="G16" s="97" t="s">
        <v>170</v>
      </c>
      <c r="H16" s="98">
        <v>0</v>
      </c>
      <c r="I16" s="98">
        <v>0</v>
      </c>
      <c r="J16" s="94">
        <v>26429.731483588002</v>
      </c>
      <c r="K16" s="95">
        <f t="shared" si="0"/>
        <v>5.8436444808952328E-3</v>
      </c>
      <c r="L16" s="95">
        <f>J16/'[5]סכום נכסי הקרן'!$C$42</f>
        <v>4.5485330975056755E-4</v>
      </c>
    </row>
    <row r="17" spans="2:15" s="132" customFormat="1">
      <c r="B17" s="87" t="s">
        <v>2773</v>
      </c>
      <c r="C17" s="84" t="s">
        <v>2774</v>
      </c>
      <c r="D17" s="84">
        <v>10</v>
      </c>
      <c r="E17" s="84" t="s">
        <v>360</v>
      </c>
      <c r="F17" s="84" t="s">
        <v>361</v>
      </c>
      <c r="G17" s="97" t="s">
        <v>170</v>
      </c>
      <c r="H17" s="98">
        <v>0</v>
      </c>
      <c r="I17" s="98">
        <v>0</v>
      </c>
      <c r="J17" s="94">
        <v>911234.10957991611</v>
      </c>
      <c r="K17" s="95">
        <f t="shared" si="0"/>
        <v>0.20147492525819888</v>
      </c>
      <c r="L17" s="95">
        <f>J17/'[5]סכום נכסי הקרן'!$C$42</f>
        <v>1.5682257345573616E-2</v>
      </c>
    </row>
    <row r="18" spans="2:15" s="132" customFormat="1">
      <c r="B18" s="87" t="s">
        <v>2773</v>
      </c>
      <c r="C18" s="84" t="s">
        <v>2775</v>
      </c>
      <c r="D18" s="84">
        <v>10</v>
      </c>
      <c r="E18" s="84" t="s">
        <v>360</v>
      </c>
      <c r="F18" s="84" t="s">
        <v>361</v>
      </c>
      <c r="G18" s="97" t="s">
        <v>170</v>
      </c>
      <c r="H18" s="98">
        <v>0</v>
      </c>
      <c r="I18" s="98">
        <v>0</v>
      </c>
      <c r="J18" s="94">
        <v>592161.32307999989</v>
      </c>
      <c r="K18" s="95">
        <f t="shared" si="0"/>
        <v>0.13092755972813583</v>
      </c>
      <c r="L18" s="95">
        <f>J18/'[5]סכום נכסי הקרן'!$C$42</f>
        <v>1.0191043290639122E-2</v>
      </c>
    </row>
    <row r="19" spans="2:15" s="132" customFormat="1">
      <c r="B19" s="87" t="s">
        <v>2776</v>
      </c>
      <c r="C19" s="84" t="s">
        <v>2777</v>
      </c>
      <c r="D19" s="84">
        <v>20</v>
      </c>
      <c r="E19" s="84" t="s">
        <v>360</v>
      </c>
      <c r="F19" s="84" t="s">
        <v>361</v>
      </c>
      <c r="G19" s="97" t="s">
        <v>170</v>
      </c>
      <c r="H19" s="98">
        <v>0</v>
      </c>
      <c r="I19" s="98">
        <v>0</v>
      </c>
      <c r="J19" s="94">
        <v>129309.16169536499</v>
      </c>
      <c r="K19" s="95">
        <f t="shared" si="0"/>
        <v>2.8590406585838172E-2</v>
      </c>
      <c r="L19" s="95">
        <f>J19/'[5]סכום נכסי הקרן'!$C$42</f>
        <v>2.225399081891215E-3</v>
      </c>
    </row>
    <row r="20" spans="2:15" s="132" customFormat="1">
      <c r="B20" s="87" t="s">
        <v>2778</v>
      </c>
      <c r="C20" s="84" t="s">
        <v>2779</v>
      </c>
      <c r="D20" s="84">
        <v>26</v>
      </c>
      <c r="E20" s="84" t="s">
        <v>360</v>
      </c>
      <c r="F20" s="84" t="s">
        <v>361</v>
      </c>
      <c r="G20" s="97" t="s">
        <v>170</v>
      </c>
      <c r="H20" s="98">
        <v>0</v>
      </c>
      <c r="I20" s="98">
        <v>0</v>
      </c>
      <c r="J20" s="94">
        <v>3.15673</v>
      </c>
      <c r="K20" s="95">
        <f t="shared" si="0"/>
        <v>6.9795668766560382E-7</v>
      </c>
      <c r="L20" s="95">
        <f>J20/'[5]סכום נכסי הקרן'!$C$42</f>
        <v>5.4327040340176154E-8</v>
      </c>
    </row>
    <row r="21" spans="2:15" s="132" customFormat="1">
      <c r="B21" s="83"/>
      <c r="C21" s="84"/>
      <c r="D21" s="84"/>
      <c r="E21" s="84"/>
      <c r="F21" s="84"/>
      <c r="G21" s="84"/>
      <c r="H21" s="84"/>
      <c r="I21" s="84"/>
      <c r="J21" s="84"/>
      <c r="K21" s="95"/>
      <c r="L21" s="84"/>
    </row>
    <row r="22" spans="2:15" s="132" customFormat="1">
      <c r="B22" s="102" t="s">
        <v>47</v>
      </c>
      <c r="C22" s="82"/>
      <c r="D22" s="82"/>
      <c r="E22" s="82"/>
      <c r="F22" s="82"/>
      <c r="G22" s="82"/>
      <c r="H22" s="82"/>
      <c r="I22" s="82"/>
      <c r="J22" s="91">
        <f>SUM(J23:J58)</f>
        <v>1474066.8160310306</v>
      </c>
      <c r="K22" s="92">
        <f t="shared" ref="K22:K58" si="1">J22/$J$10</f>
        <v>0.32591789361611578</v>
      </c>
      <c r="L22" s="92">
        <f>J22/'[5]סכום נכסי הקרן'!$C$42</f>
        <v>2.5368557772958988E-2</v>
      </c>
    </row>
    <row r="23" spans="2:15" s="132" customFormat="1">
      <c r="B23" s="87" t="s">
        <v>2766</v>
      </c>
      <c r="C23" s="84" t="s">
        <v>2780</v>
      </c>
      <c r="D23" s="84">
        <v>95</v>
      </c>
      <c r="E23" s="84" t="s">
        <v>942</v>
      </c>
      <c r="F23" s="84"/>
      <c r="G23" s="97" t="s">
        <v>169</v>
      </c>
      <c r="H23" s="98">
        <v>0</v>
      </c>
      <c r="I23" s="98">
        <v>0</v>
      </c>
      <c r="J23" s="94">
        <v>6.9800000000000001E-3</v>
      </c>
      <c r="K23" s="95">
        <f t="shared" si="1"/>
        <v>1.5432861473442185E-9</v>
      </c>
      <c r="L23" s="95">
        <f>J23/'[5]סכום נכסי הקרן'!$C$42</f>
        <v>1.2012517433370278E-10</v>
      </c>
    </row>
    <row r="24" spans="2:15" s="132" customFormat="1">
      <c r="B24" s="87" t="s">
        <v>2766</v>
      </c>
      <c r="C24" s="84" t="s">
        <v>2782</v>
      </c>
      <c r="D24" s="84">
        <v>95</v>
      </c>
      <c r="E24" s="84" t="s">
        <v>942</v>
      </c>
      <c r="F24" s="84"/>
      <c r="G24" s="97" t="s">
        <v>171</v>
      </c>
      <c r="H24" s="98">
        <v>0</v>
      </c>
      <c r="I24" s="98">
        <v>0</v>
      </c>
      <c r="J24" s="94">
        <v>6.9999999999999999E-4</v>
      </c>
      <c r="K24" s="95">
        <f t="shared" si="1"/>
        <v>1.5477081706890443E-10</v>
      </c>
      <c r="L24" s="95">
        <f>J24/'[5]סכום נכסי הקרן'!$C$42</f>
        <v>1.2046937254096267E-11</v>
      </c>
    </row>
    <row r="25" spans="2:15" s="132" customFormat="1">
      <c r="B25" s="87" t="s">
        <v>2770</v>
      </c>
      <c r="C25" s="84" t="s">
        <v>2783</v>
      </c>
      <c r="D25" s="84">
        <v>12</v>
      </c>
      <c r="E25" s="84" t="s">
        <v>360</v>
      </c>
      <c r="F25" s="84" t="s">
        <v>361</v>
      </c>
      <c r="G25" s="97" t="s">
        <v>177</v>
      </c>
      <c r="H25" s="98">
        <v>0</v>
      </c>
      <c r="I25" s="98">
        <v>0</v>
      </c>
      <c r="J25" s="94">
        <v>1.13761</v>
      </c>
      <c r="K25" s="95">
        <f t="shared" si="1"/>
        <v>2.5152689886536623E-7</v>
      </c>
      <c r="L25" s="95">
        <f>J25/'[5]סכום נכסי הקרן'!$C$42</f>
        <v>1.9578166128046363E-8</v>
      </c>
      <c r="O25" s="136"/>
    </row>
    <row r="26" spans="2:15" s="132" customFormat="1">
      <c r="B26" s="87" t="s">
        <v>2770</v>
      </c>
      <c r="C26" s="84" t="s">
        <v>2784</v>
      </c>
      <c r="D26" s="84">
        <v>12</v>
      </c>
      <c r="E26" s="84" t="s">
        <v>360</v>
      </c>
      <c r="F26" s="84" t="s">
        <v>361</v>
      </c>
      <c r="G26" s="97" t="s">
        <v>169</v>
      </c>
      <c r="H26" s="98">
        <v>0</v>
      </c>
      <c r="I26" s="98">
        <v>0</v>
      </c>
      <c r="J26" s="94">
        <v>261183.71</v>
      </c>
      <c r="K26" s="95">
        <f t="shared" si="1"/>
        <v>5.7748023145411116E-2</v>
      </c>
      <c r="L26" s="95">
        <f>J26/'[5]סכום נכסי הקרן'!$C$42</f>
        <v>4.4949482373743939E-3</v>
      </c>
    </row>
    <row r="27" spans="2:15" s="132" customFormat="1">
      <c r="B27" s="87" t="s">
        <v>2770</v>
      </c>
      <c r="C27" s="84" t="s">
        <v>2785</v>
      </c>
      <c r="D27" s="84">
        <v>12</v>
      </c>
      <c r="E27" s="84" t="s">
        <v>360</v>
      </c>
      <c r="F27" s="84" t="s">
        <v>361</v>
      </c>
      <c r="G27" s="97" t="s">
        <v>179</v>
      </c>
      <c r="H27" s="98">
        <v>0</v>
      </c>
      <c r="I27" s="98">
        <v>0</v>
      </c>
      <c r="J27" s="94">
        <v>0.21433020399999997</v>
      </c>
      <c r="K27" s="95">
        <f t="shared" si="1"/>
        <v>4.7388658279464232E-8</v>
      </c>
      <c r="L27" s="95">
        <f>J27/'[5]סכום נכסי הקרן'!$C$42</f>
        <v>3.6886035989223604E-9</v>
      </c>
    </row>
    <row r="28" spans="2:15" s="132" customFormat="1">
      <c r="B28" s="87" t="s">
        <v>2770</v>
      </c>
      <c r="C28" s="84" t="s">
        <v>2786</v>
      </c>
      <c r="D28" s="84">
        <v>12</v>
      </c>
      <c r="E28" s="84" t="s">
        <v>360</v>
      </c>
      <c r="F28" s="84" t="s">
        <v>361</v>
      </c>
      <c r="G28" s="97" t="s">
        <v>178</v>
      </c>
      <c r="H28" s="98">
        <v>0</v>
      </c>
      <c r="I28" s="98">
        <v>0</v>
      </c>
      <c r="J28" s="94">
        <v>6081.19445</v>
      </c>
      <c r="K28" s="95">
        <f t="shared" si="1"/>
        <v>1.3445591911162671E-3</v>
      </c>
      <c r="L28" s="95">
        <f>J28/'[5]סכום נכסי הקרן'!$C$42</f>
        <v>1.0465681138444066E-4</v>
      </c>
    </row>
    <row r="29" spans="2:15" s="132" customFormat="1">
      <c r="B29" s="87" t="s">
        <v>2770</v>
      </c>
      <c r="C29" s="84" t="s">
        <v>2787</v>
      </c>
      <c r="D29" s="84">
        <v>12</v>
      </c>
      <c r="E29" s="84" t="s">
        <v>360</v>
      </c>
      <c r="F29" s="84" t="s">
        <v>361</v>
      </c>
      <c r="G29" s="97" t="s">
        <v>172</v>
      </c>
      <c r="H29" s="98">
        <v>0</v>
      </c>
      <c r="I29" s="98">
        <v>0</v>
      </c>
      <c r="J29" s="94">
        <v>1408.5440000000001</v>
      </c>
      <c r="K29" s="95">
        <f t="shared" si="1"/>
        <v>3.1143072251071848E-4</v>
      </c>
      <c r="L29" s="95">
        <f>J29/'[5]סכום נכסי הקרן'!$C$42</f>
        <v>2.4240915982333963E-5</v>
      </c>
    </row>
    <row r="30" spans="2:15" s="132" customFormat="1">
      <c r="B30" s="87" t="s">
        <v>2770</v>
      </c>
      <c r="C30" s="84" t="s">
        <v>2788</v>
      </c>
      <c r="D30" s="84">
        <v>12</v>
      </c>
      <c r="E30" s="84" t="s">
        <v>360</v>
      </c>
      <c r="F30" s="84" t="s">
        <v>361</v>
      </c>
      <c r="G30" s="97" t="s">
        <v>173</v>
      </c>
      <c r="H30" s="98">
        <v>0</v>
      </c>
      <c r="I30" s="98">
        <v>0</v>
      </c>
      <c r="J30" s="94">
        <v>4.2315100000000001</v>
      </c>
      <c r="K30" s="95">
        <f t="shared" si="1"/>
        <v>9.3559180019319974E-7</v>
      </c>
      <c r="L30" s="95">
        <f>J30/'[5]סכום נכסי הקרן'!$C$42</f>
        <v>7.2823907800115565E-8</v>
      </c>
    </row>
    <row r="31" spans="2:15" s="132" customFormat="1">
      <c r="B31" s="87" t="s">
        <v>2770</v>
      </c>
      <c r="C31" s="84" t="s">
        <v>2789</v>
      </c>
      <c r="D31" s="84">
        <v>12</v>
      </c>
      <c r="E31" s="84" t="s">
        <v>360</v>
      </c>
      <c r="F31" s="84" t="s">
        <v>361</v>
      </c>
      <c r="G31" s="97" t="s">
        <v>171</v>
      </c>
      <c r="H31" s="98">
        <v>0</v>
      </c>
      <c r="I31" s="98">
        <v>0</v>
      </c>
      <c r="J31" s="94">
        <v>5407.924</v>
      </c>
      <c r="K31" s="95">
        <f t="shared" si="1"/>
        <v>1.195698308752197E-3</v>
      </c>
      <c r="L31" s="95">
        <f>J31/'[5]סכום נכסי הקרן'!$C$42</f>
        <v>9.3069887289887573E-5</v>
      </c>
    </row>
    <row r="32" spans="2:15" s="132" customFormat="1">
      <c r="B32" s="87" t="s">
        <v>2773</v>
      </c>
      <c r="C32" s="84" t="s">
        <v>2790</v>
      </c>
      <c r="D32" s="84">
        <v>10</v>
      </c>
      <c r="E32" s="84" t="s">
        <v>360</v>
      </c>
      <c r="F32" s="84" t="s">
        <v>361</v>
      </c>
      <c r="G32" s="97" t="s">
        <v>1507</v>
      </c>
      <c r="H32" s="98">
        <v>0</v>
      </c>
      <c r="I32" s="98">
        <v>0</v>
      </c>
      <c r="J32" s="94">
        <v>-2.188420314</v>
      </c>
      <c r="K32" s="95">
        <f t="shared" si="1"/>
        <v>-4.8386228583995485E-7</v>
      </c>
      <c r="L32" s="95">
        <f>J32/'[5]סכום נכסי הקרן'!$C$42</f>
        <v>-3.7662517440496645E-8</v>
      </c>
    </row>
    <row r="33" spans="2:12" s="132" customFormat="1">
      <c r="B33" s="87" t="s">
        <v>2773</v>
      </c>
      <c r="C33" s="84" t="s">
        <v>2791</v>
      </c>
      <c r="D33" s="84">
        <v>10</v>
      </c>
      <c r="E33" s="84" t="s">
        <v>360</v>
      </c>
      <c r="F33" s="84" t="s">
        <v>361</v>
      </c>
      <c r="G33" s="97" t="s">
        <v>171</v>
      </c>
      <c r="H33" s="98">
        <v>0</v>
      </c>
      <c r="I33" s="98">
        <v>0</v>
      </c>
      <c r="J33" s="94">
        <v>20.25</v>
      </c>
      <c r="K33" s="95">
        <f t="shared" si="1"/>
        <v>4.4772986366361641E-6</v>
      </c>
      <c r="L33" s="95">
        <f>J33/'[5]סכום נכסי הקרן'!$C$42</f>
        <v>3.4850068485064202E-7</v>
      </c>
    </row>
    <row r="34" spans="2:12" s="132" customFormat="1">
      <c r="B34" s="87" t="s">
        <v>2773</v>
      </c>
      <c r="C34" s="84" t="s">
        <v>2792</v>
      </c>
      <c r="D34" s="84">
        <v>10</v>
      </c>
      <c r="E34" s="84" t="s">
        <v>360</v>
      </c>
      <c r="F34" s="84" t="s">
        <v>361</v>
      </c>
      <c r="G34" s="97" t="s">
        <v>173</v>
      </c>
      <c r="H34" s="98">
        <v>0</v>
      </c>
      <c r="I34" s="98">
        <v>0</v>
      </c>
      <c r="J34" s="94">
        <v>1598.713741006</v>
      </c>
      <c r="K34" s="95">
        <f t="shared" si="1"/>
        <v>3.5347747422111923E-4</v>
      </c>
      <c r="L34" s="95">
        <f>J34/'[5]סכום נכסי הקרן'!$C$42</f>
        <v>2.7513720178801132E-5</v>
      </c>
    </row>
    <row r="35" spans="2:12" s="132" customFormat="1">
      <c r="B35" s="87" t="s">
        <v>2773</v>
      </c>
      <c r="C35" s="84" t="s">
        <v>2793</v>
      </c>
      <c r="D35" s="84">
        <v>10</v>
      </c>
      <c r="E35" s="84" t="s">
        <v>360</v>
      </c>
      <c r="F35" s="84" t="s">
        <v>361</v>
      </c>
      <c r="G35" s="97" t="s">
        <v>171</v>
      </c>
      <c r="H35" s="98">
        <v>0</v>
      </c>
      <c r="I35" s="98">
        <v>0</v>
      </c>
      <c r="J35" s="94">
        <v>170.27704196200003</v>
      </c>
      <c r="K35" s="95">
        <f t="shared" si="1"/>
        <v>3.7648452732192673E-5</v>
      </c>
      <c r="L35" s="95">
        <f>J35/'[5]סכום נכסי הקרן'!$C$42</f>
        <v>2.930452629041902E-6</v>
      </c>
    </row>
    <row r="36" spans="2:12" s="132" customFormat="1">
      <c r="B36" s="87" t="s">
        <v>2773</v>
      </c>
      <c r="C36" s="84" t="s">
        <v>2794</v>
      </c>
      <c r="D36" s="84">
        <v>10</v>
      </c>
      <c r="E36" s="84" t="s">
        <v>360</v>
      </c>
      <c r="F36" s="84" t="s">
        <v>361</v>
      </c>
      <c r="G36" s="97" t="s">
        <v>176</v>
      </c>
      <c r="H36" s="98">
        <v>0</v>
      </c>
      <c r="I36" s="98">
        <v>0</v>
      </c>
      <c r="J36" s="94">
        <v>-7.0334709490000007</v>
      </c>
      <c r="K36" s="95">
        <f t="shared" si="1"/>
        <v>-1.5551086365816183E-6</v>
      </c>
      <c r="L36" s="95">
        <f>J36/'[5]סכום נכסי הקרן'!$C$42</f>
        <v>-1.2104540457301704E-7</v>
      </c>
    </row>
    <row r="37" spans="2:12" s="132" customFormat="1">
      <c r="B37" s="87" t="s">
        <v>2773</v>
      </c>
      <c r="C37" s="84" t="s">
        <v>2795</v>
      </c>
      <c r="D37" s="84">
        <v>10</v>
      </c>
      <c r="E37" s="84" t="s">
        <v>360</v>
      </c>
      <c r="F37" s="84" t="s">
        <v>361</v>
      </c>
      <c r="G37" s="97" t="s">
        <v>172</v>
      </c>
      <c r="H37" s="98">
        <v>0</v>
      </c>
      <c r="I37" s="98">
        <v>0</v>
      </c>
      <c r="J37" s="94">
        <v>957.54392490600003</v>
      </c>
      <c r="K37" s="95">
        <f t="shared" si="1"/>
        <v>2.1171407948152471E-4</v>
      </c>
      <c r="L37" s="95">
        <f>J37/'[5]סכום נכסי הקרן'!$C$42</f>
        <v>1.6479245116262356E-5</v>
      </c>
    </row>
    <row r="38" spans="2:12" s="132" customFormat="1">
      <c r="B38" s="87" t="s">
        <v>2773</v>
      </c>
      <c r="C38" s="84" t="s">
        <v>2796</v>
      </c>
      <c r="D38" s="84">
        <v>10</v>
      </c>
      <c r="E38" s="84" t="s">
        <v>360</v>
      </c>
      <c r="F38" s="84" t="s">
        <v>361</v>
      </c>
      <c r="G38" s="97" t="s">
        <v>179</v>
      </c>
      <c r="H38" s="98">
        <v>0</v>
      </c>
      <c r="I38" s="98">
        <v>0</v>
      </c>
      <c r="J38" s="94">
        <v>-11.544569110000001</v>
      </c>
      <c r="K38" s="95">
        <f t="shared" si="1"/>
        <v>-2.5525177055187644E-6</v>
      </c>
      <c r="L38" s="95">
        <f>J38/'[5]סכום נכסי הקרן'!$C$42</f>
        <v>-1.9868099956249714E-7</v>
      </c>
    </row>
    <row r="39" spans="2:12" s="132" customFormat="1">
      <c r="B39" s="87" t="s">
        <v>2773</v>
      </c>
      <c r="C39" s="84" t="s">
        <v>2797</v>
      </c>
      <c r="D39" s="84">
        <v>10</v>
      </c>
      <c r="E39" s="84" t="s">
        <v>360</v>
      </c>
      <c r="F39" s="84" t="s">
        <v>361</v>
      </c>
      <c r="G39" s="97" t="s">
        <v>169</v>
      </c>
      <c r="H39" s="98">
        <v>0</v>
      </c>
      <c r="I39" s="98">
        <v>0</v>
      </c>
      <c r="J39" s="94">
        <v>304834.72418199998</v>
      </c>
      <c r="K39" s="95">
        <f t="shared" si="1"/>
        <v>6.7399313332317509E-2</v>
      </c>
      <c r="L39" s="95">
        <f>J39/'[5]סכום נכסי הקרן'!$C$42</f>
        <v>5.2461782787004228E-3</v>
      </c>
    </row>
    <row r="40" spans="2:12" s="132" customFormat="1">
      <c r="B40" s="87" t="s">
        <v>2773</v>
      </c>
      <c r="C40" s="84" t="s">
        <v>2798</v>
      </c>
      <c r="D40" s="84">
        <v>10</v>
      </c>
      <c r="E40" s="84" t="s">
        <v>360</v>
      </c>
      <c r="F40" s="84" t="s">
        <v>361</v>
      </c>
      <c r="G40" s="97" t="s">
        <v>173</v>
      </c>
      <c r="H40" s="98">
        <v>0</v>
      </c>
      <c r="I40" s="98">
        <v>0</v>
      </c>
      <c r="J40" s="94">
        <v>15.885629999999999</v>
      </c>
      <c r="K40" s="95">
        <f t="shared" si="1"/>
        <v>3.5123313353632857E-6</v>
      </c>
      <c r="L40" s="95">
        <f>J40/'[5]סכום נכסי הקרן'!$C$42</f>
        <v>2.7339026835969895E-7</v>
      </c>
    </row>
    <row r="41" spans="2:12" s="132" customFormat="1">
      <c r="B41" s="87" t="s">
        <v>2773</v>
      </c>
      <c r="C41" s="84" t="s">
        <v>2799</v>
      </c>
      <c r="D41" s="84">
        <v>10</v>
      </c>
      <c r="E41" s="84" t="s">
        <v>360</v>
      </c>
      <c r="F41" s="84" t="s">
        <v>361</v>
      </c>
      <c r="G41" s="97" t="s">
        <v>178</v>
      </c>
      <c r="H41" s="98">
        <v>0</v>
      </c>
      <c r="I41" s="98">
        <v>0</v>
      </c>
      <c r="J41" s="94">
        <v>1282.7232100000001</v>
      </c>
      <c r="K41" s="95">
        <f t="shared" si="1"/>
        <v>2.8361159897849698E-4</v>
      </c>
      <c r="L41" s="95">
        <f>J41/'[5]סכום נכסי הקרן'!$C$42</f>
        <v>2.2075551464632786E-5</v>
      </c>
    </row>
    <row r="42" spans="2:12" s="132" customFormat="1">
      <c r="B42" s="87" t="s">
        <v>2773</v>
      </c>
      <c r="C42" s="84" t="s">
        <v>2800</v>
      </c>
      <c r="D42" s="84">
        <v>10</v>
      </c>
      <c r="E42" s="84" t="s">
        <v>360</v>
      </c>
      <c r="F42" s="84" t="s">
        <v>361</v>
      </c>
      <c r="G42" s="97" t="s">
        <v>172</v>
      </c>
      <c r="H42" s="98">
        <v>0</v>
      </c>
      <c r="I42" s="98">
        <v>0</v>
      </c>
      <c r="J42" s="94">
        <v>1.104398</v>
      </c>
      <c r="K42" s="95">
        <f t="shared" si="1"/>
        <v>2.4418368689894843E-7</v>
      </c>
      <c r="L42" s="95">
        <f>J42/'[5]סכום נכסי הקרן'!$C$42</f>
        <v>1.9006590585070582E-8</v>
      </c>
    </row>
    <row r="43" spans="2:12" s="132" customFormat="1">
      <c r="B43" s="87" t="s">
        <v>2773</v>
      </c>
      <c r="C43" s="84" t="s">
        <v>2801</v>
      </c>
      <c r="D43" s="84">
        <v>10</v>
      </c>
      <c r="E43" s="84" t="s">
        <v>360</v>
      </c>
      <c r="F43" s="84" t="s">
        <v>361</v>
      </c>
      <c r="G43" s="97" t="s">
        <v>169</v>
      </c>
      <c r="H43" s="98">
        <v>0</v>
      </c>
      <c r="I43" s="98">
        <v>0</v>
      </c>
      <c r="J43" s="94">
        <v>818017.98199999996</v>
      </c>
      <c r="K43" s="95">
        <f t="shared" si="1"/>
        <v>0.18086473064456621</v>
      </c>
      <c r="L43" s="95">
        <f>J43/'[5]סכום נכסי הקרן'!$C$42</f>
        <v>1.4078016145537784E-2</v>
      </c>
    </row>
    <row r="44" spans="2:12" s="132" customFormat="1">
      <c r="B44" s="87" t="s">
        <v>2773</v>
      </c>
      <c r="C44" s="84" t="s">
        <v>2802</v>
      </c>
      <c r="D44" s="84">
        <v>10</v>
      </c>
      <c r="E44" s="84" t="s">
        <v>360</v>
      </c>
      <c r="F44" s="84" t="s">
        <v>361</v>
      </c>
      <c r="G44" s="97" t="s">
        <v>174</v>
      </c>
      <c r="H44" s="98">
        <v>0</v>
      </c>
      <c r="I44" s="98">
        <v>0</v>
      </c>
      <c r="J44" s="94">
        <v>2102.851083471</v>
      </c>
      <c r="K44" s="95">
        <f t="shared" si="1"/>
        <v>4.6494282909005375E-4</v>
      </c>
      <c r="L44" s="95">
        <f>J44/'[5]סכום נכסי הקרן'!$C$42</f>
        <v>3.618987865326213E-5</v>
      </c>
    </row>
    <row r="45" spans="2:12" s="132" customFormat="1">
      <c r="B45" s="87" t="s">
        <v>2776</v>
      </c>
      <c r="C45" s="84" t="s">
        <v>2803</v>
      </c>
      <c r="D45" s="84">
        <v>20</v>
      </c>
      <c r="E45" s="84" t="s">
        <v>360</v>
      </c>
      <c r="F45" s="84" t="s">
        <v>361</v>
      </c>
      <c r="G45" s="97" t="s">
        <v>171</v>
      </c>
      <c r="H45" s="98">
        <v>0</v>
      </c>
      <c r="I45" s="98">
        <v>0</v>
      </c>
      <c r="J45" s="94">
        <v>5.0829009489999999</v>
      </c>
      <c r="K45" s="95">
        <f t="shared" si="1"/>
        <v>1.1238353327957709E-6</v>
      </c>
      <c r="L45" s="95">
        <f>J45/'[5]סכום נכסי הקרן'!$C$42</f>
        <v>8.747626971627052E-8</v>
      </c>
    </row>
    <row r="46" spans="2:12" s="132" customFormat="1">
      <c r="B46" s="87" t="s">
        <v>2776</v>
      </c>
      <c r="C46" s="84" t="s">
        <v>2804</v>
      </c>
      <c r="D46" s="84">
        <v>20</v>
      </c>
      <c r="E46" s="84" t="s">
        <v>360</v>
      </c>
      <c r="F46" s="84" t="s">
        <v>361</v>
      </c>
      <c r="G46" s="97" t="s">
        <v>179</v>
      </c>
      <c r="H46" s="98">
        <v>0</v>
      </c>
      <c r="I46" s="98">
        <v>0</v>
      </c>
      <c r="J46" s="94">
        <v>0.90822422399999991</v>
      </c>
      <c r="K46" s="95">
        <f t="shared" si="1"/>
        <v>2.0080943604321666E-7</v>
      </c>
      <c r="L46" s="95">
        <f>J46/'[5]סכום נכסי הקרן'!$C$42</f>
        <v>1.5630457484540388E-8</v>
      </c>
    </row>
    <row r="47" spans="2:12" s="132" customFormat="1">
      <c r="B47" s="87" t="s">
        <v>2776</v>
      </c>
      <c r="C47" s="84" t="s">
        <v>2805</v>
      </c>
      <c r="D47" s="84">
        <v>20</v>
      </c>
      <c r="E47" s="84" t="s">
        <v>360</v>
      </c>
      <c r="F47" s="84" t="s">
        <v>361</v>
      </c>
      <c r="G47" s="97" t="s">
        <v>173</v>
      </c>
      <c r="H47" s="98">
        <v>0</v>
      </c>
      <c r="I47" s="98">
        <v>0</v>
      </c>
      <c r="J47" s="94">
        <v>0.15624985299999999</v>
      </c>
      <c r="K47" s="95">
        <f t="shared" si="1"/>
        <v>3.4547024879580293E-8</v>
      </c>
      <c r="L47" s="95">
        <f>J47/'[5]סכום נכסי הקרן'!$C$42</f>
        <v>2.6890459643610932E-9</v>
      </c>
    </row>
    <row r="48" spans="2:12" s="132" customFormat="1">
      <c r="B48" s="87" t="s">
        <v>2776</v>
      </c>
      <c r="C48" s="84" t="s">
        <v>2806</v>
      </c>
      <c r="D48" s="84">
        <v>20</v>
      </c>
      <c r="E48" s="84" t="s">
        <v>360</v>
      </c>
      <c r="F48" s="84" t="s">
        <v>361</v>
      </c>
      <c r="G48" s="97" t="s">
        <v>171</v>
      </c>
      <c r="H48" s="98">
        <v>0</v>
      </c>
      <c r="I48" s="98">
        <v>0</v>
      </c>
      <c r="J48" s="94">
        <v>4.1508040230000001</v>
      </c>
      <c r="K48" s="95">
        <f t="shared" si="1"/>
        <v>9.177476144751508E-7</v>
      </c>
      <c r="L48" s="95">
        <f>J48/'[5]סכום נכסי הקרן'!$C$42</f>
        <v>7.1434965170187656E-8</v>
      </c>
    </row>
    <row r="49" spans="2:12" s="132" customFormat="1">
      <c r="B49" s="87" t="s">
        <v>2776</v>
      </c>
      <c r="C49" s="84" t="s">
        <v>2807</v>
      </c>
      <c r="D49" s="84">
        <v>20</v>
      </c>
      <c r="E49" s="84" t="s">
        <v>360</v>
      </c>
      <c r="F49" s="84" t="s">
        <v>361</v>
      </c>
      <c r="G49" s="97" t="s">
        <v>169</v>
      </c>
      <c r="H49" s="98">
        <v>0</v>
      </c>
      <c r="I49" s="98">
        <v>0</v>
      </c>
      <c r="J49" s="94">
        <v>48582.385222559002</v>
      </c>
      <c r="K49" s="95">
        <f t="shared" si="1"/>
        <v>1.0741622080073893E-2</v>
      </c>
      <c r="L49" s="95">
        <f>J49/'[5]סכום נכסי הקרן'!$C$42</f>
        <v>8.3609849490071716E-4</v>
      </c>
    </row>
    <row r="50" spans="2:12" s="132" customFormat="1">
      <c r="B50" s="87" t="s">
        <v>2776</v>
      </c>
      <c r="C50" s="84" t="s">
        <v>2808</v>
      </c>
      <c r="D50" s="84">
        <v>20</v>
      </c>
      <c r="E50" s="84" t="s">
        <v>360</v>
      </c>
      <c r="F50" s="84" t="s">
        <v>361</v>
      </c>
      <c r="G50" s="97" t="s">
        <v>169</v>
      </c>
      <c r="H50" s="98">
        <v>0</v>
      </c>
      <c r="I50" s="98">
        <v>0</v>
      </c>
      <c r="J50" s="94">
        <v>641.63063</v>
      </c>
      <c r="K50" s="95">
        <f t="shared" si="1"/>
        <v>1.4186528123076556E-4</v>
      </c>
      <c r="L50" s="95">
        <f>J50/'[5]סכום נכסי הקרן'!$C$42</f>
        <v>1.1042405628451797E-5</v>
      </c>
    </row>
    <row r="51" spans="2:12" s="132" customFormat="1">
      <c r="B51" s="87" t="s">
        <v>2776</v>
      </c>
      <c r="C51" s="84" t="s">
        <v>2809</v>
      </c>
      <c r="D51" s="84">
        <v>20</v>
      </c>
      <c r="E51" s="84" t="s">
        <v>360</v>
      </c>
      <c r="F51" s="84" t="s">
        <v>361</v>
      </c>
      <c r="G51" s="97" t="s">
        <v>178</v>
      </c>
      <c r="H51" s="98">
        <v>0</v>
      </c>
      <c r="I51" s="98">
        <v>0</v>
      </c>
      <c r="J51" s="94">
        <v>0.21228</v>
      </c>
      <c r="K51" s="95">
        <f t="shared" si="1"/>
        <v>4.6935355781981472E-8</v>
      </c>
      <c r="L51" s="95">
        <f>J51/'[5]סכום נכסי הקרן'!$C$42</f>
        <v>3.653319771856508E-9</v>
      </c>
    </row>
    <row r="52" spans="2:12" s="132" customFormat="1">
      <c r="B52" s="87" t="s">
        <v>2776</v>
      </c>
      <c r="C52" s="84">
        <v>33820000</v>
      </c>
      <c r="D52" s="84">
        <v>20</v>
      </c>
      <c r="E52" s="84" t="s">
        <v>360</v>
      </c>
      <c r="F52" s="84" t="s">
        <v>361</v>
      </c>
      <c r="G52" s="97" t="s">
        <v>172</v>
      </c>
      <c r="H52" s="98">
        <v>0</v>
      </c>
      <c r="I52" s="98">
        <v>0</v>
      </c>
      <c r="J52" s="94">
        <v>1243.6199999999999</v>
      </c>
      <c r="K52" s="95">
        <f t="shared" si="1"/>
        <v>2.7496583360461557E-4</v>
      </c>
      <c r="L52" s="95">
        <f>J52/'[5]סכום נכסי הקרן'!$C$42</f>
        <v>2.1402588725627425E-5</v>
      </c>
    </row>
    <row r="53" spans="2:12" s="132" customFormat="1">
      <c r="B53" s="87" t="s">
        <v>2767</v>
      </c>
      <c r="C53" s="84" t="s">
        <v>2810</v>
      </c>
      <c r="D53" s="84">
        <v>11</v>
      </c>
      <c r="E53" s="84" t="s">
        <v>360</v>
      </c>
      <c r="F53" s="84" t="s">
        <v>361</v>
      </c>
      <c r="G53" s="97" t="s">
        <v>171</v>
      </c>
      <c r="H53" s="98">
        <v>0</v>
      </c>
      <c r="I53" s="98">
        <v>0</v>
      </c>
      <c r="J53" s="94">
        <v>2638.7001941840003</v>
      </c>
      <c r="K53" s="95">
        <f t="shared" si="1"/>
        <v>5.8341969293390649E-4</v>
      </c>
      <c r="L53" s="95">
        <f>J53/'[5]סכום נכסי הקרן'!$C$42</f>
        <v>4.5411793816723268E-5</v>
      </c>
    </row>
    <row r="54" spans="2:12" s="132" customFormat="1">
      <c r="B54" s="87" t="s">
        <v>2767</v>
      </c>
      <c r="C54" s="84" t="s">
        <v>2811</v>
      </c>
      <c r="D54" s="84">
        <v>11</v>
      </c>
      <c r="E54" s="84" t="s">
        <v>360</v>
      </c>
      <c r="F54" s="84" t="s">
        <v>361</v>
      </c>
      <c r="G54" s="97" t="s">
        <v>169</v>
      </c>
      <c r="H54" s="98">
        <v>0</v>
      </c>
      <c r="I54" s="98">
        <v>0</v>
      </c>
      <c r="J54" s="94">
        <v>17860.517468077</v>
      </c>
      <c r="K54" s="95">
        <f t="shared" si="1"/>
        <v>3.9489812597253105E-3</v>
      </c>
      <c r="L54" s="95">
        <f>J54/'[5]סכום נכסי הקרן'!$C$42</f>
        <v>3.0737790466230563E-4</v>
      </c>
    </row>
    <row r="55" spans="2:12" s="132" customFormat="1" ht="21.75" customHeight="1">
      <c r="B55" s="87" t="s">
        <v>2767</v>
      </c>
      <c r="C55" s="84" t="s">
        <v>2812</v>
      </c>
      <c r="D55" s="84">
        <v>11</v>
      </c>
      <c r="E55" s="84" t="s">
        <v>360</v>
      </c>
      <c r="F55" s="84" t="s">
        <v>361</v>
      </c>
      <c r="G55" s="97" t="s">
        <v>172</v>
      </c>
      <c r="H55" s="98">
        <v>0</v>
      </c>
      <c r="I55" s="98">
        <v>0</v>
      </c>
      <c r="J55" s="94">
        <v>7.8936959850000008</v>
      </c>
      <c r="K55" s="95">
        <f t="shared" si="1"/>
        <v>1.7453053961314008E-6</v>
      </c>
      <c r="L55" s="95">
        <f>J55/'[5]סכום נכסי הקרן'!$C$42</f>
        <v>1.358498003345809E-7</v>
      </c>
    </row>
    <row r="56" spans="2:12" s="132" customFormat="1" ht="24" customHeight="1">
      <c r="B56" s="87" t="s">
        <v>2778</v>
      </c>
      <c r="C56" s="84" t="s">
        <v>2813</v>
      </c>
      <c r="D56" s="84">
        <v>26</v>
      </c>
      <c r="E56" s="84" t="s">
        <v>360</v>
      </c>
      <c r="F56" s="84" t="s">
        <v>361</v>
      </c>
      <c r="G56" s="97" t="s">
        <v>169</v>
      </c>
      <c r="H56" s="98">
        <v>0</v>
      </c>
      <c r="I56" s="98">
        <v>0</v>
      </c>
      <c r="J56" s="94">
        <v>13.09122</v>
      </c>
      <c r="K56" s="95">
        <f t="shared" si="1"/>
        <v>2.8944840226125474E-6</v>
      </c>
      <c r="L56" s="95">
        <f>J56/'[5]סכום נכסי הקרן'!$C$42</f>
        <v>2.2529872274224304E-7</v>
      </c>
    </row>
    <row r="57" spans="2:12" s="132" customFormat="1" ht="20.25" customHeight="1">
      <c r="B57" s="87" t="s">
        <v>2778</v>
      </c>
      <c r="C57" s="84" t="s">
        <v>2814</v>
      </c>
      <c r="D57" s="84">
        <v>26</v>
      </c>
      <c r="E57" s="84" t="s">
        <v>360</v>
      </c>
      <c r="F57" s="84" t="s">
        <v>361</v>
      </c>
      <c r="G57" s="97" t="s">
        <v>179</v>
      </c>
      <c r="H57" s="98">
        <v>0</v>
      </c>
      <c r="I57" s="98">
        <v>0</v>
      </c>
      <c r="J57" s="94">
        <v>5.2500000000000003E-3</v>
      </c>
      <c r="K57" s="95">
        <f t="shared" si="1"/>
        <v>1.1607811280167833E-9</v>
      </c>
      <c r="L57" s="95">
        <f>J57/'[5]סכום נכסי הקרן'!$C$42</f>
        <v>9.0352029405722001E-11</v>
      </c>
    </row>
    <row r="58" spans="2:12" s="132" customFormat="1">
      <c r="B58" s="87" t="s">
        <v>2778</v>
      </c>
      <c r="C58" s="84" t="s">
        <v>2815</v>
      </c>
      <c r="D58" s="84">
        <v>26</v>
      </c>
      <c r="E58" s="84" t="s">
        <v>360</v>
      </c>
      <c r="F58" s="84" t="s">
        <v>361</v>
      </c>
      <c r="G58" s="97" t="s">
        <v>172</v>
      </c>
      <c r="H58" s="98">
        <v>0</v>
      </c>
      <c r="I58" s="98">
        <v>0</v>
      </c>
      <c r="J58" s="94">
        <v>0.20956</v>
      </c>
      <c r="K58" s="95">
        <f t="shared" si="1"/>
        <v>4.633396060708516E-8</v>
      </c>
      <c r="L58" s="95">
        <f>J58/'[5]סכום נכסי הקרן'!$C$42</f>
        <v>3.6065088156691622E-9</v>
      </c>
    </row>
    <row r="59" spans="2:12" s="132" customFormat="1" ht="24.75" customHeight="1">
      <c r="B59" s="83"/>
      <c r="C59" s="84"/>
      <c r="D59" s="84"/>
      <c r="E59" s="84"/>
      <c r="F59" s="84"/>
      <c r="G59" s="84"/>
      <c r="H59" s="84"/>
      <c r="I59" s="84"/>
      <c r="J59" s="84"/>
      <c r="K59" s="95"/>
      <c r="L59" s="84"/>
    </row>
    <row r="60" spans="2:12" s="132" customFormat="1">
      <c r="B60" s="157" t="s">
        <v>3147</v>
      </c>
      <c r="C60" s="158"/>
      <c r="D60" s="158"/>
      <c r="E60" s="158"/>
      <c r="F60" s="158"/>
      <c r="G60" s="158"/>
      <c r="H60" s="158"/>
      <c r="I60" s="158"/>
      <c r="J60" s="159">
        <f>J61</f>
        <v>47.37</v>
      </c>
      <c r="K60" s="160">
        <v>6.3302850006004921E-6</v>
      </c>
      <c r="L60" s="160">
        <v>3.3109600892357039E-7</v>
      </c>
    </row>
    <row r="61" spans="2:12" s="132" customFormat="1">
      <c r="B61" s="161" t="s">
        <v>2766</v>
      </c>
      <c r="C61" s="162" t="s">
        <v>3148</v>
      </c>
      <c r="D61" s="163">
        <v>95</v>
      </c>
      <c r="E61" s="162" t="s">
        <v>942</v>
      </c>
      <c r="F61" s="162"/>
      <c r="G61" s="163" t="s">
        <v>170</v>
      </c>
      <c r="H61" s="164">
        <v>0</v>
      </c>
      <c r="I61" s="164">
        <v>0</v>
      </c>
      <c r="J61" s="165">
        <v>47.37</v>
      </c>
      <c r="K61" s="166">
        <v>6.3302850006004921E-6</v>
      </c>
      <c r="L61" s="166">
        <v>3.3109600892357039E-7</v>
      </c>
    </row>
    <row r="62" spans="2:12" s="132" customFormat="1">
      <c r="B62" s="161"/>
      <c r="C62" s="162"/>
      <c r="D62" s="163"/>
      <c r="E62" s="162"/>
      <c r="F62" s="162"/>
      <c r="G62" s="163"/>
      <c r="H62" s="164"/>
      <c r="I62" s="164"/>
      <c r="J62" s="165"/>
      <c r="K62" s="166"/>
      <c r="L62" s="166"/>
    </row>
    <row r="63" spans="2:12" s="132" customFormat="1">
      <c r="B63" s="81" t="s">
        <v>242</v>
      </c>
      <c r="C63" s="82"/>
      <c r="D63" s="82"/>
      <c r="E63" s="82"/>
      <c r="F63" s="82"/>
      <c r="G63" s="82"/>
      <c r="H63" s="82"/>
      <c r="I63" s="82"/>
      <c r="J63" s="91">
        <f>J64+J72</f>
        <v>277.52724000000001</v>
      </c>
      <c r="K63" s="92">
        <f t="shared" ref="K63:K70" si="2">J63/$J$10</f>
        <v>6.1361596705254202E-5</v>
      </c>
      <c r="L63" s="92">
        <f>J63/'[5]סכום נכסי הקרן'!$C$42</f>
        <v>4.776218923689308E-6</v>
      </c>
    </row>
    <row r="64" spans="2:12" s="132" customFormat="1">
      <c r="B64" s="102" t="s">
        <v>47</v>
      </c>
      <c r="C64" s="82"/>
      <c r="D64" s="82"/>
      <c r="E64" s="82"/>
      <c r="F64" s="82"/>
      <c r="G64" s="82"/>
      <c r="H64" s="82"/>
      <c r="I64" s="82"/>
      <c r="J64" s="91">
        <f>SUM(J65:J70)</f>
        <v>277.52724000000001</v>
      </c>
      <c r="K64" s="92">
        <f t="shared" si="2"/>
        <v>6.1361596705254202E-5</v>
      </c>
      <c r="L64" s="92">
        <f>J64/'[5]סכום נכסי הקרן'!$C$42</f>
        <v>4.776218923689308E-6</v>
      </c>
    </row>
    <row r="65" spans="2:20" s="132" customFormat="1">
      <c r="B65" s="87" t="s">
        <v>2816</v>
      </c>
      <c r="C65" s="84" t="s">
        <v>2817</v>
      </c>
      <c r="D65" s="84">
        <v>91</v>
      </c>
      <c r="E65" s="84" t="s">
        <v>946</v>
      </c>
      <c r="F65" s="84" t="s">
        <v>926</v>
      </c>
      <c r="G65" s="97" t="s">
        <v>169</v>
      </c>
      <c r="H65" s="98">
        <v>0</v>
      </c>
      <c r="I65" s="98">
        <v>0</v>
      </c>
      <c r="J65" s="94">
        <v>235.46</v>
      </c>
      <c r="K65" s="95">
        <f t="shared" si="2"/>
        <v>5.2060480838634628E-5</v>
      </c>
      <c r="L65" s="95">
        <f>J65/'[5]סכום נכסי הקרן'!$C$42</f>
        <v>4.0522454940707247E-6</v>
      </c>
    </row>
    <row r="66" spans="2:20" s="132" customFormat="1">
      <c r="B66" s="87" t="s">
        <v>2816</v>
      </c>
      <c r="C66" s="84" t="s">
        <v>2818</v>
      </c>
      <c r="D66" s="84">
        <v>91</v>
      </c>
      <c r="E66" s="84" t="s">
        <v>946</v>
      </c>
      <c r="F66" s="84" t="s">
        <v>926</v>
      </c>
      <c r="G66" s="97" t="s">
        <v>171</v>
      </c>
      <c r="H66" s="98">
        <v>0</v>
      </c>
      <c r="I66" s="98">
        <v>0</v>
      </c>
      <c r="J66" s="94">
        <v>7.83901</v>
      </c>
      <c r="K66" s="95">
        <f t="shared" si="2"/>
        <v>1.7332142610161607E-6</v>
      </c>
      <c r="L66" s="95">
        <f>J66/'[5]סכום נכסי הקרן'!$C$42</f>
        <v>1.3490865943461881E-7</v>
      </c>
    </row>
    <row r="67" spans="2:20" s="132" customFormat="1">
      <c r="B67" s="87" t="s">
        <v>2816</v>
      </c>
      <c r="C67" s="84" t="s">
        <v>2819</v>
      </c>
      <c r="D67" s="84">
        <v>91</v>
      </c>
      <c r="E67" s="84" t="s">
        <v>946</v>
      </c>
      <c r="F67" s="84" t="s">
        <v>926</v>
      </c>
      <c r="G67" s="97" t="s">
        <v>179</v>
      </c>
      <c r="H67" s="98">
        <v>0</v>
      </c>
      <c r="I67" s="98">
        <v>0</v>
      </c>
      <c r="J67" s="94">
        <v>3.8316699999999999</v>
      </c>
      <c r="K67" s="95">
        <f t="shared" si="2"/>
        <v>8.4718670948344149E-7</v>
      </c>
      <c r="L67" s="95">
        <f>J67/'[5]סכום נכסי הקרן'!$C$42</f>
        <v>6.5942697240575776E-8</v>
      </c>
    </row>
    <row r="68" spans="2:20" s="132" customFormat="1">
      <c r="B68" s="87" t="s">
        <v>2816</v>
      </c>
      <c r="C68" s="84" t="s">
        <v>2820</v>
      </c>
      <c r="D68" s="84">
        <v>91</v>
      </c>
      <c r="E68" s="84" t="s">
        <v>946</v>
      </c>
      <c r="F68" s="84" t="s">
        <v>926</v>
      </c>
      <c r="G68" s="97" t="s">
        <v>176</v>
      </c>
      <c r="H68" s="98">
        <v>0</v>
      </c>
      <c r="I68" s="98">
        <v>0</v>
      </c>
      <c r="J68" s="94">
        <v>6.3200000000000001E-3</v>
      </c>
      <c r="K68" s="95">
        <f t="shared" si="2"/>
        <v>1.3973593769649657E-9</v>
      </c>
      <c r="L68" s="95">
        <f>J68/'[5]סכום נכסי הקרן'!$C$42</f>
        <v>1.087666334941263E-10</v>
      </c>
    </row>
    <row r="69" spans="2:20" s="137" customFormat="1">
      <c r="B69" s="87" t="s">
        <v>2816</v>
      </c>
      <c r="C69" s="84" t="s">
        <v>2821</v>
      </c>
      <c r="D69" s="84">
        <v>91</v>
      </c>
      <c r="E69" s="84" t="s">
        <v>946</v>
      </c>
      <c r="F69" s="84" t="s">
        <v>926</v>
      </c>
      <c r="G69" s="97" t="s">
        <v>172</v>
      </c>
      <c r="H69" s="98">
        <v>0</v>
      </c>
      <c r="I69" s="98">
        <v>0</v>
      </c>
      <c r="J69" s="94">
        <v>30.39</v>
      </c>
      <c r="K69" s="95">
        <f t="shared" si="2"/>
        <v>6.7192644724628655E-6</v>
      </c>
      <c r="L69" s="95">
        <f>J69/'[5]סכום נכסי הקרן'!$C$42</f>
        <v>5.2300917593140796E-7</v>
      </c>
      <c r="O69" s="132"/>
      <c r="P69" s="132"/>
      <c r="Q69" s="132"/>
      <c r="R69" s="132"/>
      <c r="S69" s="132"/>
      <c r="T69" s="132"/>
    </row>
    <row r="70" spans="2:20" s="132" customFormat="1">
      <c r="B70" s="87" t="s">
        <v>2822</v>
      </c>
      <c r="C70" s="84" t="s">
        <v>2823</v>
      </c>
      <c r="D70" s="84">
        <v>93</v>
      </c>
      <c r="E70" s="84" t="s">
        <v>942</v>
      </c>
      <c r="F70" s="84"/>
      <c r="G70" s="97" t="s">
        <v>169</v>
      </c>
      <c r="H70" s="98">
        <v>0</v>
      </c>
      <c r="I70" s="98">
        <v>0</v>
      </c>
      <c r="J70" s="94">
        <v>2.3999999999999998E-4</v>
      </c>
      <c r="K70" s="95">
        <f t="shared" si="2"/>
        <v>5.3064280137910083E-11</v>
      </c>
      <c r="L70" s="95">
        <f>J70/'[5]סכום נכסי הקרן'!$C$42</f>
        <v>4.1303784871187194E-12</v>
      </c>
    </row>
    <row r="71" spans="2:20" s="132" customFormat="1">
      <c r="B71" s="83"/>
      <c r="C71" s="84"/>
      <c r="D71" s="84"/>
      <c r="E71" s="84"/>
      <c r="F71" s="84"/>
      <c r="G71" s="84"/>
      <c r="H71" s="84"/>
      <c r="I71" s="84"/>
      <c r="J71" s="84"/>
      <c r="K71" s="95"/>
      <c r="L71" s="84"/>
    </row>
    <row r="72" spans="2:20" s="132" customFormat="1">
      <c r="B72" s="123"/>
      <c r="C72" s="124"/>
      <c r="D72" s="124"/>
      <c r="E72" s="124"/>
      <c r="F72" s="124"/>
      <c r="G72" s="124"/>
      <c r="H72" s="124"/>
      <c r="I72" s="124"/>
      <c r="J72" s="125"/>
      <c r="K72" s="126"/>
      <c r="L72" s="126"/>
    </row>
    <row r="73" spans="2:20" s="132" customFormat="1">
      <c r="B73" s="87"/>
      <c r="C73" s="84"/>
      <c r="D73" s="84"/>
      <c r="E73" s="84"/>
      <c r="F73" s="84"/>
      <c r="G73" s="97"/>
      <c r="H73" s="84"/>
      <c r="I73" s="84"/>
      <c r="J73" s="94"/>
      <c r="K73" s="95"/>
      <c r="L73" s="95"/>
    </row>
    <row r="74" spans="2:20" s="132" customFormat="1">
      <c r="B74" s="87"/>
      <c r="C74" s="84"/>
      <c r="D74" s="84"/>
      <c r="E74" s="84"/>
      <c r="F74" s="84"/>
      <c r="G74" s="97"/>
      <c r="H74" s="84"/>
      <c r="I74" s="84"/>
      <c r="J74" s="94"/>
      <c r="K74" s="95"/>
      <c r="L74" s="95"/>
    </row>
    <row r="75" spans="2:20" s="132" customFormat="1">
      <c r="B75" s="87"/>
      <c r="C75" s="84"/>
      <c r="D75" s="84"/>
      <c r="E75" s="84"/>
      <c r="F75" s="84"/>
      <c r="G75" s="97"/>
      <c r="H75" s="84"/>
      <c r="I75" s="84"/>
      <c r="J75" s="94"/>
      <c r="K75" s="95"/>
      <c r="L75" s="95"/>
    </row>
    <row r="76" spans="2:20" s="132" customFormat="1">
      <c r="B76" s="131"/>
      <c r="C76" s="131"/>
    </row>
    <row r="77" spans="2:20" s="132" customFormat="1">
      <c r="B77" s="131"/>
      <c r="C77" s="131"/>
    </row>
    <row r="78" spans="2:20" s="132" customFormat="1">
      <c r="B78" s="131"/>
      <c r="C78" s="131"/>
    </row>
    <row r="79" spans="2:20" s="132" customFormat="1">
      <c r="B79" s="156" t="s">
        <v>265</v>
      </c>
      <c r="C79" s="131"/>
    </row>
    <row r="80" spans="2:20" s="132" customFormat="1">
      <c r="B80" s="139"/>
      <c r="C80" s="131"/>
    </row>
    <row r="81" spans="2:3" s="132" customFormat="1">
      <c r="B81" s="131"/>
      <c r="C81" s="131"/>
    </row>
    <row r="82" spans="2:3" s="132" customFormat="1">
      <c r="B82" s="131"/>
      <c r="C82" s="131"/>
    </row>
    <row r="83" spans="2:3" s="132" customFormat="1">
      <c r="B83" s="131"/>
      <c r="C83" s="131"/>
    </row>
    <row r="84" spans="2:3" s="132" customFormat="1">
      <c r="B84" s="131"/>
      <c r="C84" s="131"/>
    </row>
    <row r="85" spans="2:3" s="132" customFormat="1">
      <c r="B85" s="131"/>
      <c r="C85" s="131"/>
    </row>
    <row r="86" spans="2:3" s="132" customFormat="1">
      <c r="B86" s="131"/>
      <c r="C86" s="131"/>
    </row>
    <row r="87" spans="2:3" s="132" customFormat="1">
      <c r="B87" s="131"/>
      <c r="C87" s="131"/>
    </row>
    <row r="88" spans="2:3" s="132" customFormat="1">
      <c r="B88" s="131"/>
      <c r="C88" s="131"/>
    </row>
    <row r="89" spans="2:3" s="132" customFormat="1">
      <c r="B89" s="131"/>
      <c r="C89" s="131"/>
    </row>
    <row r="90" spans="2:3" s="132" customFormat="1">
      <c r="B90" s="131"/>
      <c r="C90" s="131"/>
    </row>
    <row r="91" spans="2:3" s="132" customFormat="1">
      <c r="B91" s="131"/>
      <c r="C91" s="131"/>
    </row>
    <row r="92" spans="2:3" s="132" customFormat="1">
      <c r="B92" s="131"/>
      <c r="C92" s="131"/>
    </row>
    <row r="93" spans="2:3" s="132" customFormat="1">
      <c r="B93" s="131"/>
      <c r="C93" s="131"/>
    </row>
    <row r="94" spans="2:3" s="132" customFormat="1">
      <c r="B94" s="131"/>
      <c r="C94" s="131"/>
    </row>
    <row r="95" spans="2:3" s="132" customFormat="1">
      <c r="B95" s="131"/>
      <c r="C95" s="131"/>
    </row>
    <row r="96" spans="2:3" s="132" customFormat="1">
      <c r="B96" s="131"/>
      <c r="C96" s="131"/>
    </row>
    <row r="97" spans="2:20" s="132" customFormat="1">
      <c r="B97" s="131"/>
      <c r="C97" s="131"/>
    </row>
    <row r="98" spans="2:20" s="132" customFormat="1">
      <c r="B98" s="131"/>
      <c r="C98" s="131"/>
    </row>
    <row r="99" spans="2:20" s="132" customFormat="1">
      <c r="B99" s="131"/>
      <c r="C99" s="131"/>
    </row>
    <row r="100" spans="2:20" s="132" customFormat="1">
      <c r="B100" s="131"/>
      <c r="C100" s="131"/>
    </row>
    <row r="101" spans="2:20" s="132" customFormat="1">
      <c r="B101" s="131"/>
      <c r="C101" s="131"/>
    </row>
    <row r="102" spans="2:20" s="132" customFormat="1">
      <c r="B102" s="131"/>
      <c r="C102" s="131"/>
    </row>
    <row r="103" spans="2:20" s="132" customFormat="1">
      <c r="B103" s="131"/>
      <c r="C103" s="131"/>
    </row>
    <row r="104" spans="2:20" s="132" customFormat="1">
      <c r="B104" s="131"/>
      <c r="C104" s="131"/>
    </row>
    <row r="105" spans="2:20" s="132" customFormat="1">
      <c r="B105" s="131"/>
      <c r="C105" s="131"/>
    </row>
    <row r="106" spans="2:20" s="132" customFormat="1">
      <c r="B106" s="131"/>
      <c r="C106" s="131"/>
      <c r="O106" s="1"/>
      <c r="P106" s="1"/>
      <c r="Q106" s="1"/>
      <c r="R106" s="1"/>
      <c r="S106" s="1"/>
      <c r="T106" s="1"/>
    </row>
    <row r="107" spans="2:20" s="132" customFormat="1">
      <c r="B107" s="131"/>
      <c r="C107" s="131"/>
      <c r="O107" s="1"/>
      <c r="P107" s="1"/>
      <c r="Q107" s="1"/>
      <c r="R107" s="1"/>
      <c r="S107" s="1"/>
      <c r="T107" s="1"/>
    </row>
    <row r="108" spans="2:20" s="132" customFormat="1">
      <c r="B108" s="131"/>
      <c r="C108" s="131"/>
      <c r="O108" s="1"/>
      <c r="P108" s="1"/>
      <c r="Q108" s="1"/>
      <c r="R108" s="1"/>
      <c r="S108" s="1"/>
      <c r="T108" s="1"/>
    </row>
    <row r="109" spans="2:20" s="132" customFormat="1">
      <c r="B109" s="131"/>
      <c r="C109" s="131"/>
      <c r="O109" s="1"/>
      <c r="P109" s="1"/>
      <c r="Q109" s="1"/>
      <c r="R109" s="1"/>
      <c r="S109" s="1"/>
      <c r="T109" s="1"/>
    </row>
    <row r="110" spans="2:20" s="132" customFormat="1">
      <c r="B110" s="131"/>
      <c r="C110" s="131"/>
      <c r="O110" s="1"/>
      <c r="P110" s="1"/>
      <c r="Q110" s="1"/>
      <c r="R110" s="1"/>
      <c r="S110" s="1"/>
      <c r="T110" s="1"/>
    </row>
    <row r="111" spans="2:20" s="132" customFormat="1">
      <c r="B111" s="131"/>
      <c r="C111" s="131"/>
      <c r="O111" s="1"/>
      <c r="P111" s="1"/>
      <c r="Q111" s="1"/>
      <c r="R111" s="1"/>
      <c r="S111" s="1"/>
      <c r="T111" s="1"/>
    </row>
    <row r="112" spans="2:20" s="132" customFormat="1">
      <c r="B112" s="131"/>
      <c r="C112" s="131"/>
      <c r="O112" s="1"/>
      <c r="P112" s="1"/>
      <c r="Q112" s="1"/>
      <c r="R112" s="1"/>
      <c r="S112" s="1"/>
      <c r="T112" s="1"/>
    </row>
    <row r="113" spans="2:20" s="132" customFormat="1">
      <c r="B113" s="131"/>
      <c r="C113" s="131"/>
      <c r="O113" s="1"/>
      <c r="P113" s="1"/>
      <c r="Q113" s="1"/>
      <c r="R113" s="1"/>
      <c r="S113" s="1"/>
      <c r="T113" s="1"/>
    </row>
    <row r="114" spans="2:20" s="132" customFormat="1">
      <c r="B114" s="131"/>
      <c r="C114" s="131"/>
      <c r="O114" s="1"/>
      <c r="P114" s="1"/>
      <c r="Q114" s="1"/>
      <c r="R114" s="1"/>
      <c r="S114" s="1"/>
      <c r="T114" s="1"/>
    </row>
    <row r="115" spans="2:20" s="132" customFormat="1">
      <c r="B115" s="131"/>
      <c r="C115" s="131"/>
      <c r="O115" s="1"/>
      <c r="P115" s="1"/>
      <c r="Q115" s="1"/>
      <c r="R115" s="1"/>
      <c r="S115" s="1"/>
      <c r="T115" s="1"/>
    </row>
    <row r="116" spans="2:20" s="132" customFormat="1">
      <c r="B116" s="131"/>
      <c r="C116" s="131"/>
      <c r="O116" s="1"/>
      <c r="P116" s="1"/>
      <c r="Q116" s="1"/>
      <c r="R116" s="1"/>
      <c r="S116" s="1"/>
      <c r="T116" s="1"/>
    </row>
    <row r="117" spans="2:20" s="132" customFormat="1">
      <c r="B117" s="131"/>
      <c r="C117" s="131"/>
      <c r="O117" s="1"/>
      <c r="P117" s="1"/>
      <c r="Q117" s="1"/>
      <c r="R117" s="1"/>
      <c r="S117" s="1"/>
      <c r="T117" s="1"/>
    </row>
    <row r="118" spans="2:20" s="132" customFormat="1">
      <c r="B118" s="131"/>
      <c r="C118" s="131"/>
      <c r="O118" s="1"/>
      <c r="P118" s="1"/>
      <c r="Q118" s="1"/>
      <c r="R118" s="1"/>
      <c r="S118" s="1"/>
      <c r="T118" s="1"/>
    </row>
    <row r="119" spans="2:20" s="132" customFormat="1">
      <c r="B119" s="131"/>
      <c r="C119" s="131"/>
      <c r="O119" s="1"/>
      <c r="P119" s="1"/>
      <c r="Q119" s="1"/>
      <c r="R119" s="1"/>
      <c r="S119" s="1"/>
      <c r="T119" s="1"/>
    </row>
    <row r="120" spans="2:20" s="132" customFormat="1">
      <c r="B120" s="131"/>
      <c r="C120" s="131"/>
      <c r="O120" s="1"/>
      <c r="P120" s="1"/>
      <c r="Q120" s="1"/>
      <c r="R120" s="1"/>
      <c r="S120" s="1"/>
      <c r="T120" s="1"/>
    </row>
    <row r="121" spans="2:20" s="132" customFormat="1">
      <c r="B121" s="131"/>
      <c r="C121" s="131"/>
      <c r="O121" s="1"/>
      <c r="P121" s="1"/>
      <c r="Q121" s="1"/>
      <c r="R121" s="1"/>
      <c r="S121" s="1"/>
      <c r="T121" s="1"/>
    </row>
    <row r="122" spans="2:20" s="132" customFormat="1">
      <c r="B122" s="131"/>
      <c r="C122" s="131"/>
      <c r="O122" s="1"/>
      <c r="P122" s="1"/>
      <c r="Q122" s="1"/>
      <c r="R122" s="1"/>
      <c r="S122" s="1"/>
      <c r="T122" s="1"/>
    </row>
    <row r="123" spans="2:20" s="132" customFormat="1">
      <c r="B123" s="131"/>
      <c r="C123" s="131"/>
      <c r="O123" s="1"/>
      <c r="P123" s="1"/>
      <c r="Q123" s="1"/>
      <c r="R123" s="1"/>
      <c r="S123" s="1"/>
      <c r="T123" s="1"/>
    </row>
    <row r="124" spans="2:20" s="132" customFormat="1">
      <c r="B124" s="131"/>
      <c r="C124" s="131"/>
      <c r="O124" s="1"/>
      <c r="P124" s="1"/>
      <c r="Q124" s="1"/>
      <c r="R124" s="1"/>
      <c r="S124" s="1"/>
      <c r="T124" s="1"/>
    </row>
    <row r="125" spans="2:20" s="132" customFormat="1">
      <c r="B125" s="131"/>
      <c r="C125" s="131"/>
      <c r="O125" s="1"/>
      <c r="P125" s="1"/>
      <c r="Q125" s="1"/>
      <c r="R125" s="1"/>
      <c r="S125" s="1"/>
      <c r="T125" s="1"/>
    </row>
    <row r="126" spans="2:20" s="132" customFormat="1">
      <c r="B126" s="131"/>
      <c r="C126" s="131"/>
      <c r="O126" s="1"/>
      <c r="P126" s="1"/>
      <c r="Q126" s="1"/>
      <c r="R126" s="1"/>
      <c r="S126" s="1"/>
      <c r="T126" s="1"/>
    </row>
    <row r="127" spans="2:20" s="132" customFormat="1">
      <c r="B127" s="131"/>
      <c r="C127" s="131"/>
      <c r="O127" s="1"/>
      <c r="P127" s="1"/>
      <c r="Q127" s="1"/>
      <c r="R127" s="1"/>
      <c r="S127" s="1"/>
      <c r="T127" s="1"/>
    </row>
    <row r="128" spans="2:20" s="132" customFormat="1">
      <c r="B128" s="131"/>
      <c r="C128" s="131"/>
      <c r="O128" s="1"/>
      <c r="P128" s="1"/>
      <c r="Q128" s="1"/>
      <c r="R128" s="1"/>
      <c r="S128" s="1"/>
      <c r="T128" s="1"/>
    </row>
    <row r="129" spans="2:20" s="132" customFormat="1">
      <c r="B129" s="131"/>
      <c r="C129" s="131"/>
      <c r="O129" s="1"/>
      <c r="P129" s="1"/>
      <c r="Q129" s="1"/>
      <c r="R129" s="1"/>
      <c r="S129" s="1"/>
      <c r="T129" s="1"/>
    </row>
    <row r="130" spans="2:20" s="132" customFormat="1">
      <c r="B130" s="131"/>
      <c r="C130" s="131"/>
      <c r="O130" s="1"/>
      <c r="P130" s="1"/>
      <c r="Q130" s="1"/>
      <c r="R130" s="1"/>
      <c r="S130" s="1"/>
      <c r="T130" s="1"/>
    </row>
    <row r="131" spans="2:20" s="132" customFormat="1">
      <c r="B131" s="131"/>
      <c r="C131" s="131"/>
      <c r="O131" s="1"/>
      <c r="P131" s="1"/>
      <c r="Q131" s="1"/>
      <c r="R131" s="1"/>
      <c r="S131" s="1"/>
      <c r="T131" s="1"/>
    </row>
    <row r="132" spans="2:20" s="132" customFormat="1">
      <c r="B132" s="131"/>
      <c r="C132" s="131"/>
      <c r="O132" s="1"/>
      <c r="P132" s="1"/>
      <c r="Q132" s="1"/>
      <c r="R132" s="1"/>
      <c r="S132" s="1"/>
      <c r="T132" s="1"/>
    </row>
    <row r="133" spans="2:20" s="132" customFormat="1">
      <c r="B133" s="131"/>
      <c r="C133" s="131"/>
      <c r="O133" s="1"/>
      <c r="P133" s="1"/>
      <c r="Q133" s="1"/>
      <c r="R133" s="1"/>
      <c r="S133" s="1"/>
      <c r="T133" s="1"/>
    </row>
    <row r="134" spans="2:20" s="132" customFormat="1">
      <c r="B134" s="131"/>
      <c r="C134" s="131"/>
      <c r="O134" s="1"/>
      <c r="P134" s="1"/>
      <c r="Q134" s="1"/>
      <c r="R134" s="1"/>
      <c r="S134" s="1"/>
      <c r="T134" s="1"/>
    </row>
    <row r="135" spans="2:20" s="132" customFormat="1">
      <c r="B135" s="2"/>
      <c r="C135" s="2"/>
      <c r="D135" s="1"/>
      <c r="E135" s="1"/>
      <c r="F135" s="1"/>
      <c r="G135" s="1"/>
      <c r="H135" s="1"/>
      <c r="I135" s="1"/>
      <c r="J135" s="1"/>
      <c r="K135" s="1"/>
      <c r="L135" s="1"/>
      <c r="O135" s="1"/>
      <c r="P135" s="1"/>
      <c r="Q135" s="1"/>
      <c r="R135" s="1"/>
      <c r="S135" s="1"/>
      <c r="T135" s="1"/>
    </row>
    <row r="136" spans="2:20" s="132" customFormat="1">
      <c r="B136" s="2"/>
      <c r="C136" s="2"/>
      <c r="D136" s="1"/>
      <c r="E136" s="1"/>
      <c r="F136" s="1"/>
      <c r="G136" s="1"/>
      <c r="H136" s="1"/>
      <c r="I136" s="1"/>
      <c r="J136" s="1"/>
      <c r="K136" s="1"/>
      <c r="L136" s="1"/>
      <c r="O136" s="1"/>
      <c r="P136" s="1"/>
      <c r="Q136" s="1"/>
      <c r="R136" s="1"/>
      <c r="S136" s="1"/>
      <c r="T136" s="1"/>
    </row>
    <row r="137" spans="2:20" s="132" customFormat="1">
      <c r="B137" s="2"/>
      <c r="C137" s="2"/>
      <c r="D137" s="1"/>
      <c r="E137" s="1"/>
      <c r="F137" s="1"/>
      <c r="G137" s="1"/>
      <c r="H137" s="1"/>
      <c r="I137" s="1"/>
      <c r="J137" s="1"/>
      <c r="K137" s="1"/>
      <c r="L137" s="1"/>
      <c r="O137" s="1"/>
      <c r="P137" s="1"/>
      <c r="Q137" s="1"/>
      <c r="R137" s="1"/>
      <c r="S137" s="1"/>
      <c r="T137" s="1"/>
    </row>
    <row r="138" spans="2:20" s="132" customFormat="1">
      <c r="B138" s="2"/>
      <c r="C138" s="2"/>
      <c r="D138" s="1"/>
      <c r="E138" s="1"/>
      <c r="F138" s="1"/>
      <c r="G138" s="1"/>
      <c r="H138" s="1"/>
      <c r="I138" s="1"/>
      <c r="J138" s="1"/>
      <c r="K138" s="1"/>
      <c r="L138" s="1"/>
      <c r="O138" s="1"/>
      <c r="P138" s="1"/>
      <c r="Q138" s="1"/>
      <c r="R138" s="1"/>
      <c r="S138" s="1"/>
      <c r="T138" s="1"/>
    </row>
    <row r="139" spans="2:20" s="132" customFormat="1">
      <c r="B139" s="2"/>
      <c r="C139" s="2"/>
      <c r="D139" s="1"/>
      <c r="E139" s="1"/>
      <c r="F139" s="1"/>
      <c r="G139" s="1"/>
      <c r="H139" s="1"/>
      <c r="I139" s="1"/>
      <c r="J139" s="1"/>
      <c r="K139" s="1"/>
      <c r="L139" s="1"/>
      <c r="O139" s="1"/>
      <c r="P139" s="1"/>
      <c r="Q139" s="1"/>
      <c r="R139" s="1"/>
      <c r="S139" s="1"/>
      <c r="T139" s="1"/>
    </row>
    <row r="140" spans="2:20" s="132" customFormat="1">
      <c r="B140" s="2"/>
      <c r="C140" s="2"/>
      <c r="D140" s="1"/>
      <c r="E140" s="1"/>
      <c r="F140" s="1"/>
      <c r="G140" s="1"/>
      <c r="H140" s="1"/>
      <c r="I140" s="1"/>
      <c r="J140" s="1"/>
      <c r="K140" s="1"/>
      <c r="L140" s="1"/>
      <c r="O140" s="1"/>
      <c r="P140" s="1"/>
      <c r="Q140" s="1"/>
      <c r="R140" s="1"/>
      <c r="S140" s="1"/>
      <c r="T140" s="1"/>
    </row>
    <row r="141" spans="2:20" s="132" customFormat="1">
      <c r="B141" s="2"/>
      <c r="C141" s="2"/>
      <c r="D141" s="1"/>
      <c r="E141" s="1"/>
      <c r="F141" s="1"/>
      <c r="G141" s="1"/>
      <c r="H141" s="1"/>
      <c r="I141" s="1"/>
      <c r="J141" s="1"/>
      <c r="K141" s="1"/>
      <c r="L141" s="1"/>
      <c r="O141" s="1"/>
      <c r="P141" s="1"/>
      <c r="Q141" s="1"/>
      <c r="R141" s="1"/>
      <c r="S141" s="1"/>
      <c r="T141" s="1"/>
    </row>
    <row r="142" spans="2:20" s="132" customFormat="1">
      <c r="B142" s="2"/>
      <c r="C142" s="2"/>
      <c r="D142" s="1"/>
      <c r="E142" s="1"/>
      <c r="F142" s="1"/>
      <c r="G142" s="1"/>
      <c r="H142" s="1"/>
      <c r="I142" s="1"/>
      <c r="J142" s="1"/>
      <c r="K142" s="1"/>
      <c r="L142" s="1"/>
      <c r="O142" s="1"/>
      <c r="P142" s="1"/>
      <c r="Q142" s="1"/>
      <c r="R142" s="1"/>
      <c r="S142" s="1"/>
      <c r="T142" s="1"/>
    </row>
    <row r="143" spans="2:20" s="132" customFormat="1">
      <c r="B143" s="2"/>
      <c r="C143" s="2"/>
      <c r="D143" s="1"/>
      <c r="E143" s="1"/>
      <c r="F143" s="1"/>
      <c r="G143" s="1"/>
      <c r="H143" s="1"/>
      <c r="I143" s="1"/>
      <c r="J143" s="1"/>
      <c r="K143" s="1"/>
      <c r="L143" s="1"/>
      <c r="O143" s="1"/>
      <c r="P143" s="1"/>
      <c r="Q143" s="1"/>
      <c r="R143" s="1"/>
      <c r="S143" s="1"/>
      <c r="T143" s="1"/>
    </row>
    <row r="144" spans="2:20" s="132" customFormat="1">
      <c r="B144" s="2"/>
      <c r="C144" s="2"/>
      <c r="D144" s="1"/>
      <c r="E144" s="1"/>
      <c r="F144" s="1"/>
      <c r="G144" s="1"/>
      <c r="H144" s="1"/>
      <c r="I144" s="1"/>
      <c r="J144" s="1"/>
      <c r="K144" s="1"/>
      <c r="L144" s="1"/>
      <c r="O144" s="1"/>
      <c r="P144" s="1"/>
      <c r="Q144" s="1"/>
      <c r="R144" s="1"/>
      <c r="S144" s="1"/>
      <c r="T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D516" s="1"/>
    </row>
    <row r="517" spans="4:5">
      <c r="D517" s="1"/>
    </row>
    <row r="518" spans="4:5">
      <c r="D518" s="1"/>
    </row>
    <row r="519" spans="4:5">
      <c r="E519" s="2"/>
    </row>
  </sheetData>
  <sheetProtection sheet="1" objects="1" scenarios="1"/>
  <mergeCells count="1">
    <mergeCell ref="B6:L6"/>
  </mergeCells>
  <phoneticPr fontId="5" type="noConversion"/>
  <conditionalFormatting sqref="B60:B62">
    <cfRule type="cellIs" dxfId="98" priority="2" operator="equal">
      <formula>2958465</formula>
    </cfRule>
    <cfRule type="cellIs" dxfId="97" priority="3" operator="equal">
      <formula>"NR3"</formula>
    </cfRule>
    <cfRule type="cellIs" dxfId="96" priority="4" operator="equal">
      <formula>"דירוג פנימי"</formula>
    </cfRule>
  </conditionalFormatting>
  <conditionalFormatting sqref="B60:B62">
    <cfRule type="cellIs" dxfId="95" priority="1" operator="equal">
      <formula>2958465</formula>
    </cfRule>
  </conditionalFormatting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G11" sqref="G11:R17"/>
    </sheetView>
  </sheetViews>
  <sheetFormatPr defaultColWidth="9.140625" defaultRowHeight="18"/>
  <cols>
    <col min="1" max="1" width="6.28515625" style="1" customWidth="1"/>
    <col min="2" max="2" width="31" style="2" bestFit="1" customWidth="1"/>
    <col min="3" max="3" width="48.42578125" style="2" bestFit="1" customWidth="1"/>
    <col min="4" max="4" width="7.5703125" style="2" bestFit="1" customWidth="1"/>
    <col min="5" max="5" width="4.85546875" style="1" bestFit="1" customWidth="1"/>
    <col min="6" max="6" width="9.57031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8554687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185</v>
      </c>
      <c r="C1" s="78" t="s" vm="1">
        <v>273</v>
      </c>
    </row>
    <row r="2" spans="2:18">
      <c r="B2" s="57" t="s">
        <v>184</v>
      </c>
      <c r="C2" s="78" t="s">
        <v>274</v>
      </c>
    </row>
    <row r="3" spans="2:18">
      <c r="B3" s="57" t="s">
        <v>186</v>
      </c>
      <c r="C3" s="78" t="s">
        <v>275</v>
      </c>
    </row>
    <row r="4" spans="2:18">
      <c r="B4" s="57" t="s">
        <v>187</v>
      </c>
      <c r="C4" s="78">
        <v>2102</v>
      </c>
    </row>
    <row r="6" spans="2:18" ht="26.25" customHeight="1">
      <c r="B6" s="181" t="s">
        <v>226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2:18" s="3" customFormat="1" ht="78.75">
      <c r="B7" s="23" t="s">
        <v>124</v>
      </c>
      <c r="C7" s="31" t="s">
        <v>49</v>
      </c>
      <c r="D7" s="31" t="s">
        <v>70</v>
      </c>
      <c r="E7" s="31" t="s">
        <v>15</v>
      </c>
      <c r="F7" s="31" t="s">
        <v>71</v>
      </c>
      <c r="G7" s="31" t="s">
        <v>110</v>
      </c>
      <c r="H7" s="31" t="s">
        <v>18</v>
      </c>
      <c r="I7" s="31" t="s">
        <v>109</v>
      </c>
      <c r="J7" s="31" t="s">
        <v>17</v>
      </c>
      <c r="K7" s="31" t="s">
        <v>223</v>
      </c>
      <c r="L7" s="31" t="s">
        <v>249</v>
      </c>
      <c r="M7" s="31" t="s">
        <v>224</v>
      </c>
      <c r="N7" s="31" t="s">
        <v>64</v>
      </c>
      <c r="O7" s="31" t="s">
        <v>188</v>
      </c>
      <c r="P7" s="32" t="s">
        <v>190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256</v>
      </c>
      <c r="M8" s="33" t="s">
        <v>252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6" t="s">
        <v>228</v>
      </c>
      <c r="C10" s="82"/>
      <c r="D10" s="82"/>
      <c r="E10" s="82"/>
      <c r="F10" s="82"/>
      <c r="G10" s="82"/>
      <c r="H10" s="91">
        <v>1.8466276558095276</v>
      </c>
      <c r="I10" s="82"/>
      <c r="J10" s="82"/>
      <c r="K10" s="104">
        <v>8.9776982030491836E-2</v>
      </c>
      <c r="L10" s="91"/>
      <c r="M10" s="91">
        <v>92179.324689999994</v>
      </c>
      <c r="N10" s="82"/>
      <c r="O10" s="92">
        <f>M10/$M$10</f>
        <v>1</v>
      </c>
      <c r="P10" s="92">
        <f>M10/'סכום נכסי הקרן'!$C$42</f>
        <v>1.5863976717681416E-3</v>
      </c>
      <c r="Q10" s="5"/>
    </row>
    <row r="11" spans="2:18" s="100" customFormat="1" ht="20.25" customHeight="1">
      <c r="B11" s="81" t="s">
        <v>243</v>
      </c>
      <c r="C11" s="82"/>
      <c r="D11" s="82"/>
      <c r="E11" s="82"/>
      <c r="F11" s="82"/>
      <c r="G11" s="82"/>
      <c r="H11" s="91">
        <v>1.8466276558095276</v>
      </c>
      <c r="I11" s="82"/>
      <c r="J11" s="82"/>
      <c r="K11" s="104">
        <v>8.9776982030491836E-2</v>
      </c>
      <c r="L11" s="91"/>
      <c r="M11" s="91">
        <v>92179.324689999994</v>
      </c>
      <c r="N11" s="82"/>
      <c r="O11" s="92">
        <f t="shared" ref="O11:O14" si="0">M11/$M$10</f>
        <v>1</v>
      </c>
      <c r="P11" s="92">
        <f>M11/'סכום נכסי הקרן'!$C$42</f>
        <v>1.5863976717681416E-3</v>
      </c>
      <c r="Q11" s="137"/>
      <c r="R11" s="137"/>
    </row>
    <row r="12" spans="2:18">
      <c r="B12" s="102" t="s">
        <v>35</v>
      </c>
      <c r="C12" s="82"/>
      <c r="D12" s="82"/>
      <c r="E12" s="82"/>
      <c r="F12" s="82"/>
      <c r="G12" s="82"/>
      <c r="H12" s="91">
        <v>1.8466276558095276</v>
      </c>
      <c r="I12" s="82"/>
      <c r="J12" s="82"/>
      <c r="K12" s="104">
        <v>8.9776982030491836E-2</v>
      </c>
      <c r="L12" s="91"/>
      <c r="M12" s="91">
        <v>92179.324689999994</v>
      </c>
      <c r="N12" s="82"/>
      <c r="O12" s="92">
        <f t="shared" si="0"/>
        <v>1</v>
      </c>
      <c r="P12" s="92">
        <f>M12/'סכום נכסי הקרן'!$C$42</f>
        <v>1.5863976717681416E-3</v>
      </c>
      <c r="Q12" s="132"/>
      <c r="R12" s="132"/>
    </row>
    <row r="13" spans="2:18">
      <c r="B13" s="87" t="s">
        <v>2936</v>
      </c>
      <c r="C13" s="84">
        <v>8745</v>
      </c>
      <c r="D13" s="97" t="s">
        <v>365</v>
      </c>
      <c r="E13" s="84" t="s">
        <v>2832</v>
      </c>
      <c r="F13" s="84" t="s">
        <v>2781</v>
      </c>
      <c r="G13" s="107">
        <v>39902</v>
      </c>
      <c r="H13" s="94">
        <v>1.86</v>
      </c>
      <c r="I13" s="97" t="s">
        <v>170</v>
      </c>
      <c r="J13" s="98">
        <v>8.6999999999999994E-2</v>
      </c>
      <c r="K13" s="98">
        <v>8.9800000000000005E-2</v>
      </c>
      <c r="L13" s="94">
        <v>80000000</v>
      </c>
      <c r="M13" s="94">
        <v>91168.952839999998</v>
      </c>
      <c r="N13" s="84"/>
      <c r="O13" s="95">
        <f t="shared" si="0"/>
        <v>0.98903906213895698</v>
      </c>
      <c r="P13" s="95">
        <f>M13/'סכום נכסי הקרן'!$C$42</f>
        <v>1.5690092654649878E-3</v>
      </c>
      <c r="Q13" s="132"/>
      <c r="R13" s="132"/>
    </row>
    <row r="14" spans="2:18">
      <c r="B14" s="87" t="s">
        <v>2937</v>
      </c>
      <c r="C14" s="84" t="s">
        <v>2938</v>
      </c>
      <c r="D14" s="97" t="s">
        <v>164</v>
      </c>
      <c r="E14" s="84" t="s">
        <v>669</v>
      </c>
      <c r="F14" s="84" t="s">
        <v>168</v>
      </c>
      <c r="G14" s="107">
        <v>40174</v>
      </c>
      <c r="H14" s="94">
        <v>0.64000000000000012</v>
      </c>
      <c r="I14" s="97" t="s">
        <v>170</v>
      </c>
      <c r="J14" s="98">
        <v>7.0900000000000005E-2</v>
      </c>
      <c r="K14" s="98">
        <v>8.7700000000000014E-2</v>
      </c>
      <c r="L14" s="94">
        <v>817346.3</v>
      </c>
      <c r="M14" s="94">
        <v>1010.37185</v>
      </c>
      <c r="N14" s="95">
        <v>7.2221507578375341E-3</v>
      </c>
      <c r="O14" s="95">
        <f t="shared" si="0"/>
        <v>1.0960937861043036E-2</v>
      </c>
      <c r="P14" s="95">
        <f>M14/'סכום נכסי הקרן'!$C$42</f>
        <v>1.7388406303153946E-5</v>
      </c>
      <c r="Q14" s="132"/>
      <c r="R14" s="132"/>
    </row>
    <row r="15" spans="2:18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94"/>
      <c r="M15" s="84"/>
      <c r="N15" s="84"/>
      <c r="O15" s="95"/>
      <c r="P15" s="84"/>
      <c r="Q15" s="132"/>
      <c r="R15" s="132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32"/>
      <c r="R16" s="132"/>
    </row>
    <row r="17" spans="2:18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32"/>
      <c r="R17" s="132"/>
    </row>
    <row r="18" spans="2:18">
      <c r="B18" s="99" t="s">
        <v>265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8">
      <c r="B19" s="99" t="s">
        <v>120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8">
      <c r="B20" s="99" t="s">
        <v>255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8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8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8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8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8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8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8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8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8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8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8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8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B1:B23 Q1:XFD30 Q34:XFD1048576 Q31:AF33 D1:P2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>
      <selection activeCell="Q13" sqref="Q13"/>
    </sheetView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48.42578125" style="2" bestFit="1" customWidth="1"/>
    <col min="4" max="4" width="7.5703125" style="2" bestFit="1" customWidth="1"/>
    <col min="5" max="5" width="4.85546875" style="1" bestFit="1" customWidth="1"/>
    <col min="6" max="6" width="6.28515625" style="1" bestFit="1" customWidth="1"/>
    <col min="7" max="7" width="11.28515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8.140625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185</v>
      </c>
      <c r="C1" s="78" t="s" vm="1">
        <v>273</v>
      </c>
    </row>
    <row r="2" spans="2:18">
      <c r="B2" s="57" t="s">
        <v>184</v>
      </c>
      <c r="C2" s="78" t="s">
        <v>274</v>
      </c>
    </row>
    <row r="3" spans="2:18">
      <c r="B3" s="57" t="s">
        <v>186</v>
      </c>
      <c r="C3" s="78" t="s">
        <v>275</v>
      </c>
    </row>
    <row r="4" spans="2:18">
      <c r="B4" s="57" t="s">
        <v>187</v>
      </c>
      <c r="C4" s="78">
        <v>2102</v>
      </c>
    </row>
    <row r="6" spans="2:18" ht="26.25" customHeight="1">
      <c r="B6" s="181" t="s">
        <v>230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3"/>
    </row>
    <row r="7" spans="2:18" s="3" customFormat="1" ht="78.75">
      <c r="B7" s="23" t="s">
        <v>124</v>
      </c>
      <c r="C7" s="31" t="s">
        <v>49</v>
      </c>
      <c r="D7" s="31" t="s">
        <v>70</v>
      </c>
      <c r="E7" s="31" t="s">
        <v>15</v>
      </c>
      <c r="F7" s="31" t="s">
        <v>71</v>
      </c>
      <c r="G7" s="31" t="s">
        <v>110</v>
      </c>
      <c r="H7" s="31" t="s">
        <v>18</v>
      </c>
      <c r="I7" s="31" t="s">
        <v>109</v>
      </c>
      <c r="J7" s="31" t="s">
        <v>17</v>
      </c>
      <c r="K7" s="31" t="s">
        <v>223</v>
      </c>
      <c r="L7" s="31" t="s">
        <v>249</v>
      </c>
      <c r="M7" s="31" t="s">
        <v>224</v>
      </c>
      <c r="N7" s="31" t="s">
        <v>64</v>
      </c>
      <c r="O7" s="31" t="s">
        <v>188</v>
      </c>
      <c r="P7" s="32" t="s">
        <v>190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256</v>
      </c>
      <c r="M8" s="33" t="s">
        <v>252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6" t="s">
        <v>229</v>
      </c>
      <c r="C10" s="82"/>
      <c r="D10" s="82"/>
      <c r="E10" s="82"/>
      <c r="F10" s="82"/>
      <c r="G10" s="82"/>
      <c r="H10" s="91">
        <v>2.96</v>
      </c>
      <c r="I10" s="82"/>
      <c r="J10" s="82"/>
      <c r="K10" s="104">
        <v>8.8399999999999992E-2</v>
      </c>
      <c r="L10" s="91"/>
      <c r="M10" s="91">
        <v>15936.04233</v>
      </c>
      <c r="N10" s="82"/>
      <c r="O10" s="92">
        <f>M10/$M$10</f>
        <v>1</v>
      </c>
      <c r="P10" s="92">
        <f>M10/'סכום נכסי הקרן'!$C$42</f>
        <v>2.7425781794920362E-4</v>
      </c>
      <c r="Q10" s="5"/>
    </row>
    <row r="11" spans="2:18" s="100" customFormat="1" ht="20.25" customHeight="1">
      <c r="B11" s="81" t="s">
        <v>33</v>
      </c>
      <c r="C11" s="82"/>
      <c r="D11" s="82"/>
      <c r="E11" s="82"/>
      <c r="F11" s="82"/>
      <c r="G11" s="82"/>
      <c r="H11" s="91">
        <v>2.96</v>
      </c>
      <c r="I11" s="82"/>
      <c r="J11" s="82"/>
      <c r="K11" s="104">
        <v>8.8399999999999992E-2</v>
      </c>
      <c r="L11" s="91"/>
      <c r="M11" s="91">
        <v>15936.04233</v>
      </c>
      <c r="N11" s="82"/>
      <c r="O11" s="92">
        <f t="shared" ref="O11:O13" si="0">M11/$M$10</f>
        <v>1</v>
      </c>
      <c r="P11" s="92">
        <f>M11/'סכום נכסי הקרן'!$C$42</f>
        <v>2.7425781794920362E-4</v>
      </c>
    </row>
    <row r="12" spans="2:18">
      <c r="B12" s="102" t="s">
        <v>35</v>
      </c>
      <c r="C12" s="82"/>
      <c r="D12" s="82"/>
      <c r="E12" s="82"/>
      <c r="F12" s="82"/>
      <c r="G12" s="82"/>
      <c r="H12" s="91">
        <v>2.96</v>
      </c>
      <c r="I12" s="82"/>
      <c r="J12" s="82"/>
      <c r="K12" s="104">
        <v>8.8399999999999992E-2</v>
      </c>
      <c r="L12" s="91"/>
      <c r="M12" s="91">
        <v>15936.04233</v>
      </c>
      <c r="N12" s="82"/>
      <c r="O12" s="92">
        <f t="shared" si="0"/>
        <v>1</v>
      </c>
      <c r="P12" s="92">
        <f>M12/'סכום נכסי הקרן'!$C$42</f>
        <v>2.7425781794920362E-4</v>
      </c>
    </row>
    <row r="13" spans="2:18">
      <c r="B13" s="133" t="s">
        <v>3061</v>
      </c>
      <c r="C13" s="84" t="s">
        <v>2939</v>
      </c>
      <c r="D13" s="97" t="s">
        <v>164</v>
      </c>
      <c r="E13" s="84" t="s">
        <v>669</v>
      </c>
      <c r="F13" s="84" t="s">
        <v>168</v>
      </c>
      <c r="G13" s="107">
        <v>40618</v>
      </c>
      <c r="H13" s="94">
        <v>2.96</v>
      </c>
      <c r="I13" s="97" t="s">
        <v>170</v>
      </c>
      <c r="J13" s="98">
        <v>7.1500000000000008E-2</v>
      </c>
      <c r="K13" s="98">
        <v>8.8399999999999992E-2</v>
      </c>
      <c r="L13" s="94">
        <v>15299512.359999999</v>
      </c>
      <c r="M13" s="94">
        <v>15936.04233</v>
      </c>
      <c r="N13" s="84"/>
      <c r="O13" s="95">
        <f t="shared" si="0"/>
        <v>1</v>
      </c>
      <c r="P13" s="95">
        <f>M13/'סכום נכסי הקרן'!$C$42</f>
        <v>2.7425781794920362E-4</v>
      </c>
      <c r="Q13" s="87"/>
    </row>
    <row r="14" spans="2:18">
      <c r="B14" s="83"/>
      <c r="C14" s="84"/>
      <c r="D14" s="84"/>
      <c r="E14" s="84"/>
      <c r="F14" s="84"/>
      <c r="G14" s="84"/>
      <c r="H14" s="84"/>
      <c r="I14" s="84"/>
      <c r="J14" s="84"/>
      <c r="K14" s="84"/>
      <c r="L14" s="94"/>
      <c r="M14" s="94"/>
      <c r="N14" s="84"/>
      <c r="O14" s="95"/>
      <c r="P14" s="84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99" t="s">
        <v>265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99" t="s">
        <v>120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99" t="s">
        <v>255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</row>
    <row r="111" spans="2:16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</row>
    <row r="112" spans="2:16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</row>
    <row r="113" spans="2:16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</row>
    <row r="114" spans="2:16">
      <c r="D114" s="1"/>
    </row>
    <row r="115" spans="2:16">
      <c r="D115" s="1"/>
    </row>
    <row r="116" spans="2:16">
      <c r="D116" s="1"/>
    </row>
    <row r="117" spans="2:16">
      <c r="D117" s="1"/>
    </row>
    <row r="118" spans="2:16">
      <c r="D118" s="1"/>
    </row>
    <row r="119" spans="2:16">
      <c r="D119" s="1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AH31:XFD33 Q1:XFD30 D1:P23 Q34:XFD1048576 Q31:AF33 B1:B2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AO878"/>
  <sheetViews>
    <sheetView rightToLeft="1" topLeftCell="C1" workbookViewId="0">
      <selection activeCell="C11" sqref="A11:XFD138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8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5.42578125" style="1" bestFit="1" customWidth="1"/>
    <col min="13" max="13" width="7.28515625" style="1" bestFit="1" customWidth="1"/>
    <col min="14" max="14" width="8.28515625" style="1" bestFit="1" customWidth="1"/>
    <col min="15" max="15" width="13.1406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26" width="7.5703125" style="1" customWidth="1"/>
    <col min="27" max="27" width="6.7109375" style="1" customWidth="1"/>
    <col min="28" max="28" width="7.7109375" style="1" customWidth="1"/>
    <col min="29" max="29" width="7.140625" style="1" customWidth="1"/>
    <col min="30" max="30" width="6" style="1" customWidth="1"/>
    <col min="31" max="31" width="7.85546875" style="1" customWidth="1"/>
    <col min="32" max="32" width="8.140625" style="1" customWidth="1"/>
    <col min="33" max="33" width="1.7109375" style="1" customWidth="1"/>
    <col min="34" max="34" width="15" style="1" customWidth="1"/>
    <col min="35" max="35" width="8.7109375" style="1" customWidth="1"/>
    <col min="36" max="36" width="10" style="1" customWidth="1"/>
    <col min="37" max="37" width="9.5703125" style="1" customWidth="1"/>
    <col min="38" max="38" width="6.140625" style="1" customWidth="1"/>
    <col min="39" max="40" width="5.7109375" style="1" customWidth="1"/>
    <col min="41" max="41" width="6.85546875" style="1" customWidth="1"/>
    <col min="42" max="42" width="6.42578125" style="1" customWidth="1"/>
    <col min="43" max="43" width="6.7109375" style="1" customWidth="1"/>
    <col min="44" max="44" width="7.28515625" style="1" customWidth="1"/>
    <col min="45" max="56" width="5.7109375" style="1" customWidth="1"/>
    <col min="57" max="16384" width="9.140625" style="1"/>
  </cols>
  <sheetData>
    <row r="1" spans="2:41">
      <c r="B1" s="57" t="s">
        <v>185</v>
      </c>
      <c r="C1" s="78" t="s" vm="1">
        <v>273</v>
      </c>
    </row>
    <row r="2" spans="2:41">
      <c r="B2" s="57" t="s">
        <v>184</v>
      </c>
      <c r="C2" s="78" t="s">
        <v>274</v>
      </c>
    </row>
    <row r="3" spans="2:41">
      <c r="B3" s="57" t="s">
        <v>186</v>
      </c>
      <c r="C3" s="78" t="s">
        <v>275</v>
      </c>
    </row>
    <row r="4" spans="2:41">
      <c r="B4" s="57" t="s">
        <v>187</v>
      </c>
      <c r="C4" s="78">
        <v>2102</v>
      </c>
    </row>
    <row r="6" spans="2:41" ht="21.75" customHeight="1">
      <c r="B6" s="172" t="s">
        <v>215</v>
      </c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4"/>
    </row>
    <row r="7" spans="2:41" ht="27.75" customHeight="1">
      <c r="B7" s="175" t="s">
        <v>95</v>
      </c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AI7" s="3"/>
      <c r="AJ7" s="3"/>
    </row>
    <row r="8" spans="2:41" s="3" customFormat="1" ht="66" customHeight="1">
      <c r="B8" s="23" t="s">
        <v>123</v>
      </c>
      <c r="C8" s="31" t="s">
        <v>49</v>
      </c>
      <c r="D8" s="31" t="s">
        <v>127</v>
      </c>
      <c r="E8" s="31" t="s">
        <v>15</v>
      </c>
      <c r="F8" s="31" t="s">
        <v>71</v>
      </c>
      <c r="G8" s="31" t="s">
        <v>110</v>
      </c>
      <c r="H8" s="31" t="s">
        <v>18</v>
      </c>
      <c r="I8" s="31" t="s">
        <v>109</v>
      </c>
      <c r="J8" s="31" t="s">
        <v>17</v>
      </c>
      <c r="K8" s="31" t="s">
        <v>19</v>
      </c>
      <c r="L8" s="31" t="s">
        <v>249</v>
      </c>
      <c r="M8" s="31" t="s">
        <v>248</v>
      </c>
      <c r="N8" s="31" t="s">
        <v>264</v>
      </c>
      <c r="O8" s="31" t="s">
        <v>67</v>
      </c>
      <c r="P8" s="31" t="s">
        <v>251</v>
      </c>
      <c r="Q8" s="31" t="s">
        <v>188</v>
      </c>
      <c r="R8" s="72" t="s">
        <v>190</v>
      </c>
      <c r="AA8" s="1"/>
      <c r="AI8" s="1"/>
      <c r="AJ8" s="1"/>
      <c r="AK8" s="1"/>
    </row>
    <row r="9" spans="2:41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256</v>
      </c>
      <c r="M9" s="33"/>
      <c r="N9" s="17" t="s">
        <v>252</v>
      </c>
      <c r="O9" s="33" t="s">
        <v>257</v>
      </c>
      <c r="P9" s="33" t="s">
        <v>20</v>
      </c>
      <c r="Q9" s="33" t="s">
        <v>20</v>
      </c>
      <c r="R9" s="34" t="s">
        <v>20</v>
      </c>
      <c r="AI9" s="1"/>
      <c r="AJ9" s="1"/>
    </row>
    <row r="10" spans="2:41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121</v>
      </c>
      <c r="R10" s="21" t="s">
        <v>122</v>
      </c>
      <c r="S10" s="5"/>
      <c r="T10" s="5"/>
      <c r="U10" s="5"/>
      <c r="V10" s="5"/>
      <c r="W10" s="5"/>
      <c r="X10" s="5"/>
      <c r="Y10" s="5"/>
      <c r="Z10" s="5"/>
      <c r="AI10" s="1"/>
      <c r="AJ10" s="1"/>
      <c r="AK10" s="3"/>
    </row>
    <row r="11" spans="2:41" s="135" customFormat="1" ht="18" customHeight="1">
      <c r="B11" s="79" t="s">
        <v>29</v>
      </c>
      <c r="C11" s="80"/>
      <c r="D11" s="80"/>
      <c r="E11" s="80"/>
      <c r="F11" s="80"/>
      <c r="G11" s="80"/>
      <c r="H11" s="88">
        <v>3.7340197432728548</v>
      </c>
      <c r="I11" s="80"/>
      <c r="J11" s="80"/>
      <c r="K11" s="89">
        <v>1.530403648760667E-3</v>
      </c>
      <c r="L11" s="88"/>
      <c r="M11" s="90"/>
      <c r="N11" s="80"/>
      <c r="O11" s="88">
        <v>2656678.5092126275</v>
      </c>
      <c r="P11" s="80"/>
      <c r="Q11" s="89">
        <f>O11/$O$11</f>
        <v>1</v>
      </c>
      <c r="R11" s="89">
        <f>O11/'סכום נכסי הקרן'!$C$42</f>
        <v>4.5721191989905971E-2</v>
      </c>
      <c r="S11" s="140"/>
      <c r="T11" s="140"/>
      <c r="U11" s="140"/>
      <c r="V11" s="140"/>
      <c r="W11" s="140"/>
      <c r="X11" s="140"/>
      <c r="Y11" s="140"/>
      <c r="Z11" s="140"/>
      <c r="AI11" s="132"/>
      <c r="AJ11" s="132"/>
      <c r="AK11" s="141"/>
      <c r="AO11" s="132"/>
    </row>
    <row r="12" spans="2:41" s="132" customFormat="1" ht="22.5" customHeight="1">
      <c r="B12" s="81" t="s">
        <v>243</v>
      </c>
      <c r="C12" s="82"/>
      <c r="D12" s="82"/>
      <c r="E12" s="82"/>
      <c r="F12" s="82"/>
      <c r="G12" s="82"/>
      <c r="H12" s="91">
        <v>3.7340197432728557</v>
      </c>
      <c r="I12" s="82"/>
      <c r="J12" s="82"/>
      <c r="K12" s="92">
        <v>1.5304036487606676E-3</v>
      </c>
      <c r="L12" s="91"/>
      <c r="M12" s="93"/>
      <c r="N12" s="82"/>
      <c r="O12" s="91">
        <v>2656678.5092126266</v>
      </c>
      <c r="P12" s="82"/>
      <c r="Q12" s="92">
        <f t="shared" ref="Q12:Q24" si="0">O12/$O$11</f>
        <v>0.99999999999999967</v>
      </c>
      <c r="R12" s="92">
        <f>O12/'סכום נכסי הקרן'!$C$42</f>
        <v>4.5721191989905957E-2</v>
      </c>
      <c r="AK12" s="135"/>
    </row>
    <row r="13" spans="2:41" s="137" customFormat="1">
      <c r="B13" s="123" t="s">
        <v>27</v>
      </c>
      <c r="C13" s="124"/>
      <c r="D13" s="124"/>
      <c r="E13" s="124"/>
      <c r="F13" s="124"/>
      <c r="G13" s="124"/>
      <c r="H13" s="125">
        <v>6.4936465706367636</v>
      </c>
      <c r="I13" s="124"/>
      <c r="J13" s="124"/>
      <c r="K13" s="126">
        <v>-6.4895137900805198E-3</v>
      </c>
      <c r="L13" s="125"/>
      <c r="M13" s="127"/>
      <c r="N13" s="124"/>
      <c r="O13" s="125">
        <v>572633.4298880751</v>
      </c>
      <c r="P13" s="124"/>
      <c r="Q13" s="126">
        <f t="shared" si="0"/>
        <v>0.21554487225395941</v>
      </c>
      <c r="R13" s="126">
        <f>O13/'סכום נכסי הקרן'!$C$42</f>
        <v>9.8549684867630348E-3</v>
      </c>
    </row>
    <row r="14" spans="2:41" s="132" customFormat="1">
      <c r="B14" s="85" t="s">
        <v>26</v>
      </c>
      <c r="C14" s="82"/>
      <c r="D14" s="82"/>
      <c r="E14" s="82"/>
      <c r="F14" s="82"/>
      <c r="G14" s="82"/>
      <c r="H14" s="91">
        <v>6.4936465706367636</v>
      </c>
      <c r="I14" s="82"/>
      <c r="J14" s="82"/>
      <c r="K14" s="92">
        <v>-6.4895137900805198E-3</v>
      </c>
      <c r="L14" s="91"/>
      <c r="M14" s="93"/>
      <c r="N14" s="82"/>
      <c r="O14" s="91">
        <v>572633.4298880751</v>
      </c>
      <c r="P14" s="82"/>
      <c r="Q14" s="92">
        <f t="shared" si="0"/>
        <v>0.21554487225395941</v>
      </c>
      <c r="R14" s="92">
        <f>O14/'סכום נכסי הקרן'!$C$42</f>
        <v>9.8549684867630348E-3</v>
      </c>
    </row>
    <row r="15" spans="2:41" s="132" customFormat="1">
      <c r="B15" s="86" t="s">
        <v>276</v>
      </c>
      <c r="C15" s="84" t="s">
        <v>277</v>
      </c>
      <c r="D15" s="97" t="s">
        <v>128</v>
      </c>
      <c r="E15" s="84" t="s">
        <v>278</v>
      </c>
      <c r="F15" s="84"/>
      <c r="G15" s="84"/>
      <c r="H15" s="94">
        <v>1.5399999999999971</v>
      </c>
      <c r="I15" s="97" t="s">
        <v>170</v>
      </c>
      <c r="J15" s="98">
        <v>0.04</v>
      </c>
      <c r="K15" s="95">
        <v>-9.5999999999998881E-3</v>
      </c>
      <c r="L15" s="94">
        <v>48895340.395571001</v>
      </c>
      <c r="M15" s="96">
        <v>143.96</v>
      </c>
      <c r="N15" s="84"/>
      <c r="O15" s="94">
        <v>70389.731274630001</v>
      </c>
      <c r="P15" s="95">
        <v>3.14483839396585E-3</v>
      </c>
      <c r="Q15" s="95">
        <f t="shared" si="0"/>
        <v>2.64953892729353E-2</v>
      </c>
      <c r="R15" s="95">
        <f>O15/'סכום נכסי הקרן'!$C$42</f>
        <v>1.2114007797951701E-3</v>
      </c>
    </row>
    <row r="16" spans="2:41" s="132" customFormat="1" ht="20.25">
      <c r="B16" s="86" t="s">
        <v>279</v>
      </c>
      <c r="C16" s="84" t="s">
        <v>280</v>
      </c>
      <c r="D16" s="97" t="s">
        <v>128</v>
      </c>
      <c r="E16" s="84" t="s">
        <v>278</v>
      </c>
      <c r="F16" s="84"/>
      <c r="G16" s="84"/>
      <c r="H16" s="94">
        <v>4.26000000000003</v>
      </c>
      <c r="I16" s="97" t="s">
        <v>170</v>
      </c>
      <c r="J16" s="98">
        <v>0.04</v>
      </c>
      <c r="K16" s="95">
        <v>-8.7000000000000393E-3</v>
      </c>
      <c r="L16" s="94">
        <v>51209766.475863002</v>
      </c>
      <c r="M16" s="96">
        <v>154.88</v>
      </c>
      <c r="N16" s="84"/>
      <c r="O16" s="94">
        <v>79313.687000963997</v>
      </c>
      <c r="P16" s="95">
        <v>4.4078355746629298E-3</v>
      </c>
      <c r="Q16" s="95">
        <f t="shared" si="0"/>
        <v>2.985445424650594E-2</v>
      </c>
      <c r="R16" s="95">
        <f>O16/'סכום נכסי הקרן'!$C$42</f>
        <v>1.3649812343583616E-3</v>
      </c>
      <c r="AI16" s="135"/>
    </row>
    <row r="17" spans="2:36" s="132" customFormat="1" ht="20.25">
      <c r="B17" s="86" t="s">
        <v>281</v>
      </c>
      <c r="C17" s="84" t="s">
        <v>282</v>
      </c>
      <c r="D17" s="97" t="s">
        <v>128</v>
      </c>
      <c r="E17" s="84" t="s">
        <v>278</v>
      </c>
      <c r="F17" s="84"/>
      <c r="G17" s="84"/>
      <c r="H17" s="94">
        <v>7.2200000000001356</v>
      </c>
      <c r="I17" s="97" t="s">
        <v>170</v>
      </c>
      <c r="J17" s="98">
        <v>7.4999999999999997E-3</v>
      </c>
      <c r="K17" s="95">
        <v>-6.7000000000003047E-3</v>
      </c>
      <c r="L17" s="94">
        <v>18849108.998036001</v>
      </c>
      <c r="M17" s="96">
        <v>113.2</v>
      </c>
      <c r="N17" s="84"/>
      <c r="O17" s="94">
        <v>21337.191271104999</v>
      </c>
      <c r="P17" s="95">
        <v>1.3296448711656098E-3</v>
      </c>
      <c r="Q17" s="95">
        <f t="shared" si="0"/>
        <v>8.0315292938582944E-3</v>
      </c>
      <c r="R17" s="95">
        <f>O17/'סכום נכסי הקרן'!$C$42</f>
        <v>3.6721109281704901E-4</v>
      </c>
      <c r="AJ17" s="135"/>
    </row>
    <row r="18" spans="2:36" s="132" customFormat="1">
      <c r="B18" s="86" t="s">
        <v>283</v>
      </c>
      <c r="C18" s="84" t="s">
        <v>284</v>
      </c>
      <c r="D18" s="97" t="s">
        <v>128</v>
      </c>
      <c r="E18" s="84" t="s">
        <v>278</v>
      </c>
      <c r="F18" s="84"/>
      <c r="G18" s="84"/>
      <c r="H18" s="94">
        <v>13.199999999999985</v>
      </c>
      <c r="I18" s="97" t="s">
        <v>170</v>
      </c>
      <c r="J18" s="98">
        <v>0.04</v>
      </c>
      <c r="K18" s="95">
        <v>-5.9999999999994942E-4</v>
      </c>
      <c r="L18" s="94">
        <v>27347158.605186</v>
      </c>
      <c r="M18" s="96">
        <v>202.83</v>
      </c>
      <c r="N18" s="84"/>
      <c r="O18" s="94">
        <v>55468.241238788003</v>
      </c>
      <c r="P18" s="95">
        <v>1.6858481005351937E-3</v>
      </c>
      <c r="Q18" s="95">
        <f t="shared" si="0"/>
        <v>2.08787932173349E-2</v>
      </c>
      <c r="R18" s="95">
        <f>O18/'סכום נכסי הקרן'!$C$42</f>
        <v>9.546033132073156E-4</v>
      </c>
      <c r="AI18" s="141"/>
    </row>
    <row r="19" spans="2:36" s="132" customFormat="1">
      <c r="B19" s="86" t="s">
        <v>285</v>
      </c>
      <c r="C19" s="84" t="s">
        <v>286</v>
      </c>
      <c r="D19" s="97" t="s">
        <v>128</v>
      </c>
      <c r="E19" s="84" t="s">
        <v>278</v>
      </c>
      <c r="F19" s="84"/>
      <c r="G19" s="84"/>
      <c r="H19" s="94">
        <v>17.590000000000209</v>
      </c>
      <c r="I19" s="97" t="s">
        <v>170</v>
      </c>
      <c r="J19" s="98">
        <v>2.75E-2</v>
      </c>
      <c r="K19" s="95">
        <v>2.9000000000000536E-3</v>
      </c>
      <c r="L19" s="94">
        <v>28164465.412769999</v>
      </c>
      <c r="M19" s="96">
        <v>164.26</v>
      </c>
      <c r="N19" s="84"/>
      <c r="O19" s="94">
        <v>46262.949915975005</v>
      </c>
      <c r="P19" s="95">
        <v>1.5934573494273034E-3</v>
      </c>
      <c r="Q19" s="95">
        <f t="shared" si="0"/>
        <v>1.7413830749768128E-2</v>
      </c>
      <c r="R19" s="95">
        <f>O19/'סכום נכסי הקרן'!$C$42</f>
        <v>7.9618109898987692E-4</v>
      </c>
      <c r="AJ19" s="141"/>
    </row>
    <row r="20" spans="2:36" s="132" customFormat="1">
      <c r="B20" s="86" t="s">
        <v>287</v>
      </c>
      <c r="C20" s="84" t="s">
        <v>288</v>
      </c>
      <c r="D20" s="97" t="s">
        <v>128</v>
      </c>
      <c r="E20" s="84" t="s">
        <v>278</v>
      </c>
      <c r="F20" s="84"/>
      <c r="G20" s="84"/>
      <c r="H20" s="94">
        <v>3.6500000000000079</v>
      </c>
      <c r="I20" s="97" t="s">
        <v>170</v>
      </c>
      <c r="J20" s="98">
        <v>1.7500000000000002E-2</v>
      </c>
      <c r="K20" s="95">
        <v>-8.9999999999999785E-3</v>
      </c>
      <c r="L20" s="94">
        <v>82963657.044412002</v>
      </c>
      <c r="M20" s="96">
        <v>113.25</v>
      </c>
      <c r="N20" s="84"/>
      <c r="O20" s="94">
        <v>93956.347924728005</v>
      </c>
      <c r="P20" s="95">
        <v>4.9464005786849941E-3</v>
      </c>
      <c r="Q20" s="95">
        <f t="shared" si="0"/>
        <v>3.5366096273566155E-2</v>
      </c>
      <c r="R20" s="95">
        <f>O20/'סכום נכסי הקרן'!$C$42</f>
        <v>1.6169800776572164E-3</v>
      </c>
    </row>
    <row r="21" spans="2:36" s="132" customFormat="1">
      <c r="B21" s="86" t="s">
        <v>289</v>
      </c>
      <c r="C21" s="84" t="s">
        <v>290</v>
      </c>
      <c r="D21" s="97" t="s">
        <v>128</v>
      </c>
      <c r="E21" s="84" t="s">
        <v>278</v>
      </c>
      <c r="F21" s="84"/>
      <c r="G21" s="84"/>
      <c r="H21" s="94">
        <v>0.83000000000003604</v>
      </c>
      <c r="I21" s="97" t="s">
        <v>170</v>
      </c>
      <c r="J21" s="98">
        <v>1E-3</v>
      </c>
      <c r="K21" s="95">
        <v>-8.1999999999999643E-3</v>
      </c>
      <c r="L21" s="94">
        <v>16597860.535958</v>
      </c>
      <c r="M21" s="96">
        <v>102.3</v>
      </c>
      <c r="N21" s="84"/>
      <c r="O21" s="94">
        <v>16979.610775232999</v>
      </c>
      <c r="P21" s="95">
        <v>1.0951751734778518E-3</v>
      </c>
      <c r="Q21" s="95">
        <f t="shared" si="0"/>
        <v>6.3912930060420923E-3</v>
      </c>
      <c r="R21" s="95">
        <f>O21/'סכום נכסי הקרן'!$C$42</f>
        <v>2.9221753459299379E-4</v>
      </c>
    </row>
    <row r="22" spans="2:36" s="132" customFormat="1">
      <c r="B22" s="86" t="s">
        <v>291</v>
      </c>
      <c r="C22" s="84" t="s">
        <v>292</v>
      </c>
      <c r="D22" s="97" t="s">
        <v>128</v>
      </c>
      <c r="E22" s="84" t="s">
        <v>278</v>
      </c>
      <c r="F22" s="84"/>
      <c r="G22" s="84"/>
      <c r="H22" s="94">
        <v>5.7300000000000573</v>
      </c>
      <c r="I22" s="97" t="s">
        <v>170</v>
      </c>
      <c r="J22" s="98">
        <v>7.4999999999999997E-3</v>
      </c>
      <c r="K22" s="95">
        <v>-8.0000000000000765E-3</v>
      </c>
      <c r="L22" s="94">
        <v>46816639.886008002</v>
      </c>
      <c r="M22" s="96">
        <v>110.65</v>
      </c>
      <c r="N22" s="84"/>
      <c r="O22" s="94">
        <v>51802.612802536998</v>
      </c>
      <c r="P22" s="95">
        <v>3.4259830486385165E-3</v>
      </c>
      <c r="Q22" s="95">
        <f t="shared" si="0"/>
        <v>1.9499014511127274E-2</v>
      </c>
      <c r="R22" s="95">
        <f>O22/'סכום נכסי הקרן'!$C$42</f>
        <v>8.9151818607721266E-4</v>
      </c>
    </row>
    <row r="23" spans="2:36" s="132" customFormat="1">
      <c r="B23" s="86" t="s">
        <v>293</v>
      </c>
      <c r="C23" s="84" t="s">
        <v>294</v>
      </c>
      <c r="D23" s="97" t="s">
        <v>128</v>
      </c>
      <c r="E23" s="84" t="s">
        <v>278</v>
      </c>
      <c r="F23" s="84"/>
      <c r="G23" s="84"/>
      <c r="H23" s="94">
        <v>9.2099999999997983</v>
      </c>
      <c r="I23" s="97" t="s">
        <v>170</v>
      </c>
      <c r="J23" s="98">
        <v>5.0000000000000001E-3</v>
      </c>
      <c r="K23" s="95">
        <v>-5.2999999999999011E-3</v>
      </c>
      <c r="L23" s="94">
        <v>20109059.970014002</v>
      </c>
      <c r="M23" s="96">
        <v>111</v>
      </c>
      <c r="N23" s="84"/>
      <c r="O23" s="94">
        <v>22321.056720474</v>
      </c>
      <c r="P23" s="95">
        <v>2.3473009877817918E-3</v>
      </c>
      <c r="Q23" s="95">
        <f t="shared" si="0"/>
        <v>8.401865955203364E-3</v>
      </c>
      <c r="R23" s="95">
        <f>O23/'סכום נכסי הקרן'!$C$42</f>
        <v>3.8414332641130769E-4</v>
      </c>
    </row>
    <row r="24" spans="2:36" s="132" customFormat="1">
      <c r="B24" s="86" t="s">
        <v>295</v>
      </c>
      <c r="C24" s="84" t="s">
        <v>296</v>
      </c>
      <c r="D24" s="97" t="s">
        <v>128</v>
      </c>
      <c r="E24" s="84" t="s">
        <v>278</v>
      </c>
      <c r="F24" s="84"/>
      <c r="G24" s="84"/>
      <c r="H24" s="94">
        <v>22.630000000000223</v>
      </c>
      <c r="I24" s="97" t="s">
        <v>170</v>
      </c>
      <c r="J24" s="98">
        <v>0.01</v>
      </c>
      <c r="K24" s="95">
        <v>5.7000000000000297E-3</v>
      </c>
      <c r="L24" s="94">
        <v>18107435.332397997</v>
      </c>
      <c r="M24" s="96">
        <v>112.4</v>
      </c>
      <c r="N24" s="84"/>
      <c r="O24" s="94">
        <v>20352.756908341998</v>
      </c>
      <c r="P24" s="95">
        <v>1.2250046295901559E-3</v>
      </c>
      <c r="Q24" s="95">
        <f t="shared" si="0"/>
        <v>7.6609784878991782E-3</v>
      </c>
      <c r="R24" s="95">
        <f>O24/'סכום נכסי הקרן'!$C$42</f>
        <v>3.5026906827577788E-4</v>
      </c>
    </row>
    <row r="25" spans="2:36" s="132" customFormat="1">
      <c r="B25" s="86" t="s">
        <v>297</v>
      </c>
      <c r="C25" s="84" t="s">
        <v>298</v>
      </c>
      <c r="D25" s="97" t="s">
        <v>128</v>
      </c>
      <c r="E25" s="84" t="s">
        <v>278</v>
      </c>
      <c r="F25" s="84"/>
      <c r="G25" s="84"/>
      <c r="H25" s="94">
        <v>2.6699999999999964</v>
      </c>
      <c r="I25" s="97" t="s">
        <v>170</v>
      </c>
      <c r="J25" s="98">
        <v>2.75E-2</v>
      </c>
      <c r="K25" s="95">
        <v>-9.5999999999999957E-3</v>
      </c>
      <c r="L25" s="94">
        <v>81527184.824597999</v>
      </c>
      <c r="M25" s="96">
        <v>115.85</v>
      </c>
      <c r="N25" s="84"/>
      <c r="O25" s="94">
        <v>94449.244055299001</v>
      </c>
      <c r="P25" s="95">
        <v>4.9168328077151043E-3</v>
      </c>
      <c r="Q25" s="95">
        <f>O25/$O$11</f>
        <v>3.5551627239718733E-2</v>
      </c>
      <c r="R25" s="95">
        <f>O25/'סכום נכסי הקרן'!$C$42</f>
        <v>1.6254627745807511E-3</v>
      </c>
    </row>
    <row r="26" spans="2:36" s="132" customFormat="1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36" s="137" customFormat="1">
      <c r="B27" s="123" t="s">
        <v>50</v>
      </c>
      <c r="C27" s="124"/>
      <c r="D27" s="124"/>
      <c r="E27" s="124"/>
      <c r="F27" s="124"/>
      <c r="G27" s="124"/>
      <c r="H27" s="125">
        <v>2.9757565986595398</v>
      </c>
      <c r="I27" s="124"/>
      <c r="J27" s="124"/>
      <c r="K27" s="126">
        <v>3.7429364076875492E-3</v>
      </c>
      <c r="L27" s="125"/>
      <c r="M27" s="127"/>
      <c r="N27" s="124"/>
      <c r="O27" s="125">
        <v>2084045.0793245516</v>
      </c>
      <c r="P27" s="124"/>
      <c r="Q27" s="126">
        <f t="shared" ref="Q27:Q40" si="1">O27/$O$11</f>
        <v>0.78445512774604031</v>
      </c>
      <c r="R27" s="126">
        <f>O27/'סכום נכסי הקרן'!$C$42</f>
        <v>3.5866223503142926E-2</v>
      </c>
    </row>
    <row r="28" spans="2:36" s="132" customFormat="1">
      <c r="B28" s="85" t="s">
        <v>23</v>
      </c>
      <c r="C28" s="82"/>
      <c r="D28" s="82"/>
      <c r="E28" s="82"/>
      <c r="F28" s="82"/>
      <c r="G28" s="82"/>
      <c r="H28" s="91">
        <v>0.44721731127516828</v>
      </c>
      <c r="I28" s="82"/>
      <c r="J28" s="82"/>
      <c r="K28" s="92">
        <v>1.7484510466792571E-3</v>
      </c>
      <c r="L28" s="91"/>
      <c r="M28" s="93"/>
      <c r="N28" s="82"/>
      <c r="O28" s="91">
        <v>1145897.9629068119</v>
      </c>
      <c r="P28" s="82"/>
      <c r="Q28" s="92">
        <f t="shared" si="1"/>
        <v>0.43132729795236951</v>
      </c>
      <c r="R28" s="92">
        <f>O28/'סכום נכסי הקרן'!$C$42</f>
        <v>1.9720798200167665E-2</v>
      </c>
    </row>
    <row r="29" spans="2:36" s="132" customFormat="1">
      <c r="B29" s="86" t="s">
        <v>299</v>
      </c>
      <c r="C29" s="84" t="s">
        <v>300</v>
      </c>
      <c r="D29" s="97" t="s">
        <v>128</v>
      </c>
      <c r="E29" s="84" t="s">
        <v>278</v>
      </c>
      <c r="F29" s="84"/>
      <c r="G29" s="84"/>
      <c r="H29" s="94">
        <v>0.78999999999999382</v>
      </c>
      <c r="I29" s="97" t="s">
        <v>170</v>
      </c>
      <c r="J29" s="98">
        <v>0</v>
      </c>
      <c r="K29" s="95">
        <v>1.3999999999999796E-3</v>
      </c>
      <c r="L29" s="94">
        <v>108089633.02500001</v>
      </c>
      <c r="M29" s="96">
        <v>99.89</v>
      </c>
      <c r="N29" s="84"/>
      <c r="O29" s="94">
        <v>107970.73442867299</v>
      </c>
      <c r="P29" s="95">
        <v>1.2009959225E-2</v>
      </c>
      <c r="Q29" s="95">
        <f t="shared" si="1"/>
        <v>4.0641249610843123E-2</v>
      </c>
      <c r="R29" s="95">
        <f>O29/'סכום נכסי הקרן'!$C$42</f>
        <v>1.8581663761670498E-3</v>
      </c>
    </row>
    <row r="30" spans="2:36" s="132" customFormat="1">
      <c r="B30" s="86" t="s">
        <v>301</v>
      </c>
      <c r="C30" s="84" t="s">
        <v>302</v>
      </c>
      <c r="D30" s="97" t="s">
        <v>128</v>
      </c>
      <c r="E30" s="84" t="s">
        <v>278</v>
      </c>
      <c r="F30" s="84"/>
      <c r="G30" s="84"/>
      <c r="H30" s="94">
        <v>0.83999999999999952</v>
      </c>
      <c r="I30" s="97" t="s">
        <v>170</v>
      </c>
      <c r="J30" s="98">
        <v>0</v>
      </c>
      <c r="K30" s="95">
        <v>1.4000000000000199E-3</v>
      </c>
      <c r="L30" s="94">
        <v>80732433.870000005</v>
      </c>
      <c r="M30" s="96">
        <v>99.88</v>
      </c>
      <c r="N30" s="84"/>
      <c r="O30" s="94">
        <v>80635.55494935601</v>
      </c>
      <c r="P30" s="95">
        <v>8.9702704299999998E-3</v>
      </c>
      <c r="Q30" s="95">
        <f t="shared" si="1"/>
        <v>3.0352018383005008E-2</v>
      </c>
      <c r="R30" s="95">
        <f>O30/'סכום נכסי הקרן'!$C$42</f>
        <v>1.3877304597705274E-3</v>
      </c>
    </row>
    <row r="31" spans="2:36" s="132" customFormat="1">
      <c r="B31" s="86" t="s">
        <v>303</v>
      </c>
      <c r="C31" s="84" t="s">
        <v>304</v>
      </c>
      <c r="D31" s="97" t="s">
        <v>128</v>
      </c>
      <c r="E31" s="84" t="s">
        <v>278</v>
      </c>
      <c r="F31" s="84"/>
      <c r="G31" s="84"/>
      <c r="H31" s="94">
        <v>1.9999999999992843E-2</v>
      </c>
      <c r="I31" s="97" t="s">
        <v>170</v>
      </c>
      <c r="J31" s="98">
        <v>0</v>
      </c>
      <c r="K31" s="95">
        <v>0</v>
      </c>
      <c r="L31" s="94">
        <v>8381877.5511029996</v>
      </c>
      <c r="M31" s="96">
        <v>100</v>
      </c>
      <c r="N31" s="84"/>
      <c r="O31" s="94">
        <v>8381.8775511029999</v>
      </c>
      <c r="P31" s="95">
        <v>6.9848979592524992E-4</v>
      </c>
      <c r="Q31" s="95">
        <f t="shared" si="1"/>
        <v>3.1550214006086782E-3</v>
      </c>
      <c r="R31" s="95">
        <f>O31/'סכום נכסי הקרן'!$C$42</f>
        <v>1.4425133918949143E-4</v>
      </c>
    </row>
    <row r="32" spans="2:36" s="132" customFormat="1">
      <c r="B32" s="86" t="s">
        <v>305</v>
      </c>
      <c r="C32" s="84" t="s">
        <v>306</v>
      </c>
      <c r="D32" s="97" t="s">
        <v>128</v>
      </c>
      <c r="E32" s="84" t="s">
        <v>278</v>
      </c>
      <c r="F32" s="84"/>
      <c r="G32" s="84"/>
      <c r="H32" s="94">
        <v>0.91999999999998239</v>
      </c>
      <c r="I32" s="97" t="s">
        <v>170</v>
      </c>
      <c r="J32" s="98">
        <v>0</v>
      </c>
      <c r="K32" s="95">
        <v>1.5E-3</v>
      </c>
      <c r="L32" s="94">
        <v>11478545.1</v>
      </c>
      <c r="M32" s="96">
        <v>99.86</v>
      </c>
      <c r="N32" s="84"/>
      <c r="O32" s="94">
        <v>11462.475136860001</v>
      </c>
      <c r="P32" s="95">
        <v>1.2753939E-3</v>
      </c>
      <c r="Q32" s="95">
        <f t="shared" si="1"/>
        <v>4.3145887231410586E-3</v>
      </c>
      <c r="R32" s="95">
        <f>O32/'סכום נכסי הקרן'!$C$42</f>
        <v>1.972681393682156E-4</v>
      </c>
    </row>
    <row r="33" spans="2:18" s="132" customFormat="1">
      <c r="B33" s="86" t="s">
        <v>307</v>
      </c>
      <c r="C33" s="84" t="s">
        <v>308</v>
      </c>
      <c r="D33" s="97" t="s">
        <v>128</v>
      </c>
      <c r="E33" s="84" t="s">
        <v>278</v>
      </c>
      <c r="F33" s="84"/>
      <c r="G33" s="84"/>
      <c r="H33" s="94">
        <v>9.9999999999996134E-2</v>
      </c>
      <c r="I33" s="97" t="s">
        <v>170</v>
      </c>
      <c r="J33" s="98">
        <v>0</v>
      </c>
      <c r="K33" s="95">
        <v>3.1000000000000194E-3</v>
      </c>
      <c r="L33" s="94">
        <v>129229286.9175</v>
      </c>
      <c r="M33" s="96">
        <v>99.97</v>
      </c>
      <c r="N33" s="84"/>
      <c r="O33" s="94">
        <v>129190.51813142499</v>
      </c>
      <c r="P33" s="95">
        <v>1.0769107243125001E-2</v>
      </c>
      <c r="Q33" s="95">
        <f t="shared" si="1"/>
        <v>4.8628585537703543E-2</v>
      </c>
      <c r="R33" s="95">
        <f>O33/'סכום נכסי הקרן'!$C$42</f>
        <v>2.2233568955669089E-3</v>
      </c>
    </row>
    <row r="34" spans="2:18" s="132" customFormat="1">
      <c r="B34" s="86" t="s">
        <v>309</v>
      </c>
      <c r="C34" s="84" t="s">
        <v>310</v>
      </c>
      <c r="D34" s="97" t="s">
        <v>128</v>
      </c>
      <c r="E34" s="84" t="s">
        <v>278</v>
      </c>
      <c r="F34" s="84"/>
      <c r="G34" s="84"/>
      <c r="H34" s="94">
        <v>0.16999999999999674</v>
      </c>
      <c r="I34" s="97" t="s">
        <v>170</v>
      </c>
      <c r="J34" s="98">
        <v>0</v>
      </c>
      <c r="K34" s="95">
        <v>1.6999999999999674E-3</v>
      </c>
      <c r="L34" s="94">
        <v>139655632.05000001</v>
      </c>
      <c r="M34" s="96">
        <v>99.97</v>
      </c>
      <c r="N34" s="84"/>
      <c r="O34" s="94">
        <v>139613.73536038501</v>
      </c>
      <c r="P34" s="95">
        <v>1.1637969337500002E-2</v>
      </c>
      <c r="Q34" s="95">
        <f t="shared" si="1"/>
        <v>5.2551987331641042E-2</v>
      </c>
      <c r="R34" s="95">
        <f>O34/'סכום נכסי הקרן'!$C$42</f>
        <v>2.4027395022410665E-3</v>
      </c>
    </row>
    <row r="35" spans="2:18" s="132" customFormat="1">
      <c r="B35" s="86" t="s">
        <v>311</v>
      </c>
      <c r="C35" s="84" t="s">
        <v>312</v>
      </c>
      <c r="D35" s="97" t="s">
        <v>128</v>
      </c>
      <c r="E35" s="84" t="s">
        <v>278</v>
      </c>
      <c r="F35" s="84"/>
      <c r="G35" s="84"/>
      <c r="H35" s="94">
        <v>0.27000000000000762</v>
      </c>
      <c r="I35" s="97" t="s">
        <v>170</v>
      </c>
      <c r="J35" s="98">
        <v>0</v>
      </c>
      <c r="K35" s="95">
        <v>1.8999999999999523E-3</v>
      </c>
      <c r="L35" s="94">
        <v>54848620.764036</v>
      </c>
      <c r="M35" s="96">
        <v>99.95</v>
      </c>
      <c r="N35" s="84"/>
      <c r="O35" s="94">
        <v>54821.196453654004</v>
      </c>
      <c r="P35" s="95">
        <v>5.4848620764035997E-3</v>
      </c>
      <c r="Q35" s="95">
        <f t="shared" si="1"/>
        <v>2.0635239176870379E-2</v>
      </c>
      <c r="R35" s="95">
        <f>O35/'סכום נכסי הקרן'!$C$42</f>
        <v>9.434677321633198E-4</v>
      </c>
    </row>
    <row r="36" spans="2:18" s="132" customFormat="1">
      <c r="B36" s="86" t="s">
        <v>313</v>
      </c>
      <c r="C36" s="84" t="s">
        <v>314</v>
      </c>
      <c r="D36" s="97" t="s">
        <v>128</v>
      </c>
      <c r="E36" s="84" t="s">
        <v>278</v>
      </c>
      <c r="F36" s="84"/>
      <c r="G36" s="84"/>
      <c r="H36" s="94">
        <v>0.35000000000000103</v>
      </c>
      <c r="I36" s="97" t="s">
        <v>170</v>
      </c>
      <c r="J36" s="98">
        <v>0</v>
      </c>
      <c r="K36" s="95">
        <v>1.6999999999999891E-3</v>
      </c>
      <c r="L36" s="94">
        <v>229793681.429483</v>
      </c>
      <c r="M36" s="96">
        <v>99.94</v>
      </c>
      <c r="N36" s="84"/>
      <c r="O36" s="94">
        <v>229655.80522062501</v>
      </c>
      <c r="P36" s="95">
        <v>2.2979368142948299E-2</v>
      </c>
      <c r="Q36" s="95">
        <f t="shared" si="1"/>
        <v>8.6444710725909091E-2</v>
      </c>
      <c r="R36" s="95">
        <f>O36/'סכום נכסי הקרן'!$C$42</f>
        <v>3.9523552156111742E-3</v>
      </c>
    </row>
    <row r="37" spans="2:18" s="132" customFormat="1">
      <c r="B37" s="86" t="s">
        <v>315</v>
      </c>
      <c r="C37" s="84" t="s">
        <v>316</v>
      </c>
      <c r="D37" s="97" t="s">
        <v>128</v>
      </c>
      <c r="E37" s="84" t="s">
        <v>278</v>
      </c>
      <c r="F37" s="84"/>
      <c r="G37" s="84"/>
      <c r="H37" s="94">
        <v>0.42000000000000204</v>
      </c>
      <c r="I37" s="97" t="s">
        <v>170</v>
      </c>
      <c r="J37" s="98">
        <v>0</v>
      </c>
      <c r="K37" s="95">
        <v>1.6999999999999695E-3</v>
      </c>
      <c r="L37" s="94">
        <v>97417912.755678996</v>
      </c>
      <c r="M37" s="96">
        <v>99.93</v>
      </c>
      <c r="N37" s="84"/>
      <c r="O37" s="94">
        <v>97349.720217189999</v>
      </c>
      <c r="P37" s="95">
        <v>9.7417912755678997E-3</v>
      </c>
      <c r="Q37" s="95">
        <f t="shared" si="1"/>
        <v>3.6643395081342379E-2</v>
      </c>
      <c r="R37" s="95">
        <f>O37/'סכום נכסי הקרן'!$C$42</f>
        <v>1.6753797016760311E-3</v>
      </c>
    </row>
    <row r="38" spans="2:18" s="132" customFormat="1">
      <c r="B38" s="86" t="s">
        <v>317</v>
      </c>
      <c r="C38" s="84" t="s">
        <v>318</v>
      </c>
      <c r="D38" s="97" t="s">
        <v>128</v>
      </c>
      <c r="E38" s="84" t="s">
        <v>278</v>
      </c>
      <c r="F38" s="84"/>
      <c r="G38" s="84"/>
      <c r="H38" s="94">
        <v>0.51999999999999313</v>
      </c>
      <c r="I38" s="97" t="s">
        <v>170</v>
      </c>
      <c r="J38" s="98">
        <v>0</v>
      </c>
      <c r="K38" s="95">
        <v>1.6999999999998444E-3</v>
      </c>
      <c r="L38" s="94">
        <v>34705770.806456</v>
      </c>
      <c r="M38" s="96">
        <v>99.91</v>
      </c>
      <c r="N38" s="84"/>
      <c r="O38" s="94">
        <v>34674.535613362001</v>
      </c>
      <c r="P38" s="95">
        <v>3.856196756272889E-3</v>
      </c>
      <c r="Q38" s="95">
        <f t="shared" si="1"/>
        <v>1.3051837282200419E-2</v>
      </c>
      <c r="R38" s="95">
        <f>O38/'סכום נכסי הקרן'!$C$42</f>
        <v>5.9674555820049796E-4</v>
      </c>
    </row>
    <row r="39" spans="2:18" s="132" customFormat="1">
      <c r="B39" s="86" t="s">
        <v>319</v>
      </c>
      <c r="C39" s="84" t="s">
        <v>320</v>
      </c>
      <c r="D39" s="97" t="s">
        <v>128</v>
      </c>
      <c r="E39" s="84" t="s">
        <v>278</v>
      </c>
      <c r="F39" s="84"/>
      <c r="G39" s="84"/>
      <c r="H39" s="94">
        <v>0.59000000000000064</v>
      </c>
      <c r="I39" s="97" t="s">
        <v>170</v>
      </c>
      <c r="J39" s="98">
        <v>0</v>
      </c>
      <c r="K39" s="95">
        <v>1.2999999999999681E-3</v>
      </c>
      <c r="L39" s="94">
        <v>137181624.875871</v>
      </c>
      <c r="M39" s="96">
        <v>99.92</v>
      </c>
      <c r="N39" s="84"/>
      <c r="O39" s="94">
        <v>137071.87957558798</v>
      </c>
      <c r="P39" s="95">
        <v>1.5242402763985667E-2</v>
      </c>
      <c r="Q39" s="95">
        <f t="shared" si="1"/>
        <v>5.1595207737880421E-2</v>
      </c>
      <c r="R39" s="95">
        <f>O39/'סכום נכסי הקרן'!$C$42</f>
        <v>2.358994398742713E-3</v>
      </c>
    </row>
    <row r="40" spans="2:18" s="132" customFormat="1">
      <c r="B40" s="86" t="s">
        <v>321</v>
      </c>
      <c r="C40" s="84" t="s">
        <v>322</v>
      </c>
      <c r="D40" s="97" t="s">
        <v>128</v>
      </c>
      <c r="E40" s="84" t="s">
        <v>278</v>
      </c>
      <c r="F40" s="84"/>
      <c r="G40" s="84"/>
      <c r="H40" s="94">
        <v>0.67000000000000026</v>
      </c>
      <c r="I40" s="97" t="s">
        <v>170</v>
      </c>
      <c r="J40" s="98">
        <v>0</v>
      </c>
      <c r="K40" s="95">
        <v>1.5000000000000304E-3</v>
      </c>
      <c r="L40" s="94">
        <v>115185115.38340101</v>
      </c>
      <c r="M40" s="96">
        <v>99.9</v>
      </c>
      <c r="N40" s="84"/>
      <c r="O40" s="94">
        <v>115069.93026859101</v>
      </c>
      <c r="P40" s="95">
        <v>1.2798346153711223E-2</v>
      </c>
      <c r="Q40" s="95">
        <f t="shared" si="1"/>
        <v>4.3313456961224427E-2</v>
      </c>
      <c r="R40" s="95">
        <f>O40/'סכום נכסי הקרן'!$C$42</f>
        <v>1.9803428814706711E-3</v>
      </c>
    </row>
    <row r="41" spans="2:18" s="132" customFormat="1">
      <c r="B41" s="87"/>
      <c r="C41" s="84"/>
      <c r="D41" s="84"/>
      <c r="E41" s="84"/>
      <c r="F41" s="84"/>
      <c r="G41" s="84"/>
      <c r="H41" s="84"/>
      <c r="I41" s="84"/>
      <c r="J41" s="84"/>
      <c r="K41" s="95"/>
      <c r="L41" s="94"/>
      <c r="M41" s="96"/>
      <c r="N41" s="84"/>
      <c r="O41" s="84"/>
      <c r="P41" s="84"/>
      <c r="Q41" s="95"/>
      <c r="R41" s="84"/>
    </row>
    <row r="42" spans="2:18" s="132" customFormat="1">
      <c r="B42" s="85" t="s">
        <v>24</v>
      </c>
      <c r="C42" s="82"/>
      <c r="D42" s="82"/>
      <c r="E42" s="82"/>
      <c r="F42" s="82"/>
      <c r="G42" s="82"/>
      <c r="H42" s="91">
        <v>6.1080563767866867</v>
      </c>
      <c r="I42" s="82"/>
      <c r="J42" s="82"/>
      <c r="K42" s="92">
        <v>6.1935268739662383E-3</v>
      </c>
      <c r="L42" s="91"/>
      <c r="M42" s="93"/>
      <c r="N42" s="82"/>
      <c r="O42" s="91">
        <v>930932.37803259597</v>
      </c>
      <c r="P42" s="82"/>
      <c r="Q42" s="92">
        <f t="shared" ref="Q42:Q57" si="2">O42/$O$11</f>
        <v>0.35041213108939584</v>
      </c>
      <c r="R42" s="92">
        <f>O42/'סכום נכסי הקרן'!$C$42</f>
        <v>1.6021260321130368E-2</v>
      </c>
    </row>
    <row r="43" spans="2:18" s="132" customFormat="1">
      <c r="B43" s="86" t="s">
        <v>323</v>
      </c>
      <c r="C43" s="84" t="s">
        <v>324</v>
      </c>
      <c r="D43" s="97" t="s">
        <v>128</v>
      </c>
      <c r="E43" s="84" t="s">
        <v>278</v>
      </c>
      <c r="F43" s="84"/>
      <c r="G43" s="84"/>
      <c r="H43" s="94">
        <v>5.8999999999998822</v>
      </c>
      <c r="I43" s="97" t="s">
        <v>170</v>
      </c>
      <c r="J43" s="98">
        <v>6.25E-2</v>
      </c>
      <c r="K43" s="95">
        <v>6.4999999999996276E-3</v>
      </c>
      <c r="L43" s="94">
        <v>13546323.176992001</v>
      </c>
      <c r="M43" s="96">
        <v>138.36000000000001</v>
      </c>
      <c r="N43" s="84"/>
      <c r="O43" s="94">
        <v>18742.693268858002</v>
      </c>
      <c r="P43" s="95">
        <v>8.2256812909628724E-4</v>
      </c>
      <c r="Q43" s="95">
        <f t="shared" si="2"/>
        <v>7.0549346501142373E-3</v>
      </c>
      <c r="R43" s="95">
        <f>O43/'סכום נכסי הקרן'!$C$42</f>
        <v>3.2256002161411317E-4</v>
      </c>
    </row>
    <row r="44" spans="2:18" s="132" customFormat="1">
      <c r="B44" s="86" t="s">
        <v>325</v>
      </c>
      <c r="C44" s="84" t="s">
        <v>326</v>
      </c>
      <c r="D44" s="97" t="s">
        <v>128</v>
      </c>
      <c r="E44" s="84" t="s">
        <v>278</v>
      </c>
      <c r="F44" s="84"/>
      <c r="G44" s="84"/>
      <c r="H44" s="94">
        <v>3.9300000000000241</v>
      </c>
      <c r="I44" s="97" t="s">
        <v>170</v>
      </c>
      <c r="J44" s="98">
        <v>3.7499999999999999E-2</v>
      </c>
      <c r="K44" s="95">
        <v>3.9000000000000349E-3</v>
      </c>
      <c r="L44" s="94">
        <v>25126462.185345002</v>
      </c>
      <c r="M44" s="96">
        <v>116.98</v>
      </c>
      <c r="N44" s="84"/>
      <c r="O44" s="94">
        <v>29392.936083509998</v>
      </c>
      <c r="P44" s="95">
        <v>1.5484367944450684E-3</v>
      </c>
      <c r="Q44" s="95">
        <f t="shared" si="2"/>
        <v>1.1063791114198956E-2</v>
      </c>
      <c r="R44" s="95">
        <f>O44/'סכום נכסי הקרן'!$C$42</f>
        <v>5.0584971766850617E-4</v>
      </c>
    </row>
    <row r="45" spans="2:18" s="132" customFormat="1">
      <c r="B45" s="86" t="s">
        <v>327</v>
      </c>
      <c r="C45" s="84" t="s">
        <v>328</v>
      </c>
      <c r="D45" s="97" t="s">
        <v>128</v>
      </c>
      <c r="E45" s="84" t="s">
        <v>278</v>
      </c>
      <c r="F45" s="84"/>
      <c r="G45" s="84"/>
      <c r="H45" s="94">
        <v>18.769999999999914</v>
      </c>
      <c r="I45" s="97" t="s">
        <v>170</v>
      </c>
      <c r="J45" s="98">
        <v>3.7499999999999999E-2</v>
      </c>
      <c r="K45" s="95">
        <v>1.8699999999999911E-2</v>
      </c>
      <c r="L45" s="94">
        <v>88373338.620234013</v>
      </c>
      <c r="M45" s="96">
        <v>142.79</v>
      </c>
      <c r="N45" s="84"/>
      <c r="O45" s="94">
        <v>126188.29239788401</v>
      </c>
      <c r="P45" s="95">
        <v>6.0581825851094865E-3</v>
      </c>
      <c r="Q45" s="95">
        <f t="shared" si="2"/>
        <v>4.7498518153513067E-2</v>
      </c>
      <c r="R45" s="95">
        <f>O45/'סכום נכסי הקרן'!$C$42</f>
        <v>2.1716888677328051E-3</v>
      </c>
    </row>
    <row r="46" spans="2:18" s="132" customFormat="1">
      <c r="B46" s="86" t="s">
        <v>329</v>
      </c>
      <c r="C46" s="84" t="s">
        <v>330</v>
      </c>
      <c r="D46" s="97" t="s">
        <v>128</v>
      </c>
      <c r="E46" s="84" t="s">
        <v>278</v>
      </c>
      <c r="F46" s="84"/>
      <c r="G46" s="84"/>
      <c r="H46" s="94">
        <v>2.8800000000000101</v>
      </c>
      <c r="I46" s="97" t="s">
        <v>170</v>
      </c>
      <c r="J46" s="98">
        <v>1.2500000000000001E-2</v>
      </c>
      <c r="K46" s="95">
        <v>2.7000000000000097E-3</v>
      </c>
      <c r="L46" s="94">
        <v>59331410.661136001</v>
      </c>
      <c r="M46" s="96">
        <v>102.96</v>
      </c>
      <c r="N46" s="84"/>
      <c r="O46" s="94">
        <v>61087.619848722003</v>
      </c>
      <c r="P46" s="95">
        <v>5.106754822112973E-3</v>
      </c>
      <c r="Q46" s="95">
        <f t="shared" si="2"/>
        <v>2.2993982763396852E-2</v>
      </c>
      <c r="R46" s="95">
        <f>O46/'סכום נכסי הקרן'!$C$42</f>
        <v>1.0513123005378561E-3</v>
      </c>
    </row>
    <row r="47" spans="2:18" s="132" customFormat="1">
      <c r="B47" s="86" t="s">
        <v>331</v>
      </c>
      <c r="C47" s="84" t="s">
        <v>332</v>
      </c>
      <c r="D47" s="97" t="s">
        <v>128</v>
      </c>
      <c r="E47" s="84" t="s">
        <v>278</v>
      </c>
      <c r="F47" s="84"/>
      <c r="G47" s="84"/>
      <c r="H47" s="94">
        <v>3.8299999999999925</v>
      </c>
      <c r="I47" s="97" t="s">
        <v>170</v>
      </c>
      <c r="J47" s="98">
        <v>1.4999999999999999E-2</v>
      </c>
      <c r="K47" s="95">
        <v>3.5000000000000196E-3</v>
      </c>
      <c r="L47" s="94">
        <v>49569671.961972997</v>
      </c>
      <c r="M47" s="96">
        <v>104.59</v>
      </c>
      <c r="N47" s="84"/>
      <c r="O47" s="94">
        <v>51844.918343073994</v>
      </c>
      <c r="P47" s="95">
        <v>3.1466328528019913E-3</v>
      </c>
      <c r="Q47" s="95">
        <f t="shared" si="2"/>
        <v>1.9514938733945462E-2</v>
      </c>
      <c r="R47" s="95">
        <f>O47/'סכום נכסי הקרן'!$C$42</f>
        <v>8.9224626052597316E-4</v>
      </c>
    </row>
    <row r="48" spans="2:18" s="132" customFormat="1">
      <c r="B48" s="86" t="s">
        <v>333</v>
      </c>
      <c r="C48" s="84" t="s">
        <v>334</v>
      </c>
      <c r="D48" s="97" t="s">
        <v>128</v>
      </c>
      <c r="E48" s="84" t="s">
        <v>278</v>
      </c>
      <c r="F48" s="84"/>
      <c r="G48" s="84"/>
      <c r="H48" s="94">
        <v>1.0799999999999996</v>
      </c>
      <c r="I48" s="97" t="s">
        <v>170</v>
      </c>
      <c r="J48" s="98">
        <v>5.0000000000000001E-3</v>
      </c>
      <c r="K48" s="95">
        <v>1.3999999999999718E-3</v>
      </c>
      <c r="L48" s="94">
        <v>113769041.217847</v>
      </c>
      <c r="M48" s="96">
        <v>100.85</v>
      </c>
      <c r="N48" s="84"/>
      <c r="O48" s="94">
        <v>114736.08290018802</v>
      </c>
      <c r="P48" s="95">
        <v>7.2724563171341211E-3</v>
      </c>
      <c r="Q48" s="95">
        <f t="shared" si="2"/>
        <v>4.3187793518227727E-2</v>
      </c>
      <c r="R48" s="95">
        <f>O48/'סכום נכסי הקרן'!$C$42</f>
        <v>1.9745973990673068E-3</v>
      </c>
    </row>
    <row r="49" spans="2:18" s="132" customFormat="1">
      <c r="B49" s="86" t="s">
        <v>335</v>
      </c>
      <c r="C49" s="84" t="s">
        <v>336</v>
      </c>
      <c r="D49" s="97" t="s">
        <v>128</v>
      </c>
      <c r="E49" s="84" t="s">
        <v>278</v>
      </c>
      <c r="F49" s="84"/>
      <c r="G49" s="84"/>
      <c r="H49" s="94">
        <v>1.9399999999999962</v>
      </c>
      <c r="I49" s="97" t="s">
        <v>170</v>
      </c>
      <c r="J49" s="98">
        <v>5.5E-2</v>
      </c>
      <c r="K49" s="95">
        <v>1.8000000000000271E-3</v>
      </c>
      <c r="L49" s="94">
        <v>101896736.860026</v>
      </c>
      <c r="M49" s="96">
        <v>116.1</v>
      </c>
      <c r="N49" s="84"/>
      <c r="O49" s="94">
        <v>118302.108144176</v>
      </c>
      <c r="P49" s="95">
        <v>5.7498817746822785E-3</v>
      </c>
      <c r="Q49" s="95">
        <f t="shared" si="2"/>
        <v>4.4530080600244611E-2</v>
      </c>
      <c r="R49" s="95">
        <f>O49/'סכום נכסי הקרן'!$C$42</f>
        <v>2.0359683644497711E-3</v>
      </c>
    </row>
    <row r="50" spans="2:18" s="132" customFormat="1">
      <c r="B50" s="86" t="s">
        <v>337</v>
      </c>
      <c r="C50" s="84" t="s">
        <v>338</v>
      </c>
      <c r="D50" s="97" t="s">
        <v>128</v>
      </c>
      <c r="E50" s="84" t="s">
        <v>278</v>
      </c>
      <c r="F50" s="84"/>
      <c r="G50" s="84"/>
      <c r="H50" s="94">
        <v>15.030000000000047</v>
      </c>
      <c r="I50" s="97" t="s">
        <v>170</v>
      </c>
      <c r="J50" s="98">
        <v>5.5E-2</v>
      </c>
      <c r="K50" s="95">
        <v>1.6200000000000037E-2</v>
      </c>
      <c r="L50" s="94">
        <v>44393405.127373002</v>
      </c>
      <c r="M50" s="96">
        <v>176.61</v>
      </c>
      <c r="N50" s="84"/>
      <c r="O50" s="94">
        <v>78403.190659735003</v>
      </c>
      <c r="P50" s="95">
        <v>2.4280416328453123E-3</v>
      </c>
      <c r="Q50" s="95">
        <f t="shared" si="2"/>
        <v>2.9511734441278605E-2</v>
      </c>
      <c r="R50" s="95">
        <f>O50/'סכום נכסי הקרן'!$C$42</f>
        <v>1.3493116763448195E-3</v>
      </c>
    </row>
    <row r="51" spans="2:18" s="132" customFormat="1">
      <c r="B51" s="86" t="s">
        <v>339</v>
      </c>
      <c r="C51" s="84" t="s">
        <v>340</v>
      </c>
      <c r="D51" s="97" t="s">
        <v>128</v>
      </c>
      <c r="E51" s="84" t="s">
        <v>278</v>
      </c>
      <c r="F51" s="84"/>
      <c r="G51" s="84"/>
      <c r="H51" s="94">
        <v>3.0299999999999905</v>
      </c>
      <c r="I51" s="97" t="s">
        <v>170</v>
      </c>
      <c r="J51" s="98">
        <v>4.2500000000000003E-2</v>
      </c>
      <c r="K51" s="95">
        <v>2.9999999999999476E-3</v>
      </c>
      <c r="L51" s="94">
        <v>65728355.220568001</v>
      </c>
      <c r="M51" s="96">
        <v>115.95</v>
      </c>
      <c r="N51" s="84"/>
      <c r="O51" s="94">
        <v>76212.031030058002</v>
      </c>
      <c r="P51" s="95">
        <v>3.8843818077152633E-3</v>
      </c>
      <c r="Q51" s="95">
        <f t="shared" si="2"/>
        <v>2.868696034005459E-2</v>
      </c>
      <c r="R51" s="95">
        <f>O51/'סכום נכסי הקרן'!$C$42</f>
        <v>1.3116020213144544E-3</v>
      </c>
    </row>
    <row r="52" spans="2:18" s="132" customFormat="1">
      <c r="B52" s="86" t="s">
        <v>341</v>
      </c>
      <c r="C52" s="84" t="s">
        <v>342</v>
      </c>
      <c r="D52" s="97" t="s">
        <v>128</v>
      </c>
      <c r="E52" s="84" t="s">
        <v>278</v>
      </c>
      <c r="F52" s="84"/>
      <c r="G52" s="84"/>
      <c r="H52" s="94">
        <v>6.7500000000000799</v>
      </c>
      <c r="I52" s="97" t="s">
        <v>170</v>
      </c>
      <c r="J52" s="98">
        <v>0.02</v>
      </c>
      <c r="K52" s="95">
        <v>7.19999999999992E-3</v>
      </c>
      <c r="L52" s="94">
        <v>27795432.802379999</v>
      </c>
      <c r="M52" s="96">
        <v>110.52</v>
      </c>
      <c r="N52" s="84"/>
      <c r="O52" s="94">
        <v>30719.512141442006</v>
      </c>
      <c r="P52" s="95">
        <v>1.7067517892482482E-3</v>
      </c>
      <c r="Q52" s="95">
        <f t="shared" si="2"/>
        <v>1.156312742957615E-2</v>
      </c>
      <c r="R52" s="95">
        <f>O52/'סכום נכסי הקרן'!$C$42</f>
        <v>5.2867996921139907E-4</v>
      </c>
    </row>
    <row r="53" spans="2:18" s="132" customFormat="1">
      <c r="B53" s="86" t="s">
        <v>343</v>
      </c>
      <c r="C53" s="84" t="s">
        <v>344</v>
      </c>
      <c r="D53" s="97" t="s">
        <v>128</v>
      </c>
      <c r="E53" s="84" t="s">
        <v>278</v>
      </c>
      <c r="F53" s="84"/>
      <c r="G53" s="84"/>
      <c r="H53" s="94">
        <v>1.3200000000000029</v>
      </c>
      <c r="I53" s="97" t="s">
        <v>170</v>
      </c>
      <c r="J53" s="98">
        <v>0.01</v>
      </c>
      <c r="K53" s="95">
        <v>1.3000000000000817E-3</v>
      </c>
      <c r="L53" s="94">
        <v>66234643.44861</v>
      </c>
      <c r="M53" s="96">
        <v>101.83</v>
      </c>
      <c r="N53" s="84"/>
      <c r="O53" s="94">
        <v>67446.740367765</v>
      </c>
      <c r="P53" s="95">
        <v>4.4839265210642439E-3</v>
      </c>
      <c r="Q53" s="95">
        <f t="shared" si="2"/>
        <v>2.5387618461879497E-2</v>
      </c>
      <c r="R53" s="95">
        <f>O53/'סכום נכסי הקרן'!$C$42</f>
        <v>1.1607521778620737E-3</v>
      </c>
    </row>
    <row r="54" spans="2:18" s="132" customFormat="1">
      <c r="B54" s="86" t="s">
        <v>345</v>
      </c>
      <c r="C54" s="84" t="s">
        <v>346</v>
      </c>
      <c r="D54" s="97" t="s">
        <v>128</v>
      </c>
      <c r="E54" s="84" t="s">
        <v>278</v>
      </c>
      <c r="F54" s="84"/>
      <c r="G54" s="84"/>
      <c r="H54" s="94">
        <v>2.5599999999999858</v>
      </c>
      <c r="I54" s="97" t="s">
        <v>170</v>
      </c>
      <c r="J54" s="98">
        <v>7.4999999999999997E-3</v>
      </c>
      <c r="K54" s="95">
        <v>2.3000000000000177E-3</v>
      </c>
      <c r="L54" s="94">
        <v>83340958.376708001</v>
      </c>
      <c r="M54" s="96">
        <v>101.65</v>
      </c>
      <c r="N54" s="84"/>
      <c r="O54" s="94">
        <v>84716.087159294999</v>
      </c>
      <c r="P54" s="95">
        <v>1.1098726441340696E-2</v>
      </c>
      <c r="Q54" s="95">
        <f t="shared" si="2"/>
        <v>3.1887970962810513E-2</v>
      </c>
      <c r="R54" s="95">
        <f>O54/'סכום נכסי הקרן'!$C$42</f>
        <v>1.4579560425592064E-3</v>
      </c>
    </row>
    <row r="55" spans="2:18" s="132" customFormat="1">
      <c r="B55" s="86" t="s">
        <v>347</v>
      </c>
      <c r="C55" s="84" t="s">
        <v>348</v>
      </c>
      <c r="D55" s="97" t="s">
        <v>128</v>
      </c>
      <c r="E55" s="84" t="s">
        <v>278</v>
      </c>
      <c r="F55" s="84"/>
      <c r="G55" s="84"/>
      <c r="H55" s="94">
        <v>5.4299999999999793</v>
      </c>
      <c r="I55" s="97" t="s">
        <v>170</v>
      </c>
      <c r="J55" s="98">
        <v>1.7500000000000002E-2</v>
      </c>
      <c r="K55" s="95">
        <v>5.4000000000000523E-3</v>
      </c>
      <c r="L55" s="94">
        <v>52448002.632349998</v>
      </c>
      <c r="M55" s="96">
        <v>107.33</v>
      </c>
      <c r="N55" s="84"/>
      <c r="O55" s="94">
        <v>56292.441513505008</v>
      </c>
      <c r="P55" s="95">
        <v>2.6887495988432756E-3</v>
      </c>
      <c r="Q55" s="95">
        <f t="shared" si="2"/>
        <v>2.118903033178398E-2</v>
      </c>
      <c r="R55" s="95">
        <f>O55/'סכום נכסי הקרן'!$C$42</f>
        <v>9.6878772387943635E-4</v>
      </c>
    </row>
    <row r="56" spans="2:18" s="132" customFormat="1">
      <c r="B56" s="86" t="s">
        <v>349</v>
      </c>
      <c r="C56" s="84" t="s">
        <v>350</v>
      </c>
      <c r="D56" s="97" t="s">
        <v>128</v>
      </c>
      <c r="E56" s="84" t="s">
        <v>278</v>
      </c>
      <c r="F56" s="84"/>
      <c r="G56" s="84"/>
      <c r="H56" s="94">
        <v>8.0400000000001679</v>
      </c>
      <c r="I56" s="97" t="s">
        <v>170</v>
      </c>
      <c r="J56" s="98">
        <v>2.2499999999999999E-2</v>
      </c>
      <c r="K56" s="95">
        <v>8.4999999999999104E-3</v>
      </c>
      <c r="L56" s="94">
        <v>14983239.068475999</v>
      </c>
      <c r="M56" s="96">
        <v>112.37</v>
      </c>
      <c r="N56" s="84"/>
      <c r="O56" s="94">
        <v>16836.665388079</v>
      </c>
      <c r="P56" s="95">
        <v>9.620484008938052E-4</v>
      </c>
      <c r="Q56" s="95">
        <f t="shared" si="2"/>
        <v>6.3374869521073372E-3</v>
      </c>
      <c r="R56" s="95">
        <f>O56/'סכום נכסי הקרן'!$C$42</f>
        <v>2.8975745767082363E-4</v>
      </c>
    </row>
    <row r="57" spans="2:18" s="132" customFormat="1">
      <c r="B57" s="86" t="s">
        <v>351</v>
      </c>
      <c r="C57" s="84" t="s">
        <v>352</v>
      </c>
      <c r="D57" s="97" t="s">
        <v>128</v>
      </c>
      <c r="E57" s="84" t="s">
        <v>278</v>
      </c>
      <c r="F57" s="84"/>
      <c r="G57" s="84"/>
      <c r="H57" s="94">
        <v>7.9999999963829671E-2</v>
      </c>
      <c r="I57" s="97" t="s">
        <v>170</v>
      </c>
      <c r="J57" s="98">
        <v>0.05</v>
      </c>
      <c r="K57" s="95">
        <v>3.5000000002260645E-3</v>
      </c>
      <c r="L57" s="94">
        <v>10535.186613</v>
      </c>
      <c r="M57" s="96">
        <v>104.97</v>
      </c>
      <c r="N57" s="84"/>
      <c r="O57" s="94">
        <v>11.058786305</v>
      </c>
      <c r="P57" s="95">
        <v>1.4237365393116854E-6</v>
      </c>
      <c r="Q57" s="95">
        <f t="shared" si="2"/>
        <v>4.162636264286846E-6</v>
      </c>
      <c r="R57" s="95">
        <f>O57/'סכום נכסי הקרן'!$C$42</f>
        <v>1.9032069182360388E-7</v>
      </c>
    </row>
    <row r="58" spans="2:18" s="132" customFormat="1">
      <c r="B58" s="87"/>
      <c r="C58" s="84"/>
      <c r="D58" s="84"/>
      <c r="E58" s="84"/>
      <c r="F58" s="84"/>
      <c r="G58" s="84"/>
      <c r="H58" s="84"/>
      <c r="I58" s="84"/>
      <c r="J58" s="84"/>
      <c r="K58" s="95"/>
      <c r="L58" s="94"/>
      <c r="M58" s="96"/>
      <c r="N58" s="84"/>
      <c r="O58" s="84"/>
      <c r="P58" s="84"/>
      <c r="Q58" s="95"/>
      <c r="R58" s="84"/>
    </row>
    <row r="59" spans="2:18" s="132" customFormat="1">
      <c r="B59" s="85" t="s">
        <v>25</v>
      </c>
      <c r="C59" s="82"/>
      <c r="D59" s="82"/>
      <c r="E59" s="82"/>
      <c r="F59" s="82"/>
      <c r="G59" s="82"/>
      <c r="H59" s="91">
        <v>0.40999999999999442</v>
      </c>
      <c r="I59" s="82"/>
      <c r="J59" s="82"/>
      <c r="K59" s="92">
        <v>2.0000000000002772E-3</v>
      </c>
      <c r="L59" s="91"/>
      <c r="M59" s="93"/>
      <c r="N59" s="82"/>
      <c r="O59" s="91">
        <v>7214.7383851439999</v>
      </c>
      <c r="P59" s="82"/>
      <c r="Q59" s="92">
        <f t="shared" ref="Q59:Q60" si="3">O59/$O$11</f>
        <v>2.7156987042750106E-3</v>
      </c>
      <c r="R59" s="92">
        <f>O59/'סכום נכסי הקרן'!$C$42</f>
        <v>1.2416498184489666E-4</v>
      </c>
    </row>
    <row r="60" spans="2:18" s="132" customFormat="1">
      <c r="B60" s="86" t="s">
        <v>353</v>
      </c>
      <c r="C60" s="84" t="s">
        <v>354</v>
      </c>
      <c r="D60" s="97" t="s">
        <v>128</v>
      </c>
      <c r="E60" s="84" t="s">
        <v>278</v>
      </c>
      <c r="F60" s="84"/>
      <c r="G60" s="84"/>
      <c r="H60" s="94">
        <v>0.40999999999999442</v>
      </c>
      <c r="I60" s="97" t="s">
        <v>170</v>
      </c>
      <c r="J60" s="98">
        <v>1.2999999999999999E-3</v>
      </c>
      <c r="K60" s="95">
        <v>2.0000000000002772E-3</v>
      </c>
      <c r="L60" s="94">
        <v>7215460.1292770002</v>
      </c>
      <c r="M60" s="96">
        <v>99.99</v>
      </c>
      <c r="N60" s="84"/>
      <c r="O60" s="94">
        <v>7214.7383851439999</v>
      </c>
      <c r="P60" s="95">
        <v>4.5400834213971608E-4</v>
      </c>
      <c r="Q60" s="95">
        <f t="shared" si="3"/>
        <v>2.7156987042750106E-3</v>
      </c>
      <c r="R60" s="95">
        <f>O60/'סכום נכסי הקרן'!$C$42</f>
        <v>1.2416498184489666E-4</v>
      </c>
    </row>
    <row r="61" spans="2:18" s="132" customFormat="1">
      <c r="B61" s="131"/>
    </row>
    <row r="62" spans="2:18" s="132" customFormat="1">
      <c r="B62" s="131"/>
    </row>
    <row r="63" spans="2:18" s="132" customFormat="1">
      <c r="B63" s="131"/>
    </row>
    <row r="64" spans="2:18" s="132" customFormat="1">
      <c r="B64" s="138" t="s">
        <v>120</v>
      </c>
      <c r="C64" s="137"/>
      <c r="D64" s="137"/>
    </row>
    <row r="65" spans="2:4" s="132" customFormat="1">
      <c r="B65" s="138" t="s">
        <v>247</v>
      </c>
      <c r="C65" s="137"/>
      <c r="D65" s="137"/>
    </row>
    <row r="66" spans="2:4" s="132" customFormat="1">
      <c r="B66" s="178" t="s">
        <v>255</v>
      </c>
      <c r="C66" s="178"/>
      <c r="D66" s="178"/>
    </row>
    <row r="67" spans="2:4" s="132" customFormat="1">
      <c r="B67" s="131"/>
    </row>
    <row r="68" spans="2:4" s="132" customFormat="1">
      <c r="B68" s="131"/>
    </row>
    <row r="69" spans="2:4" s="132" customFormat="1">
      <c r="B69" s="131"/>
    </row>
    <row r="70" spans="2:4" s="132" customFormat="1">
      <c r="B70" s="131"/>
    </row>
    <row r="71" spans="2:4" s="132" customFormat="1">
      <c r="B71" s="131"/>
    </row>
    <row r="72" spans="2:4" s="132" customFormat="1">
      <c r="B72" s="131"/>
    </row>
    <row r="73" spans="2:4" s="132" customFormat="1">
      <c r="B73" s="131"/>
    </row>
    <row r="74" spans="2:4" s="132" customFormat="1">
      <c r="B74" s="131"/>
    </row>
    <row r="75" spans="2:4" s="132" customFormat="1">
      <c r="B75" s="131"/>
    </row>
    <row r="76" spans="2:4" s="132" customFormat="1">
      <c r="B76" s="131"/>
    </row>
    <row r="77" spans="2:4" s="132" customFormat="1">
      <c r="B77" s="131"/>
    </row>
    <row r="78" spans="2:4" s="132" customFormat="1">
      <c r="B78" s="131"/>
    </row>
    <row r="79" spans="2:4" s="132" customFormat="1">
      <c r="B79" s="131"/>
    </row>
    <row r="80" spans="2:4" s="132" customFormat="1">
      <c r="B80" s="131"/>
    </row>
    <row r="81" spans="2:2" s="132" customFormat="1">
      <c r="B81" s="131"/>
    </row>
    <row r="82" spans="2:2" s="132" customFormat="1">
      <c r="B82" s="131"/>
    </row>
    <row r="83" spans="2:2" s="132" customFormat="1">
      <c r="B83" s="131"/>
    </row>
    <row r="84" spans="2:2" s="132" customFormat="1">
      <c r="B84" s="131"/>
    </row>
    <row r="85" spans="2:2" s="132" customFormat="1">
      <c r="B85" s="131"/>
    </row>
    <row r="86" spans="2:2" s="132" customFormat="1">
      <c r="B86" s="131"/>
    </row>
    <row r="87" spans="2:2" s="132" customFormat="1">
      <c r="B87" s="131"/>
    </row>
    <row r="88" spans="2:2" s="132" customFormat="1">
      <c r="B88" s="131"/>
    </row>
    <row r="89" spans="2:2" s="132" customFormat="1">
      <c r="B89" s="131"/>
    </row>
    <row r="90" spans="2:2" s="132" customFormat="1">
      <c r="B90" s="131"/>
    </row>
    <row r="91" spans="2:2" s="132" customFormat="1">
      <c r="B91" s="131"/>
    </row>
    <row r="92" spans="2:2" s="132" customFormat="1">
      <c r="B92" s="131"/>
    </row>
    <row r="93" spans="2:2" s="132" customFormat="1">
      <c r="B93" s="131"/>
    </row>
    <row r="94" spans="2:2" s="132" customFormat="1">
      <c r="B94" s="131"/>
    </row>
    <row r="95" spans="2:2" s="132" customFormat="1">
      <c r="B95" s="131"/>
    </row>
    <row r="96" spans="2:2" s="132" customFormat="1">
      <c r="B96" s="131"/>
    </row>
    <row r="97" spans="2:2" s="132" customFormat="1">
      <c r="B97" s="131"/>
    </row>
    <row r="98" spans="2:2" s="132" customFormat="1">
      <c r="B98" s="131"/>
    </row>
    <row r="99" spans="2:2" s="132" customFormat="1">
      <c r="B99" s="131"/>
    </row>
    <row r="100" spans="2:2" s="132" customFormat="1">
      <c r="B100" s="131"/>
    </row>
    <row r="101" spans="2:2" s="132" customFormat="1">
      <c r="B101" s="131"/>
    </row>
    <row r="102" spans="2:2" s="132" customFormat="1">
      <c r="B102" s="131"/>
    </row>
    <row r="103" spans="2:2" s="132" customFormat="1">
      <c r="B103" s="131"/>
    </row>
    <row r="104" spans="2:2" s="132" customFormat="1">
      <c r="B104" s="131"/>
    </row>
    <row r="105" spans="2:2" s="132" customFormat="1">
      <c r="B105" s="131"/>
    </row>
    <row r="106" spans="2:2" s="132" customFormat="1">
      <c r="B106" s="131"/>
    </row>
    <row r="107" spans="2:2" s="132" customFormat="1">
      <c r="B107" s="131"/>
    </row>
    <row r="108" spans="2:2" s="132" customFormat="1">
      <c r="B108" s="131"/>
    </row>
    <row r="109" spans="2:2" s="132" customFormat="1">
      <c r="B109" s="131"/>
    </row>
    <row r="110" spans="2:2" s="132" customFormat="1">
      <c r="B110" s="131"/>
    </row>
    <row r="111" spans="2:2" s="132" customFormat="1">
      <c r="B111" s="131"/>
    </row>
    <row r="112" spans="2:2" s="132" customFormat="1">
      <c r="B112" s="131"/>
    </row>
    <row r="113" spans="2:2" s="132" customFormat="1">
      <c r="B113" s="131"/>
    </row>
    <row r="114" spans="2:2" s="132" customFormat="1">
      <c r="B114" s="131"/>
    </row>
    <row r="115" spans="2:2" s="132" customFormat="1">
      <c r="B115" s="131"/>
    </row>
    <row r="116" spans="2:2" s="132" customFormat="1">
      <c r="B116" s="131"/>
    </row>
    <row r="117" spans="2:2" s="132" customFormat="1">
      <c r="B117" s="131"/>
    </row>
    <row r="118" spans="2:2" s="132" customFormat="1">
      <c r="B118" s="131"/>
    </row>
    <row r="119" spans="2:2" s="132" customFormat="1">
      <c r="B119" s="131"/>
    </row>
    <row r="120" spans="2:2" s="132" customFormat="1">
      <c r="B120" s="131"/>
    </row>
    <row r="121" spans="2:2" s="132" customFormat="1">
      <c r="B121" s="131"/>
    </row>
    <row r="122" spans="2:2" s="132" customFormat="1">
      <c r="B122" s="131"/>
    </row>
    <row r="123" spans="2:2" s="132" customFormat="1">
      <c r="B123" s="131"/>
    </row>
    <row r="124" spans="2:2" s="132" customFormat="1">
      <c r="B124" s="131"/>
    </row>
    <row r="125" spans="2:2" s="132" customFormat="1">
      <c r="B125" s="131"/>
    </row>
    <row r="126" spans="2:2" s="132" customFormat="1">
      <c r="B126" s="131"/>
    </row>
    <row r="127" spans="2:2" s="132" customFormat="1">
      <c r="B127" s="131"/>
    </row>
    <row r="128" spans="2:2" s="132" customFormat="1">
      <c r="B128" s="131"/>
    </row>
    <row r="129" spans="2:4" s="132" customFormat="1">
      <c r="B129" s="131"/>
    </row>
    <row r="130" spans="2:4" s="132" customFormat="1">
      <c r="B130" s="131"/>
    </row>
    <row r="131" spans="2:4" s="132" customFormat="1">
      <c r="B131" s="131"/>
    </row>
    <row r="132" spans="2:4" s="132" customFormat="1">
      <c r="B132" s="131"/>
    </row>
    <row r="133" spans="2:4" s="132" customFormat="1">
      <c r="B133" s="131"/>
    </row>
    <row r="134" spans="2:4" s="132" customFormat="1">
      <c r="B134" s="131"/>
    </row>
    <row r="135" spans="2:4" s="132" customFormat="1">
      <c r="B135" s="131"/>
    </row>
    <row r="136" spans="2:4" s="132" customFormat="1">
      <c r="B136" s="131"/>
    </row>
    <row r="137" spans="2:4" s="132" customFormat="1">
      <c r="B137" s="131"/>
    </row>
    <row r="138" spans="2:4" s="132" customFormat="1">
      <c r="B138" s="131"/>
    </row>
    <row r="139" spans="2:4">
      <c r="C139" s="1"/>
      <c r="D139" s="1"/>
    </row>
    <row r="140" spans="2:4">
      <c r="C140" s="1"/>
      <c r="D140" s="1"/>
    </row>
    <row r="141" spans="2:4">
      <c r="C141" s="1"/>
      <c r="D141" s="1"/>
    </row>
    <row r="142" spans="2:4">
      <c r="C142" s="1"/>
      <c r="D142" s="1"/>
    </row>
    <row r="143" spans="2:4">
      <c r="C143" s="1"/>
      <c r="D143" s="1"/>
    </row>
    <row r="144" spans="2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5" type="noConversion"/>
  <dataValidations count="1">
    <dataValidation allowBlank="1" showInputMessage="1" showErrorMessage="1" sqref="N10:Q10 N9 N1:N7 N32:N1048576 C5:C29 O1:Q9 O11:Q1048576 J1:M1048576 E1:I30 D1:D29 C67:D1048576 X1:XFD1048576 U1:W27 U31:W1048576 A1:B1048576 E32:I1048576 C32:D65 R1:T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8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185</v>
      </c>
      <c r="C1" s="78" t="s" vm="1">
        <v>273</v>
      </c>
    </row>
    <row r="2" spans="2:67">
      <c r="B2" s="57" t="s">
        <v>184</v>
      </c>
      <c r="C2" s="78" t="s">
        <v>274</v>
      </c>
    </row>
    <row r="3" spans="2:67">
      <c r="B3" s="57" t="s">
        <v>186</v>
      </c>
      <c r="C3" s="78" t="s">
        <v>275</v>
      </c>
    </row>
    <row r="4" spans="2:67">
      <c r="B4" s="57" t="s">
        <v>187</v>
      </c>
      <c r="C4" s="78">
        <v>2102</v>
      </c>
    </row>
    <row r="6" spans="2:67" ht="26.25" customHeight="1">
      <c r="B6" s="175" t="s">
        <v>215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80"/>
      <c r="BO6" s="3"/>
    </row>
    <row r="7" spans="2:67" ht="26.25" customHeight="1">
      <c r="B7" s="175" t="s">
        <v>96</v>
      </c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80"/>
      <c r="AZ7" s="44"/>
      <c r="BJ7" s="3"/>
      <c r="BO7" s="3"/>
    </row>
    <row r="8" spans="2:67" s="3" customFormat="1" ht="78.75">
      <c r="B8" s="38" t="s">
        <v>123</v>
      </c>
      <c r="C8" s="14" t="s">
        <v>49</v>
      </c>
      <c r="D8" s="14" t="s">
        <v>127</v>
      </c>
      <c r="E8" s="14" t="s">
        <v>233</v>
      </c>
      <c r="F8" s="14" t="s">
        <v>125</v>
      </c>
      <c r="G8" s="14" t="s">
        <v>70</v>
      </c>
      <c r="H8" s="14" t="s">
        <v>15</v>
      </c>
      <c r="I8" s="14" t="s">
        <v>71</v>
      </c>
      <c r="J8" s="14" t="s">
        <v>110</v>
      </c>
      <c r="K8" s="14" t="s">
        <v>18</v>
      </c>
      <c r="L8" s="14" t="s">
        <v>109</v>
      </c>
      <c r="M8" s="14" t="s">
        <v>17</v>
      </c>
      <c r="N8" s="14" t="s">
        <v>19</v>
      </c>
      <c r="O8" s="14" t="s">
        <v>249</v>
      </c>
      <c r="P8" s="14" t="s">
        <v>248</v>
      </c>
      <c r="Q8" s="14" t="s">
        <v>67</v>
      </c>
      <c r="R8" s="14" t="s">
        <v>64</v>
      </c>
      <c r="S8" s="14" t="s">
        <v>188</v>
      </c>
      <c r="T8" s="39" t="s">
        <v>190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256</v>
      </c>
      <c r="P9" s="17"/>
      <c r="Q9" s="17" t="s">
        <v>252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121</v>
      </c>
      <c r="R10" s="20" t="s">
        <v>122</v>
      </c>
      <c r="S10" s="46" t="s">
        <v>191</v>
      </c>
      <c r="T10" s="73" t="s">
        <v>234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120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247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255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Y829"/>
  <sheetViews>
    <sheetView rightToLeft="1" zoomScale="70" zoomScaleNormal="70" workbookViewId="0">
      <selection activeCell="A11" sqref="A11:XFD545"/>
    </sheetView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48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26.28515625" style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8.85546875" style="1" customWidth="1"/>
    <col min="12" max="12" width="12.28515625" style="1" bestFit="1" customWidth="1"/>
    <col min="13" max="13" width="6.85546875" style="1" bestFit="1" customWidth="1"/>
    <col min="14" max="14" width="9.140625" style="1" bestFit="1" customWidth="1"/>
    <col min="15" max="15" width="15.5703125" style="1" bestFit="1" customWidth="1"/>
    <col min="16" max="16" width="13" style="1" bestFit="1" customWidth="1"/>
    <col min="17" max="17" width="10.140625" style="1" bestFit="1" customWidth="1"/>
    <col min="18" max="18" width="14.42578125" style="1" bestFit="1" customWidth="1"/>
    <col min="19" max="19" width="12.5703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5">
      <c r="B1" s="57" t="s">
        <v>185</v>
      </c>
      <c r="C1" s="78" t="s" vm="1">
        <v>273</v>
      </c>
    </row>
    <row r="2" spans="2:25">
      <c r="B2" s="57" t="s">
        <v>184</v>
      </c>
      <c r="C2" s="78" t="s">
        <v>274</v>
      </c>
    </row>
    <row r="3" spans="2:25">
      <c r="B3" s="57" t="s">
        <v>186</v>
      </c>
      <c r="C3" s="78" t="s">
        <v>275</v>
      </c>
    </row>
    <row r="4" spans="2:25">
      <c r="B4" s="57" t="s">
        <v>187</v>
      </c>
      <c r="C4" s="78">
        <v>2102</v>
      </c>
    </row>
    <row r="6" spans="2:25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3"/>
    </row>
    <row r="7" spans="2:25" ht="26.25" customHeight="1">
      <c r="B7" s="181" t="s">
        <v>97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3"/>
      <c r="Y7" s="3"/>
    </row>
    <row r="8" spans="2:25" s="3" customFormat="1" ht="78.75">
      <c r="B8" s="23" t="s">
        <v>123</v>
      </c>
      <c r="C8" s="31" t="s">
        <v>49</v>
      </c>
      <c r="D8" s="31" t="s">
        <v>127</v>
      </c>
      <c r="E8" s="31" t="s">
        <v>233</v>
      </c>
      <c r="F8" s="31" t="s">
        <v>125</v>
      </c>
      <c r="G8" s="31" t="s">
        <v>70</v>
      </c>
      <c r="H8" s="31" t="s">
        <v>15</v>
      </c>
      <c r="I8" s="31" t="s">
        <v>71</v>
      </c>
      <c r="J8" s="31" t="s">
        <v>110</v>
      </c>
      <c r="K8" s="31" t="s">
        <v>18</v>
      </c>
      <c r="L8" s="31" t="s">
        <v>109</v>
      </c>
      <c r="M8" s="31" t="s">
        <v>17</v>
      </c>
      <c r="N8" s="31" t="s">
        <v>19</v>
      </c>
      <c r="O8" s="14" t="s">
        <v>249</v>
      </c>
      <c r="P8" s="31" t="s">
        <v>248</v>
      </c>
      <c r="Q8" s="31" t="s">
        <v>264</v>
      </c>
      <c r="R8" s="31" t="s">
        <v>67</v>
      </c>
      <c r="S8" s="14" t="s">
        <v>64</v>
      </c>
      <c r="T8" s="31" t="s">
        <v>188</v>
      </c>
      <c r="U8" s="15" t="s">
        <v>190</v>
      </c>
      <c r="V8" s="1"/>
    </row>
    <row r="9" spans="2:25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256</v>
      </c>
      <c r="P9" s="33"/>
      <c r="Q9" s="17" t="s">
        <v>252</v>
      </c>
      <c r="R9" s="33" t="s">
        <v>252</v>
      </c>
      <c r="S9" s="17" t="s">
        <v>20</v>
      </c>
      <c r="T9" s="33" t="s">
        <v>252</v>
      </c>
      <c r="U9" s="18" t="s">
        <v>20</v>
      </c>
      <c r="V9" s="1"/>
      <c r="Y9" s="4"/>
    </row>
    <row r="10" spans="2:2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121</v>
      </c>
      <c r="R10" s="20" t="s">
        <v>122</v>
      </c>
      <c r="S10" s="20" t="s">
        <v>191</v>
      </c>
      <c r="T10" s="21" t="s">
        <v>234</v>
      </c>
      <c r="U10" s="21" t="s">
        <v>258</v>
      </c>
      <c r="V10" s="1"/>
    </row>
    <row r="11" spans="2:25" s="135" customFormat="1" ht="18" customHeight="1">
      <c r="B11" s="79" t="s">
        <v>36</v>
      </c>
      <c r="C11" s="80"/>
      <c r="D11" s="80"/>
      <c r="E11" s="80"/>
      <c r="F11" s="80"/>
      <c r="G11" s="80"/>
      <c r="H11" s="80"/>
      <c r="I11" s="80"/>
      <c r="J11" s="80"/>
      <c r="K11" s="88">
        <v>4.7652124680543873</v>
      </c>
      <c r="L11" s="80"/>
      <c r="M11" s="80"/>
      <c r="N11" s="103">
        <v>1.8103797287402929E-2</v>
      </c>
      <c r="O11" s="88"/>
      <c r="P11" s="90"/>
      <c r="Q11" s="88">
        <v>14002.805724599999</v>
      </c>
      <c r="R11" s="88">
        <f>R12+R249</f>
        <v>5265474.3141494561</v>
      </c>
      <c r="S11" s="80"/>
      <c r="T11" s="89">
        <f>R11/$R$11</f>
        <v>1</v>
      </c>
      <c r="U11" s="89">
        <f>R11/'סכום נכסי הקרן'!$C$42</f>
        <v>9.0618327057757589E-2</v>
      </c>
      <c r="V11" s="132"/>
      <c r="Y11" s="132"/>
    </row>
    <row r="12" spans="2:25" s="132" customFormat="1">
      <c r="B12" s="81" t="s">
        <v>243</v>
      </c>
      <c r="C12" s="82"/>
      <c r="D12" s="82"/>
      <c r="E12" s="82"/>
      <c r="F12" s="82"/>
      <c r="G12" s="82"/>
      <c r="H12" s="82"/>
      <c r="I12" s="82"/>
      <c r="J12" s="82"/>
      <c r="K12" s="91">
        <v>4.0967103274360079</v>
      </c>
      <c r="L12" s="82"/>
      <c r="M12" s="82"/>
      <c r="N12" s="104">
        <v>9.5519898588939736E-3</v>
      </c>
      <c r="O12" s="91"/>
      <c r="P12" s="93"/>
      <c r="Q12" s="91">
        <v>14002.805724600001</v>
      </c>
      <c r="R12" s="91">
        <f>R13+R160+R243</f>
        <v>3554929.1019416237</v>
      </c>
      <c r="S12" s="82"/>
      <c r="T12" s="92">
        <f t="shared" ref="T12:T75" si="0">R12/$R$11</f>
        <v>0.67513938723217559</v>
      </c>
      <c r="U12" s="92">
        <f>R12/'סכום נכסי הקרן'!$C$42</f>
        <v>6.1180001801779335E-2</v>
      </c>
    </row>
    <row r="13" spans="2:25" s="132" customFormat="1">
      <c r="B13" s="102" t="s">
        <v>35</v>
      </c>
      <c r="C13" s="82"/>
      <c r="D13" s="82"/>
      <c r="E13" s="82"/>
      <c r="F13" s="82"/>
      <c r="G13" s="82"/>
      <c r="H13" s="82"/>
      <c r="I13" s="82"/>
      <c r="J13" s="82"/>
      <c r="K13" s="91">
        <v>3.9945307241811525</v>
      </c>
      <c r="L13" s="82"/>
      <c r="M13" s="82"/>
      <c r="N13" s="104">
        <v>6.0695600303872586E-3</v>
      </c>
      <c r="O13" s="91"/>
      <c r="P13" s="93"/>
      <c r="Q13" s="91">
        <v>12891.208218106</v>
      </c>
      <c r="R13" s="91">
        <f>SUM(R14:R158)</f>
        <v>2812859.8335153353</v>
      </c>
      <c r="S13" s="82"/>
      <c r="T13" s="92">
        <f t="shared" si="0"/>
        <v>0.53420825279815332</v>
      </c>
      <c r="U13" s="92">
        <f>R13/'סכום נכסי הקרן'!$C$42</f>
        <v>4.8409058169016299E-2</v>
      </c>
    </row>
    <row r="14" spans="2:25" s="132" customFormat="1">
      <c r="B14" s="87" t="s">
        <v>355</v>
      </c>
      <c r="C14" s="84" t="s">
        <v>356</v>
      </c>
      <c r="D14" s="97" t="s">
        <v>128</v>
      </c>
      <c r="E14" s="97" t="s">
        <v>357</v>
      </c>
      <c r="F14" s="84" t="s">
        <v>358</v>
      </c>
      <c r="G14" s="97" t="s">
        <v>359</v>
      </c>
      <c r="H14" s="84" t="s">
        <v>360</v>
      </c>
      <c r="I14" s="84" t="s">
        <v>361</v>
      </c>
      <c r="J14" s="84"/>
      <c r="K14" s="94">
        <v>2.819999999999995</v>
      </c>
      <c r="L14" s="97" t="s">
        <v>170</v>
      </c>
      <c r="M14" s="98">
        <v>6.1999999999999998E-3</v>
      </c>
      <c r="N14" s="98">
        <v>-2.4999999999999662E-3</v>
      </c>
      <c r="O14" s="94">
        <v>71163103.735590994</v>
      </c>
      <c r="P14" s="96">
        <v>104.12</v>
      </c>
      <c r="Q14" s="84"/>
      <c r="R14" s="94">
        <v>74095.022883408994</v>
      </c>
      <c r="S14" s="95">
        <v>1.4369397292183577E-2</v>
      </c>
      <c r="T14" s="95">
        <f t="shared" si="0"/>
        <v>1.4071861044749532E-2</v>
      </c>
      <c r="U14" s="95">
        <f>R14/'סכום נכסי הקרן'!$C$42</f>
        <v>1.2751685064644317E-3</v>
      </c>
    </row>
    <row r="15" spans="2:25" s="132" customFormat="1">
      <c r="B15" s="87" t="s">
        <v>362</v>
      </c>
      <c r="C15" s="84" t="s">
        <v>363</v>
      </c>
      <c r="D15" s="97" t="s">
        <v>128</v>
      </c>
      <c r="E15" s="97" t="s">
        <v>357</v>
      </c>
      <c r="F15" s="84" t="s">
        <v>364</v>
      </c>
      <c r="G15" s="97" t="s">
        <v>365</v>
      </c>
      <c r="H15" s="84" t="s">
        <v>360</v>
      </c>
      <c r="I15" s="84" t="s">
        <v>361</v>
      </c>
      <c r="J15" s="84"/>
      <c r="K15" s="94">
        <v>2.0499999999998249</v>
      </c>
      <c r="L15" s="97" t="s">
        <v>170</v>
      </c>
      <c r="M15" s="98">
        <v>3.5499999999999997E-2</v>
      </c>
      <c r="N15" s="98">
        <v>-2.6999999999997039E-3</v>
      </c>
      <c r="O15" s="94">
        <v>6237006.0720960014</v>
      </c>
      <c r="P15" s="96">
        <v>118.84</v>
      </c>
      <c r="Q15" s="84"/>
      <c r="R15" s="94">
        <v>7412.0579607859991</v>
      </c>
      <c r="S15" s="95">
        <v>2.1877054622767622E-2</v>
      </c>
      <c r="T15" s="95">
        <f t="shared" si="0"/>
        <v>1.4076714686212053E-3</v>
      </c>
      <c r="U15" s="95">
        <f>R15/'סכום נכסי הקרן'!$C$42</f>
        <v>1.2756083353339035E-4</v>
      </c>
    </row>
    <row r="16" spans="2:25" s="132" customFormat="1">
      <c r="B16" s="87" t="s">
        <v>366</v>
      </c>
      <c r="C16" s="84" t="s">
        <v>367</v>
      </c>
      <c r="D16" s="97" t="s">
        <v>128</v>
      </c>
      <c r="E16" s="97" t="s">
        <v>357</v>
      </c>
      <c r="F16" s="84" t="s">
        <v>364</v>
      </c>
      <c r="G16" s="97" t="s">
        <v>365</v>
      </c>
      <c r="H16" s="84" t="s">
        <v>360</v>
      </c>
      <c r="I16" s="84" t="s">
        <v>361</v>
      </c>
      <c r="J16" s="84"/>
      <c r="K16" s="94">
        <v>0.93999999999975781</v>
      </c>
      <c r="L16" s="97" t="s">
        <v>170</v>
      </c>
      <c r="M16" s="98">
        <v>4.6500000000000007E-2</v>
      </c>
      <c r="N16" s="98">
        <v>-4.2999999999984769E-3</v>
      </c>
      <c r="O16" s="94">
        <v>2013101.084885</v>
      </c>
      <c r="P16" s="96">
        <v>127.21</v>
      </c>
      <c r="Q16" s="84"/>
      <c r="R16" s="94">
        <v>2560.8658787730001</v>
      </c>
      <c r="S16" s="95">
        <v>1.013533672892356E-2</v>
      </c>
      <c r="T16" s="95">
        <f t="shared" si="0"/>
        <v>4.8635046455195981E-4</v>
      </c>
      <c r="U16" s="95">
        <f>R16/'סכום נכסי הקרן'!$C$42</f>
        <v>4.4072265461461841E-5</v>
      </c>
    </row>
    <row r="17" spans="2:21" s="132" customFormat="1">
      <c r="B17" s="87" t="s">
        <v>368</v>
      </c>
      <c r="C17" s="84" t="s">
        <v>369</v>
      </c>
      <c r="D17" s="97" t="s">
        <v>128</v>
      </c>
      <c r="E17" s="97" t="s">
        <v>357</v>
      </c>
      <c r="F17" s="84" t="s">
        <v>364</v>
      </c>
      <c r="G17" s="97" t="s">
        <v>365</v>
      </c>
      <c r="H17" s="84" t="s">
        <v>360</v>
      </c>
      <c r="I17" s="84" t="s">
        <v>361</v>
      </c>
      <c r="J17" s="84"/>
      <c r="K17" s="94">
        <v>4.9799999999999507</v>
      </c>
      <c r="L17" s="97" t="s">
        <v>170</v>
      </c>
      <c r="M17" s="98">
        <v>1.4999999999999999E-2</v>
      </c>
      <c r="N17" s="98">
        <v>-2.200000000000106E-3</v>
      </c>
      <c r="O17" s="94">
        <v>18715410.004464999</v>
      </c>
      <c r="P17" s="96">
        <v>110.88</v>
      </c>
      <c r="Q17" s="84"/>
      <c r="R17" s="94">
        <v>20751.645902348999</v>
      </c>
      <c r="S17" s="95">
        <v>3.6612447739766213E-2</v>
      </c>
      <c r="T17" s="95">
        <f t="shared" si="0"/>
        <v>3.9410781753478289E-3</v>
      </c>
      <c r="U17" s="95">
        <f>R17/'סכום נכסי הקרן'!$C$42</f>
        <v>3.571339110538601E-4</v>
      </c>
    </row>
    <row r="18" spans="2:21" s="132" customFormat="1">
      <c r="B18" s="87" t="s">
        <v>370</v>
      </c>
      <c r="C18" s="84" t="s">
        <v>371</v>
      </c>
      <c r="D18" s="97" t="s">
        <v>128</v>
      </c>
      <c r="E18" s="97" t="s">
        <v>357</v>
      </c>
      <c r="F18" s="84" t="s">
        <v>372</v>
      </c>
      <c r="G18" s="97" t="s">
        <v>365</v>
      </c>
      <c r="H18" s="84" t="s">
        <v>373</v>
      </c>
      <c r="I18" s="84" t="s">
        <v>168</v>
      </c>
      <c r="J18" s="84"/>
      <c r="K18" s="94">
        <v>5.6800000000001374</v>
      </c>
      <c r="L18" s="97" t="s">
        <v>170</v>
      </c>
      <c r="M18" s="98">
        <v>1E-3</v>
      </c>
      <c r="N18" s="98">
        <v>-1.4999999999998439E-3</v>
      </c>
      <c r="O18" s="94">
        <v>18932711.053783</v>
      </c>
      <c r="P18" s="96">
        <v>101.45</v>
      </c>
      <c r="Q18" s="84"/>
      <c r="R18" s="94">
        <v>19207.235995301999</v>
      </c>
      <c r="S18" s="95">
        <v>2.7046730076832858E-2</v>
      </c>
      <c r="T18" s="95">
        <f t="shared" si="0"/>
        <v>3.6477693839827583E-3</v>
      </c>
      <c r="U18" s="95">
        <f>R18/'סכום נכסי הקרן'!$C$42</f>
        <v>3.3055475906902453E-4</v>
      </c>
    </row>
    <row r="19" spans="2:21" s="132" customFormat="1">
      <c r="B19" s="87" t="s">
        <v>374</v>
      </c>
      <c r="C19" s="84" t="s">
        <v>375</v>
      </c>
      <c r="D19" s="97" t="s">
        <v>128</v>
      </c>
      <c r="E19" s="97" t="s">
        <v>357</v>
      </c>
      <c r="F19" s="84" t="s">
        <v>372</v>
      </c>
      <c r="G19" s="97" t="s">
        <v>365</v>
      </c>
      <c r="H19" s="84" t="s">
        <v>373</v>
      </c>
      <c r="I19" s="84" t="s">
        <v>168</v>
      </c>
      <c r="J19" s="84"/>
      <c r="K19" s="94">
        <v>0.73999999999998312</v>
      </c>
      <c r="L19" s="97" t="s">
        <v>170</v>
      </c>
      <c r="M19" s="98">
        <v>8.0000000000000002E-3</v>
      </c>
      <c r="N19" s="98">
        <v>5.200000000000338E-3</v>
      </c>
      <c r="O19" s="94">
        <v>14923872.976039</v>
      </c>
      <c r="P19" s="96">
        <v>103.05</v>
      </c>
      <c r="Q19" s="84"/>
      <c r="R19" s="94">
        <v>15379.051114149001</v>
      </c>
      <c r="S19" s="95">
        <v>3.4731433705490498E-2</v>
      </c>
      <c r="T19" s="95">
        <f t="shared" si="0"/>
        <v>2.9207342390451321E-3</v>
      </c>
      <c r="U19" s="95">
        <f>R19/'סכום נכסי הקרן'!$C$42</f>
        <v>2.6467205052258251E-4</v>
      </c>
    </row>
    <row r="20" spans="2:21" s="132" customFormat="1">
      <c r="B20" s="87" t="s">
        <v>376</v>
      </c>
      <c r="C20" s="84" t="s">
        <v>377</v>
      </c>
      <c r="D20" s="97" t="s">
        <v>128</v>
      </c>
      <c r="E20" s="97" t="s">
        <v>357</v>
      </c>
      <c r="F20" s="84" t="s">
        <v>378</v>
      </c>
      <c r="G20" s="97" t="s">
        <v>365</v>
      </c>
      <c r="H20" s="84" t="s">
        <v>373</v>
      </c>
      <c r="I20" s="84" t="s">
        <v>168</v>
      </c>
      <c r="J20" s="84"/>
      <c r="K20" s="94">
        <v>0.49999999999999345</v>
      </c>
      <c r="L20" s="97" t="s">
        <v>170</v>
      </c>
      <c r="M20" s="98">
        <v>5.8999999999999999E-3</v>
      </c>
      <c r="N20" s="98">
        <v>-4.300000000000033E-3</v>
      </c>
      <c r="O20" s="94">
        <v>75376394.926528007</v>
      </c>
      <c r="P20" s="96">
        <v>101.3</v>
      </c>
      <c r="Q20" s="84"/>
      <c r="R20" s="94">
        <v>76356.287770124996</v>
      </c>
      <c r="S20" s="95">
        <v>1.4120318988078083E-2</v>
      </c>
      <c r="T20" s="95">
        <f t="shared" si="0"/>
        <v>1.4501312363245096E-2</v>
      </c>
      <c r="U20" s="95">
        <f>R20/'סכום נכסי הקרן'!$C$42</f>
        <v>1.3140846664992478E-3</v>
      </c>
    </row>
    <row r="21" spans="2:21" s="132" customFormat="1">
      <c r="B21" s="87" t="s">
        <v>379</v>
      </c>
      <c r="C21" s="84" t="s">
        <v>380</v>
      </c>
      <c r="D21" s="97" t="s">
        <v>128</v>
      </c>
      <c r="E21" s="97" t="s">
        <v>357</v>
      </c>
      <c r="F21" s="84" t="s">
        <v>378</v>
      </c>
      <c r="G21" s="97" t="s">
        <v>365</v>
      </c>
      <c r="H21" s="84" t="s">
        <v>373</v>
      </c>
      <c r="I21" s="84" t="s">
        <v>168</v>
      </c>
      <c r="J21" s="84"/>
      <c r="K21" s="94">
        <v>5.3900000000000032</v>
      </c>
      <c r="L21" s="97" t="s">
        <v>170</v>
      </c>
      <c r="M21" s="98">
        <v>8.3000000000000001E-3</v>
      </c>
      <c r="N21" s="98">
        <v>-3.1000000000001218E-3</v>
      </c>
      <c r="O21" s="94">
        <v>24399027.274514999</v>
      </c>
      <c r="P21" s="96">
        <v>107.42</v>
      </c>
      <c r="Q21" s="84"/>
      <c r="R21" s="94">
        <v>26209.435943128003</v>
      </c>
      <c r="S21" s="95">
        <v>1.8973247645368865E-2</v>
      </c>
      <c r="T21" s="95">
        <f t="shared" si="0"/>
        <v>4.9776020885141615E-3</v>
      </c>
      <c r="U21" s="95">
        <f>R21/'סכום נכסי הקרן'!$C$42</f>
        <v>4.5106197402035352E-4</v>
      </c>
    </row>
    <row r="22" spans="2:21" s="132" customFormat="1">
      <c r="B22" s="87" t="s">
        <v>381</v>
      </c>
      <c r="C22" s="84" t="s">
        <v>382</v>
      </c>
      <c r="D22" s="97" t="s">
        <v>128</v>
      </c>
      <c r="E22" s="97" t="s">
        <v>357</v>
      </c>
      <c r="F22" s="84" t="s">
        <v>383</v>
      </c>
      <c r="G22" s="97" t="s">
        <v>365</v>
      </c>
      <c r="H22" s="84" t="s">
        <v>373</v>
      </c>
      <c r="I22" s="84" t="s">
        <v>168</v>
      </c>
      <c r="J22" s="84"/>
      <c r="K22" s="94">
        <v>1.1999999999999234</v>
      </c>
      <c r="L22" s="97" t="s">
        <v>170</v>
      </c>
      <c r="M22" s="98">
        <v>4.0999999999999995E-3</v>
      </c>
      <c r="N22" s="98">
        <v>-2.7000000000002109E-3</v>
      </c>
      <c r="O22" s="94">
        <v>5152043.4208070002</v>
      </c>
      <c r="P22" s="96">
        <v>101.24</v>
      </c>
      <c r="Q22" s="84"/>
      <c r="R22" s="94">
        <v>5215.9289744069993</v>
      </c>
      <c r="S22" s="95">
        <v>6.2681555782412267E-3</v>
      </c>
      <c r="T22" s="95">
        <f t="shared" si="0"/>
        <v>9.9059052674337089E-4</v>
      </c>
      <c r="U22" s="95">
        <f>R22/'סכום נכסי הקרן'!$C$42</f>
        <v>8.9765656332747149E-5</v>
      </c>
    </row>
    <row r="23" spans="2:21" s="132" customFormat="1">
      <c r="B23" s="87" t="s">
        <v>384</v>
      </c>
      <c r="C23" s="84" t="s">
        <v>385</v>
      </c>
      <c r="D23" s="97" t="s">
        <v>128</v>
      </c>
      <c r="E23" s="97" t="s">
        <v>357</v>
      </c>
      <c r="F23" s="84" t="s">
        <v>383</v>
      </c>
      <c r="G23" s="97" t="s">
        <v>365</v>
      </c>
      <c r="H23" s="84" t="s">
        <v>373</v>
      </c>
      <c r="I23" s="84" t="s">
        <v>168</v>
      </c>
      <c r="J23" s="84"/>
      <c r="K23" s="94">
        <v>9.0000000000005367E-2</v>
      </c>
      <c r="L23" s="97" t="s">
        <v>170</v>
      </c>
      <c r="M23" s="98">
        <v>6.4000000000000003E-3</v>
      </c>
      <c r="N23" s="98">
        <v>8.3000000000000435E-3</v>
      </c>
      <c r="O23" s="94">
        <v>53462218.352632999</v>
      </c>
      <c r="P23" s="96">
        <v>101.16</v>
      </c>
      <c r="Q23" s="84"/>
      <c r="R23" s="94">
        <v>54082.377465918995</v>
      </c>
      <c r="S23" s="95">
        <v>1.6971620967822558E-2</v>
      </c>
      <c r="T23" s="95">
        <f t="shared" si="0"/>
        <v>1.027113119146514E-2</v>
      </c>
      <c r="U23" s="95">
        <f>R23/'סכום נכסי הקרן'!$C$42</f>
        <v>9.3075272556132356E-4</v>
      </c>
    </row>
    <row r="24" spans="2:21" s="132" customFormat="1">
      <c r="B24" s="87" t="s">
        <v>386</v>
      </c>
      <c r="C24" s="84" t="s">
        <v>387</v>
      </c>
      <c r="D24" s="97" t="s">
        <v>128</v>
      </c>
      <c r="E24" s="97" t="s">
        <v>357</v>
      </c>
      <c r="F24" s="84" t="s">
        <v>383</v>
      </c>
      <c r="G24" s="97" t="s">
        <v>365</v>
      </c>
      <c r="H24" s="84" t="s">
        <v>373</v>
      </c>
      <c r="I24" s="84" t="s">
        <v>168</v>
      </c>
      <c r="J24" s="84"/>
      <c r="K24" s="94">
        <v>1.5499999999999783</v>
      </c>
      <c r="L24" s="97" t="s">
        <v>170</v>
      </c>
      <c r="M24" s="98">
        <v>0.04</v>
      </c>
      <c r="N24" s="98">
        <v>-5.3000000000000226E-3</v>
      </c>
      <c r="O24" s="94">
        <v>34961875.696647003</v>
      </c>
      <c r="P24" s="96">
        <v>111.19</v>
      </c>
      <c r="Q24" s="84"/>
      <c r="R24" s="94">
        <v>38874.110328046998</v>
      </c>
      <c r="S24" s="95">
        <v>1.6875968142356312E-2</v>
      </c>
      <c r="T24" s="95">
        <f t="shared" si="0"/>
        <v>7.3828316327712289E-3</v>
      </c>
      <c r="U24" s="95">
        <f>R24/'סכום נכסי הקרן'!$C$42</f>
        <v>6.6901985151082179E-4</v>
      </c>
    </row>
    <row r="25" spans="2:21" s="132" customFormat="1">
      <c r="B25" s="87" t="s">
        <v>388</v>
      </c>
      <c r="C25" s="84" t="s">
        <v>389</v>
      </c>
      <c r="D25" s="97" t="s">
        <v>128</v>
      </c>
      <c r="E25" s="97" t="s">
        <v>357</v>
      </c>
      <c r="F25" s="84" t="s">
        <v>383</v>
      </c>
      <c r="G25" s="97" t="s">
        <v>365</v>
      </c>
      <c r="H25" s="84" t="s">
        <v>373</v>
      </c>
      <c r="I25" s="84" t="s">
        <v>168</v>
      </c>
      <c r="J25" s="84"/>
      <c r="K25" s="94">
        <v>2.7099999999999955</v>
      </c>
      <c r="L25" s="97" t="s">
        <v>170</v>
      </c>
      <c r="M25" s="98">
        <v>9.8999999999999991E-3</v>
      </c>
      <c r="N25" s="98">
        <v>-4.000000000000001E-3</v>
      </c>
      <c r="O25" s="94">
        <v>49957523.358065993</v>
      </c>
      <c r="P25" s="96">
        <v>105.64</v>
      </c>
      <c r="Q25" s="84"/>
      <c r="R25" s="94">
        <v>52775.127746974991</v>
      </c>
      <c r="S25" s="95">
        <v>1.6575850005032058E-2</v>
      </c>
      <c r="T25" s="95">
        <f t="shared" si="0"/>
        <v>1.0022863012579309E-2</v>
      </c>
      <c r="U25" s="95">
        <f>R25/'סכום נכסי הקרן'!$C$42</f>
        <v>9.0825507852901344E-4</v>
      </c>
    </row>
    <row r="26" spans="2:21" s="132" customFormat="1">
      <c r="B26" s="87" t="s">
        <v>390</v>
      </c>
      <c r="C26" s="84" t="s">
        <v>391</v>
      </c>
      <c r="D26" s="97" t="s">
        <v>128</v>
      </c>
      <c r="E26" s="97" t="s">
        <v>357</v>
      </c>
      <c r="F26" s="84" t="s">
        <v>383</v>
      </c>
      <c r="G26" s="97" t="s">
        <v>365</v>
      </c>
      <c r="H26" s="84" t="s">
        <v>373</v>
      </c>
      <c r="I26" s="84" t="s">
        <v>168</v>
      </c>
      <c r="J26" s="84"/>
      <c r="K26" s="94">
        <v>4.6699999999999635</v>
      </c>
      <c r="L26" s="97" t="s">
        <v>170</v>
      </c>
      <c r="M26" s="98">
        <v>8.6E-3</v>
      </c>
      <c r="N26" s="98">
        <v>-2.4999999999999489E-3</v>
      </c>
      <c r="O26" s="94">
        <v>45125188.90535</v>
      </c>
      <c r="P26" s="96">
        <v>107.21</v>
      </c>
      <c r="Q26" s="84"/>
      <c r="R26" s="94">
        <v>48378.712666736988</v>
      </c>
      <c r="S26" s="95">
        <v>1.8040326569661754E-2</v>
      </c>
      <c r="T26" s="95">
        <f t="shared" si="0"/>
        <v>9.1879116258782294E-3</v>
      </c>
      <c r="U26" s="95">
        <f>R26/'סכום נכסי הקרן'!$C$42</f>
        <v>8.3259318069160682E-4</v>
      </c>
    </row>
    <row r="27" spans="2:21" s="132" customFormat="1">
      <c r="B27" s="87" t="s">
        <v>392</v>
      </c>
      <c r="C27" s="84" t="s">
        <v>393</v>
      </c>
      <c r="D27" s="97" t="s">
        <v>128</v>
      </c>
      <c r="E27" s="97" t="s">
        <v>357</v>
      </c>
      <c r="F27" s="84" t="s">
        <v>383</v>
      </c>
      <c r="G27" s="97" t="s">
        <v>365</v>
      </c>
      <c r="H27" s="84" t="s">
        <v>373</v>
      </c>
      <c r="I27" s="84" t="s">
        <v>168</v>
      </c>
      <c r="J27" s="84"/>
      <c r="K27" s="94">
        <v>7.429999999998917</v>
      </c>
      <c r="L27" s="97" t="s">
        <v>170</v>
      </c>
      <c r="M27" s="98">
        <v>1.2199999999999999E-2</v>
      </c>
      <c r="N27" s="98">
        <v>-9.9999999997521329E-5</v>
      </c>
      <c r="O27" s="94">
        <v>1590624.2</v>
      </c>
      <c r="P27" s="96">
        <v>111.6</v>
      </c>
      <c r="Q27" s="84"/>
      <c r="R27" s="94">
        <v>1775.1366167440001</v>
      </c>
      <c r="S27" s="95">
        <v>1.9842918234348958E-3</v>
      </c>
      <c r="T27" s="95">
        <f t="shared" si="0"/>
        <v>3.3712758069559437E-4</v>
      </c>
      <c r="U27" s="95">
        <f>R27/'סכום נכסי הקרן'!$C$42</f>
        <v>3.0549937367663932E-5</v>
      </c>
    </row>
    <row r="28" spans="2:21" s="132" customFormat="1">
      <c r="B28" s="87" t="s">
        <v>394</v>
      </c>
      <c r="C28" s="84" t="s">
        <v>395</v>
      </c>
      <c r="D28" s="97" t="s">
        <v>128</v>
      </c>
      <c r="E28" s="97" t="s">
        <v>357</v>
      </c>
      <c r="F28" s="84" t="s">
        <v>383</v>
      </c>
      <c r="G28" s="97" t="s">
        <v>365</v>
      </c>
      <c r="H28" s="84" t="s">
        <v>373</v>
      </c>
      <c r="I28" s="84" t="s">
        <v>168</v>
      </c>
      <c r="J28" s="84"/>
      <c r="K28" s="94">
        <v>6.3999999999999844</v>
      </c>
      <c r="L28" s="97" t="s">
        <v>170</v>
      </c>
      <c r="M28" s="98">
        <v>3.8E-3</v>
      </c>
      <c r="N28" s="98">
        <v>-1.3000000000000156E-3</v>
      </c>
      <c r="O28" s="94">
        <v>63321105.650951996</v>
      </c>
      <c r="P28" s="96">
        <v>102.63</v>
      </c>
      <c r="Q28" s="84"/>
      <c r="R28" s="94">
        <v>64986.451902529996</v>
      </c>
      <c r="S28" s="95">
        <v>2.1107035216984E-2</v>
      </c>
      <c r="T28" s="95">
        <f t="shared" si="0"/>
        <v>1.2341993906968171E-2</v>
      </c>
      <c r="U28" s="95">
        <f>R28/'סכום נכסי הקרן'!$C$42</f>
        <v>1.1184108404064931E-3</v>
      </c>
    </row>
    <row r="29" spans="2:21" s="132" customFormat="1">
      <c r="B29" s="87" t="s">
        <v>396</v>
      </c>
      <c r="C29" s="84" t="s">
        <v>397</v>
      </c>
      <c r="D29" s="97" t="s">
        <v>128</v>
      </c>
      <c r="E29" s="97" t="s">
        <v>357</v>
      </c>
      <c r="F29" s="84" t="s">
        <v>383</v>
      </c>
      <c r="G29" s="97" t="s">
        <v>365</v>
      </c>
      <c r="H29" s="84" t="s">
        <v>373</v>
      </c>
      <c r="I29" s="84" t="s">
        <v>168</v>
      </c>
      <c r="J29" s="84"/>
      <c r="K29" s="94">
        <v>3.8199999999999403</v>
      </c>
      <c r="L29" s="97" t="s">
        <v>170</v>
      </c>
      <c r="M29" s="98">
        <v>1E-3</v>
      </c>
      <c r="N29" s="98">
        <v>-3.2000000000001862E-3</v>
      </c>
      <c r="O29" s="94">
        <v>18998141.698375002</v>
      </c>
      <c r="P29" s="96">
        <v>101.62</v>
      </c>
      <c r="Q29" s="84"/>
      <c r="R29" s="94">
        <v>19305.912017027003</v>
      </c>
      <c r="S29" s="95">
        <v>7.4677290609453818E-3</v>
      </c>
      <c r="T29" s="95">
        <f t="shared" si="0"/>
        <v>3.6665095801811979E-3</v>
      </c>
      <c r="U29" s="95">
        <f>R29/'סכום נכסי הקרן'!$C$42</f>
        <v>3.3225296429726129E-4</v>
      </c>
    </row>
    <row r="30" spans="2:21" s="132" customFormat="1">
      <c r="B30" s="87" t="s">
        <v>398</v>
      </c>
      <c r="C30" s="84" t="s">
        <v>399</v>
      </c>
      <c r="D30" s="97" t="s">
        <v>128</v>
      </c>
      <c r="E30" s="97" t="s">
        <v>357</v>
      </c>
      <c r="F30" s="84" t="s">
        <v>383</v>
      </c>
      <c r="G30" s="97" t="s">
        <v>365</v>
      </c>
      <c r="H30" s="84" t="s">
        <v>373</v>
      </c>
      <c r="I30" s="84" t="s">
        <v>168</v>
      </c>
      <c r="J30" s="84"/>
      <c r="K30" s="94">
        <v>10.260000000000275</v>
      </c>
      <c r="L30" s="97" t="s">
        <v>170</v>
      </c>
      <c r="M30" s="98">
        <v>3.0000000000000001E-3</v>
      </c>
      <c r="N30" s="98">
        <v>3.5000000000001558E-3</v>
      </c>
      <c r="O30" s="94">
        <v>12689209.009248</v>
      </c>
      <c r="P30" s="96">
        <v>101.15</v>
      </c>
      <c r="Q30" s="84"/>
      <c r="R30" s="94">
        <v>12835.135147948</v>
      </c>
      <c r="S30" s="95">
        <v>1.8077676181779585E-2</v>
      </c>
      <c r="T30" s="95">
        <f t="shared" si="0"/>
        <v>2.4376028411072568E-3</v>
      </c>
      <c r="U30" s="95">
        <f>R30/'סכום נכסי הקרן'!$C$42</f>
        <v>2.2089149149237655E-4</v>
      </c>
    </row>
    <row r="31" spans="2:21" s="132" customFormat="1">
      <c r="B31" s="87" t="s">
        <v>400</v>
      </c>
      <c r="C31" s="84" t="s">
        <v>401</v>
      </c>
      <c r="D31" s="97" t="s">
        <v>128</v>
      </c>
      <c r="E31" s="97" t="s">
        <v>357</v>
      </c>
      <c r="F31" s="84" t="s">
        <v>402</v>
      </c>
      <c r="G31" s="97" t="s">
        <v>164</v>
      </c>
      <c r="H31" s="84" t="s">
        <v>360</v>
      </c>
      <c r="I31" s="84" t="s">
        <v>361</v>
      </c>
      <c r="J31" s="84"/>
      <c r="K31" s="94">
        <v>15.559999999999839</v>
      </c>
      <c r="L31" s="97" t="s">
        <v>170</v>
      </c>
      <c r="M31" s="98">
        <v>2.07E-2</v>
      </c>
      <c r="N31" s="98">
        <v>9.6999999999998684E-3</v>
      </c>
      <c r="O31" s="94">
        <v>9175098.4111080002</v>
      </c>
      <c r="P31" s="96">
        <v>116.87</v>
      </c>
      <c r="Q31" s="84"/>
      <c r="R31" s="94">
        <v>10722.937513062001</v>
      </c>
      <c r="S31" s="95">
        <v>1.3694176732997014E-2</v>
      </c>
      <c r="T31" s="95">
        <f t="shared" si="0"/>
        <v>2.0364618405310938E-3</v>
      </c>
      <c r="U31" s="95">
        <f>R31/'סכום נכסי הקרן'!$C$42</f>
        <v>1.8454076510588966E-4</v>
      </c>
    </row>
    <row r="32" spans="2:21" s="132" customFormat="1">
      <c r="B32" s="87" t="s">
        <v>403</v>
      </c>
      <c r="C32" s="84" t="s">
        <v>404</v>
      </c>
      <c r="D32" s="97" t="s">
        <v>128</v>
      </c>
      <c r="E32" s="97" t="s">
        <v>357</v>
      </c>
      <c r="F32" s="84" t="s">
        <v>405</v>
      </c>
      <c r="G32" s="97" t="s">
        <v>365</v>
      </c>
      <c r="H32" s="84" t="s">
        <v>373</v>
      </c>
      <c r="I32" s="84" t="s">
        <v>168</v>
      </c>
      <c r="J32" s="84"/>
      <c r="K32" s="94">
        <v>2.4599999999999973</v>
      </c>
      <c r="L32" s="97" t="s">
        <v>170</v>
      </c>
      <c r="M32" s="98">
        <v>0.05</v>
      </c>
      <c r="N32" s="98">
        <v>-4.1000000000000168E-3</v>
      </c>
      <c r="O32" s="94">
        <v>66331271.17571</v>
      </c>
      <c r="P32" s="96">
        <v>120.68</v>
      </c>
      <c r="Q32" s="84"/>
      <c r="R32" s="94">
        <v>80048.578172206995</v>
      </c>
      <c r="S32" s="95">
        <v>2.1046809191536255E-2</v>
      </c>
      <c r="T32" s="95">
        <f t="shared" si="0"/>
        <v>1.5202538916028768E-2</v>
      </c>
      <c r="U32" s="95">
        <f>R32/'סכום נכסי הקרן'!$C$42</f>
        <v>1.3776286436009825E-3</v>
      </c>
    </row>
    <row r="33" spans="2:21" s="132" customFormat="1">
      <c r="B33" s="87" t="s">
        <v>406</v>
      </c>
      <c r="C33" s="84" t="s">
        <v>407</v>
      </c>
      <c r="D33" s="97" t="s">
        <v>128</v>
      </c>
      <c r="E33" s="97" t="s">
        <v>357</v>
      </c>
      <c r="F33" s="84" t="s">
        <v>405</v>
      </c>
      <c r="G33" s="97" t="s">
        <v>365</v>
      </c>
      <c r="H33" s="84" t="s">
        <v>373</v>
      </c>
      <c r="I33" s="84" t="s">
        <v>168</v>
      </c>
      <c r="J33" s="84"/>
      <c r="K33" s="94">
        <v>0.71000000000003238</v>
      </c>
      <c r="L33" s="97" t="s">
        <v>170</v>
      </c>
      <c r="M33" s="98">
        <v>1.6E-2</v>
      </c>
      <c r="N33" s="98">
        <v>-1.4000000000002157E-3</v>
      </c>
      <c r="O33" s="94">
        <v>1818596.5450670002</v>
      </c>
      <c r="P33" s="96">
        <v>102</v>
      </c>
      <c r="Q33" s="84"/>
      <c r="R33" s="94">
        <v>1854.9684722139998</v>
      </c>
      <c r="S33" s="95">
        <v>1.732645988144104E-3</v>
      </c>
      <c r="T33" s="95">
        <f t="shared" si="0"/>
        <v>3.5228896041317734E-4</v>
      </c>
      <c r="U33" s="95">
        <f>R33/'סכום נכסי הקרן'!$C$42</f>
        <v>3.1923836233558723E-5</v>
      </c>
    </row>
    <row r="34" spans="2:21" s="132" customFormat="1">
      <c r="B34" s="87" t="s">
        <v>408</v>
      </c>
      <c r="C34" s="84" t="s">
        <v>409</v>
      </c>
      <c r="D34" s="97" t="s">
        <v>128</v>
      </c>
      <c r="E34" s="97" t="s">
        <v>357</v>
      </c>
      <c r="F34" s="84" t="s">
        <v>405</v>
      </c>
      <c r="G34" s="97" t="s">
        <v>365</v>
      </c>
      <c r="H34" s="84" t="s">
        <v>373</v>
      </c>
      <c r="I34" s="84" t="s">
        <v>168</v>
      </c>
      <c r="J34" s="84"/>
      <c r="K34" s="94">
        <v>1.7299999999999605</v>
      </c>
      <c r="L34" s="97" t="s">
        <v>170</v>
      </c>
      <c r="M34" s="98">
        <v>6.9999999999999993E-3</v>
      </c>
      <c r="N34" s="98">
        <v>-2.8999999999998281E-3</v>
      </c>
      <c r="O34" s="94">
        <v>27265242.554632001</v>
      </c>
      <c r="P34" s="96">
        <v>104.53</v>
      </c>
      <c r="Q34" s="84"/>
      <c r="R34" s="94">
        <v>28500.358369580998</v>
      </c>
      <c r="S34" s="95">
        <v>9.5890114119295509E-3</v>
      </c>
      <c r="T34" s="95">
        <f t="shared" si="0"/>
        <v>5.4126858606060304E-3</v>
      </c>
      <c r="U34" s="95">
        <f>R34/'סכום נכסי הקרן'!$C$42</f>
        <v>4.9048853757729743E-4</v>
      </c>
    </row>
    <row r="35" spans="2:21" s="132" customFormat="1">
      <c r="B35" s="87" t="s">
        <v>410</v>
      </c>
      <c r="C35" s="84" t="s">
        <v>411</v>
      </c>
      <c r="D35" s="97" t="s">
        <v>128</v>
      </c>
      <c r="E35" s="97" t="s">
        <v>357</v>
      </c>
      <c r="F35" s="84" t="s">
        <v>405</v>
      </c>
      <c r="G35" s="97" t="s">
        <v>365</v>
      </c>
      <c r="H35" s="84" t="s">
        <v>373</v>
      </c>
      <c r="I35" s="84" t="s">
        <v>168</v>
      </c>
      <c r="J35" s="84"/>
      <c r="K35" s="94">
        <v>4.3100000000000698</v>
      </c>
      <c r="L35" s="97" t="s">
        <v>170</v>
      </c>
      <c r="M35" s="98">
        <v>6.0000000000000001E-3</v>
      </c>
      <c r="N35" s="98">
        <v>-3.0000000000000291E-3</v>
      </c>
      <c r="O35" s="94">
        <v>31900110.373741001</v>
      </c>
      <c r="P35" s="96">
        <v>105.92</v>
      </c>
      <c r="Q35" s="84"/>
      <c r="R35" s="94">
        <v>33788.595346573005</v>
      </c>
      <c r="S35" s="95">
        <v>1.5936266332426369E-2</v>
      </c>
      <c r="T35" s="95">
        <f t="shared" si="0"/>
        <v>6.4170088639072496E-3</v>
      </c>
      <c r="U35" s="95">
        <f>R35/'סכום נכסי הקרן'!$C$42</f>
        <v>5.8149860796207669E-4</v>
      </c>
    </row>
    <row r="36" spans="2:21" s="132" customFormat="1">
      <c r="B36" s="87" t="s">
        <v>412</v>
      </c>
      <c r="C36" s="84" t="s">
        <v>413</v>
      </c>
      <c r="D36" s="97" t="s">
        <v>128</v>
      </c>
      <c r="E36" s="97" t="s">
        <v>357</v>
      </c>
      <c r="F36" s="84" t="s">
        <v>405</v>
      </c>
      <c r="G36" s="97" t="s">
        <v>365</v>
      </c>
      <c r="H36" s="84" t="s">
        <v>373</v>
      </c>
      <c r="I36" s="84" t="s">
        <v>168</v>
      </c>
      <c r="J36" s="84"/>
      <c r="K36" s="94">
        <v>5.7900000000000258</v>
      </c>
      <c r="L36" s="97" t="s">
        <v>170</v>
      </c>
      <c r="M36" s="98">
        <v>1.7500000000000002E-2</v>
      </c>
      <c r="N36" s="98">
        <v>-2.6000000000000051E-3</v>
      </c>
      <c r="O36" s="94">
        <v>74461330.178397998</v>
      </c>
      <c r="P36" s="96">
        <v>112.19</v>
      </c>
      <c r="Q36" s="84"/>
      <c r="R36" s="94">
        <v>83538.167390496004</v>
      </c>
      <c r="S36" s="95">
        <v>1.8777832276302534E-2</v>
      </c>
      <c r="T36" s="95">
        <f t="shared" si="0"/>
        <v>1.5865269186863391E-2</v>
      </c>
      <c r="U36" s="95">
        <f>R36/'סכום נכסי הקרן'!$C$42</f>
        <v>1.4376841520345506E-3</v>
      </c>
    </row>
    <row r="37" spans="2:21" s="132" customFormat="1">
      <c r="B37" s="87" t="s">
        <v>414</v>
      </c>
      <c r="C37" s="84" t="s">
        <v>415</v>
      </c>
      <c r="D37" s="97" t="s">
        <v>128</v>
      </c>
      <c r="E37" s="97" t="s">
        <v>357</v>
      </c>
      <c r="F37" s="84" t="s">
        <v>372</v>
      </c>
      <c r="G37" s="97" t="s">
        <v>365</v>
      </c>
      <c r="H37" s="84" t="s">
        <v>416</v>
      </c>
      <c r="I37" s="84" t="s">
        <v>168</v>
      </c>
      <c r="J37" s="84"/>
      <c r="K37" s="94">
        <v>0.57000000000005357</v>
      </c>
      <c r="L37" s="97" t="s">
        <v>170</v>
      </c>
      <c r="M37" s="98">
        <v>3.1E-2</v>
      </c>
      <c r="N37" s="98">
        <v>3.8000000000000199E-3</v>
      </c>
      <c r="O37" s="94">
        <v>8880883.8474560007</v>
      </c>
      <c r="P37" s="96">
        <v>111.25</v>
      </c>
      <c r="Q37" s="84"/>
      <c r="R37" s="94">
        <v>9879.983460771</v>
      </c>
      <c r="S37" s="95">
        <v>2.5813911405055536E-2</v>
      </c>
      <c r="T37" s="95">
        <f t="shared" si="0"/>
        <v>1.8763710297135759E-3</v>
      </c>
      <c r="U37" s="95">
        <f>R37/'סכום נכסי הקרן'!$C$42</f>
        <v>1.7003360365228621E-4</v>
      </c>
    </row>
    <row r="38" spans="2:21" s="132" customFormat="1">
      <c r="B38" s="87" t="s">
        <v>417</v>
      </c>
      <c r="C38" s="84" t="s">
        <v>418</v>
      </c>
      <c r="D38" s="97" t="s">
        <v>128</v>
      </c>
      <c r="E38" s="97" t="s">
        <v>357</v>
      </c>
      <c r="F38" s="84" t="s">
        <v>372</v>
      </c>
      <c r="G38" s="97" t="s">
        <v>365</v>
      </c>
      <c r="H38" s="84" t="s">
        <v>416</v>
      </c>
      <c r="I38" s="84" t="s">
        <v>168</v>
      </c>
      <c r="J38" s="84"/>
      <c r="K38" s="94">
        <v>0.71000000000046026</v>
      </c>
      <c r="L38" s="97" t="s">
        <v>170</v>
      </c>
      <c r="M38" s="98">
        <v>4.2000000000000003E-2</v>
      </c>
      <c r="N38" s="98">
        <v>6.4000000000030673E-3</v>
      </c>
      <c r="O38" s="94">
        <v>514831.21886399999</v>
      </c>
      <c r="P38" s="96">
        <v>126.62</v>
      </c>
      <c r="Q38" s="84"/>
      <c r="R38" s="94">
        <v>651.87925837</v>
      </c>
      <c r="S38" s="95">
        <v>9.8690951743281071E-3</v>
      </c>
      <c r="T38" s="95">
        <f t="shared" si="0"/>
        <v>1.2380257114126661E-4</v>
      </c>
      <c r="U38" s="95">
        <f>R38/'סכום נכסי הקרן'!$C$42</f>
        <v>1.1218781882270598E-5</v>
      </c>
    </row>
    <row r="39" spans="2:21" s="132" customFormat="1">
      <c r="B39" s="87" t="s">
        <v>419</v>
      </c>
      <c r="C39" s="84" t="s">
        <v>420</v>
      </c>
      <c r="D39" s="97" t="s">
        <v>128</v>
      </c>
      <c r="E39" s="97" t="s">
        <v>357</v>
      </c>
      <c r="F39" s="84" t="s">
        <v>421</v>
      </c>
      <c r="G39" s="97" t="s">
        <v>365</v>
      </c>
      <c r="H39" s="84" t="s">
        <v>416</v>
      </c>
      <c r="I39" s="84" t="s">
        <v>168</v>
      </c>
      <c r="J39" s="84"/>
      <c r="K39" s="94">
        <v>1.4299999999998414</v>
      </c>
      <c r="L39" s="97" t="s">
        <v>170</v>
      </c>
      <c r="M39" s="98">
        <v>3.85E-2</v>
      </c>
      <c r="N39" s="98">
        <v>-1.600000000000352E-3</v>
      </c>
      <c r="O39" s="94">
        <v>4937077.1453609997</v>
      </c>
      <c r="P39" s="96">
        <v>115.08</v>
      </c>
      <c r="Q39" s="84"/>
      <c r="R39" s="94">
        <v>5681.5885736300006</v>
      </c>
      <c r="S39" s="95">
        <v>1.5454941333843585E-2</v>
      </c>
      <c r="T39" s="95">
        <f t="shared" si="0"/>
        <v>1.0790269279943795E-3</v>
      </c>
      <c r="U39" s="95">
        <f>R39/'סכום נכסי הקרן'!$C$42</f>
        <v>9.7779615065122152E-5</v>
      </c>
    </row>
    <row r="40" spans="2:21" s="132" customFormat="1">
      <c r="B40" s="87" t="s">
        <v>422</v>
      </c>
      <c r="C40" s="84" t="s">
        <v>423</v>
      </c>
      <c r="D40" s="97" t="s">
        <v>128</v>
      </c>
      <c r="E40" s="97" t="s">
        <v>357</v>
      </c>
      <c r="F40" s="84" t="s">
        <v>421</v>
      </c>
      <c r="G40" s="97" t="s">
        <v>365</v>
      </c>
      <c r="H40" s="84" t="s">
        <v>416</v>
      </c>
      <c r="I40" s="84" t="s">
        <v>168</v>
      </c>
      <c r="J40" s="84"/>
      <c r="K40" s="94">
        <v>1.7999999999998595</v>
      </c>
      <c r="L40" s="97" t="s">
        <v>170</v>
      </c>
      <c r="M40" s="98">
        <v>4.7500000000000001E-2</v>
      </c>
      <c r="N40" s="98">
        <v>-4.6999999999988535E-3</v>
      </c>
      <c r="O40" s="94">
        <v>3255753.5063430001</v>
      </c>
      <c r="P40" s="96">
        <v>131.21</v>
      </c>
      <c r="Q40" s="84"/>
      <c r="R40" s="94">
        <v>4271.8742460670001</v>
      </c>
      <c r="S40" s="95">
        <v>1.4956665597859419E-2</v>
      </c>
      <c r="T40" s="95">
        <f t="shared" si="0"/>
        <v>8.1129903807289686E-4</v>
      </c>
      <c r="U40" s="95">
        <f>R40/'סכום נכסי הקרן'!$C$42</f>
        <v>7.3518561573733895E-5</v>
      </c>
    </row>
    <row r="41" spans="2:21" s="132" customFormat="1">
      <c r="B41" s="87" t="s">
        <v>424</v>
      </c>
      <c r="C41" s="84" t="s">
        <v>425</v>
      </c>
      <c r="D41" s="97" t="s">
        <v>128</v>
      </c>
      <c r="E41" s="97" t="s">
        <v>357</v>
      </c>
      <c r="F41" s="84" t="s">
        <v>426</v>
      </c>
      <c r="G41" s="97" t="s">
        <v>427</v>
      </c>
      <c r="H41" s="84" t="s">
        <v>428</v>
      </c>
      <c r="I41" s="84" t="s">
        <v>361</v>
      </c>
      <c r="J41" s="84"/>
      <c r="K41" s="94">
        <v>1.639999999999679</v>
      </c>
      <c r="L41" s="97" t="s">
        <v>170</v>
      </c>
      <c r="M41" s="98">
        <v>3.6400000000000002E-2</v>
      </c>
      <c r="N41" s="98">
        <v>-5.9999999999384938E-4</v>
      </c>
      <c r="O41" s="94">
        <v>634880.68231199996</v>
      </c>
      <c r="P41" s="96">
        <v>117.8</v>
      </c>
      <c r="Q41" s="84"/>
      <c r="R41" s="94">
        <v>747.88945389100002</v>
      </c>
      <c r="S41" s="95">
        <v>1.1517109883210884E-2</v>
      </c>
      <c r="T41" s="95">
        <f t="shared" si="0"/>
        <v>1.4203648318656897E-4</v>
      </c>
      <c r="U41" s="95">
        <f>R41/'סכום נכסי הקרן'!$C$42</f>
        <v>1.2871108487534195E-5</v>
      </c>
    </row>
    <row r="42" spans="2:21" s="132" customFormat="1">
      <c r="B42" s="87" t="s">
        <v>429</v>
      </c>
      <c r="C42" s="84" t="s">
        <v>430</v>
      </c>
      <c r="D42" s="97" t="s">
        <v>128</v>
      </c>
      <c r="E42" s="97" t="s">
        <v>357</v>
      </c>
      <c r="F42" s="84" t="s">
        <v>378</v>
      </c>
      <c r="G42" s="97" t="s">
        <v>365</v>
      </c>
      <c r="H42" s="84" t="s">
        <v>416</v>
      </c>
      <c r="I42" s="84" t="s">
        <v>168</v>
      </c>
      <c r="J42" s="84"/>
      <c r="K42" s="94">
        <v>0.85999999999998722</v>
      </c>
      <c r="L42" s="97" t="s">
        <v>170</v>
      </c>
      <c r="M42" s="98">
        <v>3.4000000000000002E-2</v>
      </c>
      <c r="N42" s="98">
        <v>-3.4000000000003168E-3</v>
      </c>
      <c r="O42" s="94">
        <v>9991270.5683149993</v>
      </c>
      <c r="P42" s="96">
        <v>107.73</v>
      </c>
      <c r="Q42" s="84"/>
      <c r="R42" s="94">
        <v>10763.595302998998</v>
      </c>
      <c r="S42" s="95">
        <v>1.1177869612708662E-2</v>
      </c>
      <c r="T42" s="95">
        <f t="shared" si="0"/>
        <v>2.0441834221990056E-3</v>
      </c>
      <c r="U42" s="95">
        <f>R42/'סכום נכסי הקרן'!$C$42</f>
        <v>1.8524048191887569E-4</v>
      </c>
    </row>
    <row r="43" spans="2:21" s="132" customFormat="1">
      <c r="B43" s="87" t="s">
        <v>431</v>
      </c>
      <c r="C43" s="84" t="s">
        <v>432</v>
      </c>
      <c r="D43" s="97" t="s">
        <v>128</v>
      </c>
      <c r="E43" s="97" t="s">
        <v>357</v>
      </c>
      <c r="F43" s="84" t="s">
        <v>433</v>
      </c>
      <c r="G43" s="97" t="s">
        <v>427</v>
      </c>
      <c r="H43" s="84" t="s">
        <v>416</v>
      </c>
      <c r="I43" s="84" t="s">
        <v>168</v>
      </c>
      <c r="J43" s="84"/>
      <c r="K43" s="94">
        <v>5.530000000000018</v>
      </c>
      <c r="L43" s="97" t="s">
        <v>170</v>
      </c>
      <c r="M43" s="98">
        <v>8.3000000000000001E-3</v>
      </c>
      <c r="N43" s="98">
        <v>-3.8000000000000715E-3</v>
      </c>
      <c r="O43" s="94">
        <v>35945499.095471002</v>
      </c>
      <c r="P43" s="96">
        <v>108.51</v>
      </c>
      <c r="Q43" s="84"/>
      <c r="R43" s="94">
        <v>39004.461093443999</v>
      </c>
      <c r="S43" s="95">
        <v>2.3471975128652327E-2</v>
      </c>
      <c r="T43" s="95">
        <f t="shared" si="0"/>
        <v>7.4075873827037135E-3</v>
      </c>
      <c r="U43" s="95">
        <f>R43/'סכום נכסי הקרן'!$C$42</f>
        <v>6.712631761547637E-4</v>
      </c>
    </row>
    <row r="44" spans="2:21" s="132" customFormat="1">
      <c r="B44" s="87" t="s">
        <v>434</v>
      </c>
      <c r="C44" s="84" t="s">
        <v>435</v>
      </c>
      <c r="D44" s="97" t="s">
        <v>128</v>
      </c>
      <c r="E44" s="97" t="s">
        <v>357</v>
      </c>
      <c r="F44" s="84" t="s">
        <v>433</v>
      </c>
      <c r="G44" s="97" t="s">
        <v>427</v>
      </c>
      <c r="H44" s="84" t="s">
        <v>416</v>
      </c>
      <c r="I44" s="84" t="s">
        <v>168</v>
      </c>
      <c r="J44" s="84"/>
      <c r="K44" s="94">
        <v>9.3200000000001548</v>
      </c>
      <c r="L44" s="97" t="s">
        <v>170</v>
      </c>
      <c r="M44" s="98">
        <v>1.6500000000000001E-2</v>
      </c>
      <c r="N44" s="98">
        <v>3.7000000000001615E-3</v>
      </c>
      <c r="O44" s="94">
        <v>18404815.908923998</v>
      </c>
      <c r="P44" s="96">
        <v>114.26</v>
      </c>
      <c r="Q44" s="84"/>
      <c r="R44" s="94">
        <v>21029.342568018001</v>
      </c>
      <c r="S44" s="95">
        <v>1.2605779270921829E-2</v>
      </c>
      <c r="T44" s="95">
        <f t="shared" si="0"/>
        <v>3.9938173302845022E-3</v>
      </c>
      <c r="U44" s="95">
        <f>R44/'סכום נכסי הקרן'!$C$42</f>
        <v>3.6191304504466131E-4</v>
      </c>
    </row>
    <row r="45" spans="2:21" s="132" customFormat="1">
      <c r="B45" s="87" t="s">
        <v>436</v>
      </c>
      <c r="C45" s="84" t="s">
        <v>437</v>
      </c>
      <c r="D45" s="97" t="s">
        <v>128</v>
      </c>
      <c r="E45" s="97" t="s">
        <v>357</v>
      </c>
      <c r="F45" s="84" t="s">
        <v>438</v>
      </c>
      <c r="G45" s="97" t="s">
        <v>164</v>
      </c>
      <c r="H45" s="84" t="s">
        <v>416</v>
      </c>
      <c r="I45" s="84" t="s">
        <v>168</v>
      </c>
      <c r="J45" s="84"/>
      <c r="K45" s="94">
        <v>9.229999999999956</v>
      </c>
      <c r="L45" s="97" t="s">
        <v>170</v>
      </c>
      <c r="M45" s="98">
        <v>2.6499999999999999E-2</v>
      </c>
      <c r="N45" s="98">
        <v>3.1999999999982377E-3</v>
      </c>
      <c r="O45" s="94">
        <v>1818501.274642</v>
      </c>
      <c r="P45" s="96">
        <v>124.78</v>
      </c>
      <c r="Q45" s="84"/>
      <c r="R45" s="94">
        <v>2269.1258833699999</v>
      </c>
      <c r="S45" s="95">
        <v>1.5639164998364102E-3</v>
      </c>
      <c r="T45" s="95">
        <f t="shared" si="0"/>
        <v>4.3094425079092557E-4</v>
      </c>
      <c r="U45" s="95">
        <f>R45/'סכום נכסי הקרן'!$C$42</f>
        <v>3.9051447061832401E-5</v>
      </c>
    </row>
    <row r="46" spans="2:21" s="132" customFormat="1">
      <c r="B46" s="87" t="s">
        <v>439</v>
      </c>
      <c r="C46" s="84" t="s">
        <v>440</v>
      </c>
      <c r="D46" s="97" t="s">
        <v>128</v>
      </c>
      <c r="E46" s="97" t="s">
        <v>357</v>
      </c>
      <c r="F46" s="84" t="s">
        <v>441</v>
      </c>
      <c r="G46" s="97" t="s">
        <v>427</v>
      </c>
      <c r="H46" s="84" t="s">
        <v>428</v>
      </c>
      <c r="I46" s="84" t="s">
        <v>361</v>
      </c>
      <c r="J46" s="84"/>
      <c r="K46" s="94">
        <v>2.7400000000000375</v>
      </c>
      <c r="L46" s="97" t="s">
        <v>170</v>
      </c>
      <c r="M46" s="98">
        <v>6.5000000000000006E-3</v>
      </c>
      <c r="N46" s="98">
        <v>-2.7999999999996552E-3</v>
      </c>
      <c r="O46" s="94">
        <v>12345326.763033001</v>
      </c>
      <c r="P46" s="96">
        <v>103.35</v>
      </c>
      <c r="Q46" s="84"/>
      <c r="R46" s="94">
        <v>12758.894996597999</v>
      </c>
      <c r="S46" s="95">
        <v>1.3629469481597061E-2</v>
      </c>
      <c r="T46" s="95">
        <f t="shared" si="0"/>
        <v>2.4231235849564623E-3</v>
      </c>
      <c r="U46" s="95">
        <f>R46/'סכום נכסי הקרן'!$C$42</f>
        <v>2.1957940552295077E-4</v>
      </c>
    </row>
    <row r="47" spans="2:21" s="132" customFormat="1">
      <c r="B47" s="87" t="s">
        <v>442</v>
      </c>
      <c r="C47" s="84" t="s">
        <v>443</v>
      </c>
      <c r="D47" s="97" t="s">
        <v>128</v>
      </c>
      <c r="E47" s="97" t="s">
        <v>357</v>
      </c>
      <c r="F47" s="84" t="s">
        <v>441</v>
      </c>
      <c r="G47" s="97" t="s">
        <v>427</v>
      </c>
      <c r="H47" s="84" t="s">
        <v>416</v>
      </c>
      <c r="I47" s="84" t="s">
        <v>168</v>
      </c>
      <c r="J47" s="84"/>
      <c r="K47" s="94">
        <v>5.3999999999999986</v>
      </c>
      <c r="L47" s="97" t="s">
        <v>170</v>
      </c>
      <c r="M47" s="98">
        <v>1.34E-2</v>
      </c>
      <c r="N47" s="98">
        <v>1.0000000000001811E-4</v>
      </c>
      <c r="O47" s="94">
        <v>81622880.023656994</v>
      </c>
      <c r="P47" s="96">
        <v>109.39</v>
      </c>
      <c r="Q47" s="94">
        <v>4544.9469990390007</v>
      </c>
      <c r="R47" s="94">
        <v>93832.215456783</v>
      </c>
      <c r="S47" s="95">
        <v>2.2398953876715387E-2</v>
      </c>
      <c r="T47" s="95">
        <f t="shared" si="0"/>
        <v>1.782027788164036E-2</v>
      </c>
      <c r="U47" s="95">
        <f>R47/'סכום נכסי הקרן'!$C$42</f>
        <v>1.6148437693386099E-3</v>
      </c>
    </row>
    <row r="48" spans="2:21" s="132" customFormat="1">
      <c r="B48" s="87" t="s">
        <v>444</v>
      </c>
      <c r="C48" s="84" t="s">
        <v>445</v>
      </c>
      <c r="D48" s="97" t="s">
        <v>128</v>
      </c>
      <c r="E48" s="97" t="s">
        <v>357</v>
      </c>
      <c r="F48" s="84" t="s">
        <v>441</v>
      </c>
      <c r="G48" s="97" t="s">
        <v>427</v>
      </c>
      <c r="H48" s="84" t="s">
        <v>416</v>
      </c>
      <c r="I48" s="84" t="s">
        <v>168</v>
      </c>
      <c r="J48" s="84"/>
      <c r="K48" s="94">
        <v>6.2700000000000182</v>
      </c>
      <c r="L48" s="97" t="s">
        <v>170</v>
      </c>
      <c r="M48" s="98">
        <v>1.77E-2</v>
      </c>
      <c r="N48" s="98">
        <v>2.6999999999999399E-3</v>
      </c>
      <c r="O48" s="94">
        <v>37580221.115966998</v>
      </c>
      <c r="P48" s="96">
        <v>110.45</v>
      </c>
      <c r="Q48" s="84"/>
      <c r="R48" s="94">
        <v>41507.354032975003</v>
      </c>
      <c r="S48" s="95">
        <v>1.5448131340393748E-2</v>
      </c>
      <c r="T48" s="95">
        <f t="shared" si="0"/>
        <v>7.8829278345230666E-3</v>
      </c>
      <c r="U48" s="95">
        <f>R48/'סכום נכסי הקרן'!$C$42</f>
        <v>7.1433773268151214E-4</v>
      </c>
    </row>
    <row r="49" spans="2:21" s="132" customFormat="1">
      <c r="B49" s="87" t="s">
        <v>446</v>
      </c>
      <c r="C49" s="84" t="s">
        <v>447</v>
      </c>
      <c r="D49" s="97" t="s">
        <v>128</v>
      </c>
      <c r="E49" s="97" t="s">
        <v>357</v>
      </c>
      <c r="F49" s="84" t="s">
        <v>441</v>
      </c>
      <c r="G49" s="97" t="s">
        <v>427</v>
      </c>
      <c r="H49" s="84" t="s">
        <v>416</v>
      </c>
      <c r="I49" s="84" t="s">
        <v>168</v>
      </c>
      <c r="J49" s="84"/>
      <c r="K49" s="94">
        <v>9.6000000000001915</v>
      </c>
      <c r="L49" s="97" t="s">
        <v>170</v>
      </c>
      <c r="M49" s="98">
        <v>2.4799999999999999E-2</v>
      </c>
      <c r="N49" s="98">
        <v>7.9000000000001274E-3</v>
      </c>
      <c r="O49" s="94">
        <v>18607530.822012998</v>
      </c>
      <c r="P49" s="96">
        <v>117.95</v>
      </c>
      <c r="Q49" s="84"/>
      <c r="R49" s="94">
        <v>21947.582641667999</v>
      </c>
      <c r="S49" s="95">
        <v>1.5557329655162523E-2</v>
      </c>
      <c r="T49" s="95">
        <f t="shared" si="0"/>
        <v>4.1682061923063885E-3</v>
      </c>
      <c r="U49" s="95">
        <f>R49/'סכום נכסי הקרן'!$C$42</f>
        <v>3.7771587197859083E-4</v>
      </c>
    </row>
    <row r="50" spans="2:21" s="132" customFormat="1">
      <c r="B50" s="87" t="s">
        <v>448</v>
      </c>
      <c r="C50" s="84" t="s">
        <v>449</v>
      </c>
      <c r="D50" s="97" t="s">
        <v>128</v>
      </c>
      <c r="E50" s="97" t="s">
        <v>357</v>
      </c>
      <c r="F50" s="84" t="s">
        <v>405</v>
      </c>
      <c r="G50" s="97" t="s">
        <v>365</v>
      </c>
      <c r="H50" s="84" t="s">
        <v>416</v>
      </c>
      <c r="I50" s="84" t="s">
        <v>168</v>
      </c>
      <c r="J50" s="84"/>
      <c r="K50" s="94">
        <v>2.3200000000000309</v>
      </c>
      <c r="L50" s="97" t="s">
        <v>170</v>
      </c>
      <c r="M50" s="98">
        <v>4.2000000000000003E-2</v>
      </c>
      <c r="N50" s="98">
        <v>-4.700000000000145E-3</v>
      </c>
      <c r="O50" s="94">
        <v>7726623.4307909999</v>
      </c>
      <c r="P50" s="96">
        <v>116.79</v>
      </c>
      <c r="Q50" s="84"/>
      <c r="R50" s="94">
        <v>9023.9233277210005</v>
      </c>
      <c r="S50" s="95">
        <v>7.7441717239173967E-3</v>
      </c>
      <c r="T50" s="95">
        <f t="shared" si="0"/>
        <v>1.7137911590360982E-3</v>
      </c>
      <c r="U50" s="95">
        <f>R50/'סכום נכסי הקרן'!$C$42</f>
        <v>1.5530088775822661E-4</v>
      </c>
    </row>
    <row r="51" spans="2:21" s="132" customFormat="1">
      <c r="B51" s="87" t="s">
        <v>450</v>
      </c>
      <c r="C51" s="84" t="s">
        <v>451</v>
      </c>
      <c r="D51" s="97" t="s">
        <v>128</v>
      </c>
      <c r="E51" s="97" t="s">
        <v>357</v>
      </c>
      <c r="F51" s="84" t="s">
        <v>405</v>
      </c>
      <c r="G51" s="97" t="s">
        <v>365</v>
      </c>
      <c r="H51" s="84" t="s">
        <v>416</v>
      </c>
      <c r="I51" s="84" t="s">
        <v>168</v>
      </c>
      <c r="J51" s="84"/>
      <c r="K51" s="94">
        <v>0.73000000000000986</v>
      </c>
      <c r="L51" s="97" t="s">
        <v>170</v>
      </c>
      <c r="M51" s="98">
        <v>4.0999999999999995E-2</v>
      </c>
      <c r="N51" s="98">
        <v>7.2000000000000952E-3</v>
      </c>
      <c r="O51" s="94">
        <v>35759509.347661003</v>
      </c>
      <c r="P51" s="96">
        <v>128.9</v>
      </c>
      <c r="Q51" s="84"/>
      <c r="R51" s="94">
        <v>46094.005815898003</v>
      </c>
      <c r="S51" s="95">
        <v>2.2948906502754936E-2</v>
      </c>
      <c r="T51" s="95">
        <f t="shared" si="0"/>
        <v>8.754008293618212E-3</v>
      </c>
      <c r="U51" s="95">
        <f>R51/'סכום נכסי הקרן'!$C$42</f>
        <v>7.9327358661741756E-4</v>
      </c>
    </row>
    <row r="52" spans="2:21" s="132" customFormat="1">
      <c r="B52" s="87" t="s">
        <v>452</v>
      </c>
      <c r="C52" s="84" t="s">
        <v>453</v>
      </c>
      <c r="D52" s="97" t="s">
        <v>128</v>
      </c>
      <c r="E52" s="97" t="s">
        <v>357</v>
      </c>
      <c r="F52" s="84" t="s">
        <v>405</v>
      </c>
      <c r="G52" s="97" t="s">
        <v>365</v>
      </c>
      <c r="H52" s="84" t="s">
        <v>416</v>
      </c>
      <c r="I52" s="84" t="s">
        <v>168</v>
      </c>
      <c r="J52" s="84"/>
      <c r="K52" s="94">
        <v>1.8900000000000015</v>
      </c>
      <c r="L52" s="97" t="s">
        <v>170</v>
      </c>
      <c r="M52" s="98">
        <v>0.04</v>
      </c>
      <c r="N52" s="98">
        <v>-4.9999999999998509E-3</v>
      </c>
      <c r="O52" s="94">
        <v>28821034.845974997</v>
      </c>
      <c r="P52" s="96">
        <v>116.27</v>
      </c>
      <c r="Q52" s="84"/>
      <c r="R52" s="94">
        <v>33510.217079754999</v>
      </c>
      <c r="S52" s="95">
        <v>1.3229768824046834E-2</v>
      </c>
      <c r="T52" s="95">
        <f t="shared" si="0"/>
        <v>6.3641402617245473E-3</v>
      </c>
      <c r="U52" s="95">
        <f>R52/'סכום נכסי הקרן'!$C$42</f>
        <v>5.7670774367839803E-4</v>
      </c>
    </row>
    <row r="53" spans="2:21" s="132" customFormat="1">
      <c r="B53" s="87" t="s">
        <v>454</v>
      </c>
      <c r="C53" s="84" t="s">
        <v>455</v>
      </c>
      <c r="D53" s="97" t="s">
        <v>128</v>
      </c>
      <c r="E53" s="97" t="s">
        <v>357</v>
      </c>
      <c r="F53" s="84" t="s">
        <v>456</v>
      </c>
      <c r="G53" s="97" t="s">
        <v>427</v>
      </c>
      <c r="H53" s="84" t="s">
        <v>457</v>
      </c>
      <c r="I53" s="84" t="s">
        <v>361</v>
      </c>
      <c r="J53" s="84"/>
      <c r="K53" s="94">
        <v>4.5400000000000036</v>
      </c>
      <c r="L53" s="97" t="s">
        <v>170</v>
      </c>
      <c r="M53" s="98">
        <v>2.3399999999999997E-2</v>
      </c>
      <c r="N53" s="98">
        <v>1.9999999999999289E-3</v>
      </c>
      <c r="O53" s="94">
        <v>49989864.271887995</v>
      </c>
      <c r="P53" s="96">
        <v>112.48</v>
      </c>
      <c r="Q53" s="84"/>
      <c r="R53" s="94">
        <v>56228.602695907008</v>
      </c>
      <c r="S53" s="95">
        <v>1.5115446552356117E-2</v>
      </c>
      <c r="T53" s="95">
        <f t="shared" si="0"/>
        <v>1.0678734590881723E-2</v>
      </c>
      <c r="U53" s="95">
        <f>R53/'סכום נכסי הקרן'!$C$42</f>
        <v>9.6768906371950915E-4</v>
      </c>
    </row>
    <row r="54" spans="2:21" s="132" customFormat="1">
      <c r="B54" s="87" t="s">
        <v>458</v>
      </c>
      <c r="C54" s="84" t="s">
        <v>459</v>
      </c>
      <c r="D54" s="97" t="s">
        <v>128</v>
      </c>
      <c r="E54" s="97" t="s">
        <v>357</v>
      </c>
      <c r="F54" s="84" t="s">
        <v>456</v>
      </c>
      <c r="G54" s="97" t="s">
        <v>427</v>
      </c>
      <c r="H54" s="84" t="s">
        <v>457</v>
      </c>
      <c r="I54" s="84" t="s">
        <v>361</v>
      </c>
      <c r="J54" s="84"/>
      <c r="K54" s="94">
        <v>1.5900000000000425</v>
      </c>
      <c r="L54" s="97" t="s">
        <v>170</v>
      </c>
      <c r="M54" s="98">
        <v>0.03</v>
      </c>
      <c r="N54" s="98">
        <v>-4.6999999999998562E-3</v>
      </c>
      <c r="O54" s="94">
        <v>12245825.922117</v>
      </c>
      <c r="P54" s="96">
        <v>108.72</v>
      </c>
      <c r="Q54" s="84"/>
      <c r="R54" s="94">
        <v>13313.662495177003</v>
      </c>
      <c r="S54" s="95">
        <v>2.9084208850172211E-2</v>
      </c>
      <c r="T54" s="95">
        <f t="shared" si="0"/>
        <v>2.5284830389164263E-3</v>
      </c>
      <c r="U54" s="95">
        <f>R54/'סכום נכסי הקרן'!$C$42</f>
        <v>2.2912690298052156E-4</v>
      </c>
    </row>
    <row r="55" spans="2:21" s="132" customFormat="1">
      <c r="B55" s="87" t="s">
        <v>460</v>
      </c>
      <c r="C55" s="84" t="s">
        <v>461</v>
      </c>
      <c r="D55" s="97" t="s">
        <v>128</v>
      </c>
      <c r="E55" s="97" t="s">
        <v>357</v>
      </c>
      <c r="F55" s="84" t="s">
        <v>456</v>
      </c>
      <c r="G55" s="97" t="s">
        <v>427</v>
      </c>
      <c r="H55" s="84" t="s">
        <v>457</v>
      </c>
      <c r="I55" s="84" t="s">
        <v>361</v>
      </c>
      <c r="J55" s="84"/>
      <c r="K55" s="94">
        <v>8.4700000000001374</v>
      </c>
      <c r="L55" s="97" t="s">
        <v>170</v>
      </c>
      <c r="M55" s="98">
        <v>6.5000000000000006E-3</v>
      </c>
      <c r="N55" s="98">
        <v>6.8000000000002633E-3</v>
      </c>
      <c r="O55" s="94">
        <v>7623838.5066719996</v>
      </c>
      <c r="P55" s="96">
        <v>99.89</v>
      </c>
      <c r="Q55" s="84"/>
      <c r="R55" s="94">
        <v>7615.4525450849997</v>
      </c>
      <c r="S55" s="95">
        <v>2.541279502224E-2</v>
      </c>
      <c r="T55" s="95">
        <f t="shared" si="0"/>
        <v>1.4462994387078577E-3</v>
      </c>
      <c r="U55" s="95">
        <f>R55/'סכום נכסי הקרן'!$C$42</f>
        <v>1.3106123556027988E-4</v>
      </c>
    </row>
    <row r="56" spans="2:21" s="132" customFormat="1">
      <c r="B56" s="87" t="s">
        <v>462</v>
      </c>
      <c r="C56" s="84" t="s">
        <v>463</v>
      </c>
      <c r="D56" s="97" t="s">
        <v>128</v>
      </c>
      <c r="E56" s="97" t="s">
        <v>357</v>
      </c>
      <c r="F56" s="84" t="s">
        <v>464</v>
      </c>
      <c r="G56" s="97" t="s">
        <v>427</v>
      </c>
      <c r="H56" s="84" t="s">
        <v>465</v>
      </c>
      <c r="I56" s="84" t="s">
        <v>168</v>
      </c>
      <c r="J56" s="84"/>
      <c r="K56" s="94">
        <v>1.4799999999999904</v>
      </c>
      <c r="L56" s="97" t="s">
        <v>170</v>
      </c>
      <c r="M56" s="98">
        <v>4.8000000000000001E-2</v>
      </c>
      <c r="N56" s="98">
        <v>-5.1999999999998566E-3</v>
      </c>
      <c r="O56" s="94">
        <v>37148176.442837</v>
      </c>
      <c r="P56" s="96">
        <v>113.33</v>
      </c>
      <c r="Q56" s="84"/>
      <c r="R56" s="94">
        <v>42100.031351354999</v>
      </c>
      <c r="S56" s="95">
        <v>3.0359952221662396E-2</v>
      </c>
      <c r="T56" s="95">
        <f t="shared" si="0"/>
        <v>7.9954869855168049E-3</v>
      </c>
      <c r="U56" s="95">
        <f>R56/'סכום נכסי הקרן'!$C$42</f>
        <v>7.2453765463960612E-4</v>
      </c>
    </row>
    <row r="57" spans="2:21" s="132" customFormat="1">
      <c r="B57" s="87" t="s">
        <v>466</v>
      </c>
      <c r="C57" s="84" t="s">
        <v>467</v>
      </c>
      <c r="D57" s="97" t="s">
        <v>128</v>
      </c>
      <c r="E57" s="97" t="s">
        <v>357</v>
      </c>
      <c r="F57" s="84" t="s">
        <v>464</v>
      </c>
      <c r="G57" s="97" t="s">
        <v>427</v>
      </c>
      <c r="H57" s="84" t="s">
        <v>465</v>
      </c>
      <c r="I57" s="84" t="s">
        <v>168</v>
      </c>
      <c r="J57" s="84"/>
      <c r="K57" s="94">
        <v>1</v>
      </c>
      <c r="L57" s="97" t="s">
        <v>170</v>
      </c>
      <c r="M57" s="98">
        <v>4.9000000000000002E-2</v>
      </c>
      <c r="N57" s="98">
        <v>-1.6999999999983912E-3</v>
      </c>
      <c r="O57" s="94">
        <v>2388943.2406640002</v>
      </c>
      <c r="P57" s="96">
        <v>114.5</v>
      </c>
      <c r="Q57" s="84"/>
      <c r="R57" s="94">
        <v>2735.3400171320004</v>
      </c>
      <c r="S57" s="95">
        <v>2.4118104354177439E-2</v>
      </c>
      <c r="T57" s="95">
        <f t="shared" si="0"/>
        <v>5.1948596725304619E-4</v>
      </c>
      <c r="U57" s="95">
        <f>R57/'סכום נכסי הקרן'!$C$42</f>
        <v>4.7074949282452094E-5</v>
      </c>
    </row>
    <row r="58" spans="2:21" s="132" customFormat="1">
      <c r="B58" s="87" t="s">
        <v>468</v>
      </c>
      <c r="C58" s="84" t="s">
        <v>469</v>
      </c>
      <c r="D58" s="97" t="s">
        <v>128</v>
      </c>
      <c r="E58" s="97" t="s">
        <v>357</v>
      </c>
      <c r="F58" s="84" t="s">
        <v>464</v>
      </c>
      <c r="G58" s="97" t="s">
        <v>427</v>
      </c>
      <c r="H58" s="84" t="s">
        <v>465</v>
      </c>
      <c r="I58" s="84" t="s">
        <v>168</v>
      </c>
      <c r="J58" s="84"/>
      <c r="K58" s="94">
        <v>5.3900000000000219</v>
      </c>
      <c r="L58" s="97" t="s">
        <v>170</v>
      </c>
      <c r="M58" s="98">
        <v>3.2000000000000001E-2</v>
      </c>
      <c r="N58" s="98">
        <v>1.100000000000094E-3</v>
      </c>
      <c r="O58" s="94">
        <v>39987569.168647997</v>
      </c>
      <c r="P58" s="96">
        <v>119.9</v>
      </c>
      <c r="Q58" s="84"/>
      <c r="R58" s="94">
        <v>47945.097892104997</v>
      </c>
      <c r="S58" s="95">
        <v>2.4240531838105352E-2</v>
      </c>
      <c r="T58" s="95">
        <f t="shared" si="0"/>
        <v>9.1055610628023118E-3</v>
      </c>
      <c r="U58" s="95">
        <f>R58/'סכום נכסי הקרן'!$C$42</f>
        <v>8.2513071043340274E-4</v>
      </c>
    </row>
    <row r="59" spans="2:21" s="132" customFormat="1">
      <c r="B59" s="87" t="s">
        <v>470</v>
      </c>
      <c r="C59" s="84" t="s">
        <v>471</v>
      </c>
      <c r="D59" s="97" t="s">
        <v>128</v>
      </c>
      <c r="E59" s="97" t="s">
        <v>357</v>
      </c>
      <c r="F59" s="84" t="s">
        <v>464</v>
      </c>
      <c r="G59" s="97" t="s">
        <v>427</v>
      </c>
      <c r="H59" s="84" t="s">
        <v>465</v>
      </c>
      <c r="I59" s="84" t="s">
        <v>168</v>
      </c>
      <c r="J59" s="84"/>
      <c r="K59" s="94">
        <v>7.829999999999897</v>
      </c>
      <c r="L59" s="97" t="s">
        <v>170</v>
      </c>
      <c r="M59" s="98">
        <v>1.1399999999999999E-2</v>
      </c>
      <c r="N59" s="98">
        <v>6.3999999999997783E-3</v>
      </c>
      <c r="O59" s="94">
        <v>22664758.664773997</v>
      </c>
      <c r="P59" s="96">
        <v>103.28</v>
      </c>
      <c r="Q59" s="84"/>
      <c r="R59" s="94">
        <v>23408.162748668001</v>
      </c>
      <c r="S59" s="95">
        <v>2.25995814718093E-2</v>
      </c>
      <c r="T59" s="95">
        <f t="shared" si="0"/>
        <v>4.4455943286562539E-3</v>
      </c>
      <c r="U59" s="95">
        <f>R59/'סכום נכסי הקרן'!$C$42</f>
        <v>4.0285232084028472E-4</v>
      </c>
    </row>
    <row r="60" spans="2:21" s="132" customFormat="1">
      <c r="B60" s="87" t="s">
        <v>472</v>
      </c>
      <c r="C60" s="84" t="s">
        <v>473</v>
      </c>
      <c r="D60" s="97" t="s">
        <v>128</v>
      </c>
      <c r="E60" s="97" t="s">
        <v>357</v>
      </c>
      <c r="F60" s="84" t="s">
        <v>474</v>
      </c>
      <c r="G60" s="97" t="s">
        <v>427</v>
      </c>
      <c r="H60" s="84" t="s">
        <v>457</v>
      </c>
      <c r="I60" s="84" t="s">
        <v>361</v>
      </c>
      <c r="J60" s="84"/>
      <c r="K60" s="94">
        <v>6.2700000000000848</v>
      </c>
      <c r="L60" s="97" t="s">
        <v>170</v>
      </c>
      <c r="M60" s="98">
        <v>1.8200000000000001E-2</v>
      </c>
      <c r="N60" s="98">
        <v>2.8999999999997006E-3</v>
      </c>
      <c r="O60" s="94">
        <v>12372315.605425</v>
      </c>
      <c r="P60" s="96">
        <v>110.86</v>
      </c>
      <c r="Q60" s="84"/>
      <c r="R60" s="94">
        <v>13715.949478129001</v>
      </c>
      <c r="S60" s="95">
        <v>2.7533805731445423E-2</v>
      </c>
      <c r="T60" s="95">
        <f t="shared" si="0"/>
        <v>2.6048839401364679E-3</v>
      </c>
      <c r="U60" s="95">
        <f>R60/'סכום נכסי הקרן'!$C$42</f>
        <v>2.3605022483478671E-4</v>
      </c>
    </row>
    <row r="61" spans="2:21" s="132" customFormat="1">
      <c r="B61" s="87" t="s">
        <v>475</v>
      </c>
      <c r="C61" s="84" t="s">
        <v>476</v>
      </c>
      <c r="D61" s="97" t="s">
        <v>128</v>
      </c>
      <c r="E61" s="97" t="s">
        <v>357</v>
      </c>
      <c r="F61" s="84" t="s">
        <v>474</v>
      </c>
      <c r="G61" s="97" t="s">
        <v>427</v>
      </c>
      <c r="H61" s="84" t="s">
        <v>457</v>
      </c>
      <c r="I61" s="84" t="s">
        <v>361</v>
      </c>
      <c r="J61" s="84"/>
      <c r="K61" s="94">
        <v>7.0700000000046632</v>
      </c>
      <c r="L61" s="97" t="s">
        <v>170</v>
      </c>
      <c r="M61" s="98">
        <v>7.8000000000000005E-3</v>
      </c>
      <c r="N61" s="98">
        <v>4.9000000000043401E-3</v>
      </c>
      <c r="O61" s="94">
        <v>699709.03248400008</v>
      </c>
      <c r="P61" s="96">
        <v>102.07</v>
      </c>
      <c r="Q61" s="84"/>
      <c r="R61" s="94">
        <v>714.19302828100001</v>
      </c>
      <c r="S61" s="95">
        <v>1.4577271510083335E-3</v>
      </c>
      <c r="T61" s="95">
        <f t="shared" si="0"/>
        <v>1.3563697886851534E-4</v>
      </c>
      <c r="U61" s="95">
        <f>R61/'סכום נכסי הקרן'!$C$42</f>
        <v>1.2291196112233278E-5</v>
      </c>
    </row>
    <row r="62" spans="2:21" s="132" customFormat="1">
      <c r="B62" s="87" t="s">
        <v>477</v>
      </c>
      <c r="C62" s="84" t="s">
        <v>478</v>
      </c>
      <c r="D62" s="97" t="s">
        <v>128</v>
      </c>
      <c r="E62" s="97" t="s">
        <v>357</v>
      </c>
      <c r="F62" s="84" t="s">
        <v>474</v>
      </c>
      <c r="G62" s="97" t="s">
        <v>427</v>
      </c>
      <c r="H62" s="84" t="s">
        <v>457</v>
      </c>
      <c r="I62" s="84" t="s">
        <v>361</v>
      </c>
      <c r="J62" s="84"/>
      <c r="K62" s="94">
        <v>5.2899999999999441</v>
      </c>
      <c r="L62" s="97" t="s">
        <v>170</v>
      </c>
      <c r="M62" s="98">
        <v>2E-3</v>
      </c>
      <c r="N62" s="98">
        <v>6.9999999999944195E-4</v>
      </c>
      <c r="O62" s="94">
        <v>8934437.1145680007</v>
      </c>
      <c r="P62" s="96">
        <v>100.29</v>
      </c>
      <c r="Q62" s="84"/>
      <c r="R62" s="94">
        <v>8960.3471054500005</v>
      </c>
      <c r="S62" s="95">
        <v>2.3825165638848001E-2</v>
      </c>
      <c r="T62" s="95">
        <f t="shared" si="0"/>
        <v>1.701716990883733E-3</v>
      </c>
      <c r="U62" s="95">
        <f>R62/'סכום נכסי הקרן'!$C$42</f>
        <v>1.5420674683964522E-4</v>
      </c>
    </row>
    <row r="63" spans="2:21" s="132" customFormat="1">
      <c r="B63" s="87" t="s">
        <v>479</v>
      </c>
      <c r="C63" s="84" t="s">
        <v>480</v>
      </c>
      <c r="D63" s="97" t="s">
        <v>128</v>
      </c>
      <c r="E63" s="97" t="s">
        <v>357</v>
      </c>
      <c r="F63" s="84" t="s">
        <v>378</v>
      </c>
      <c r="G63" s="97" t="s">
        <v>365</v>
      </c>
      <c r="H63" s="84" t="s">
        <v>465</v>
      </c>
      <c r="I63" s="84" t="s">
        <v>168</v>
      </c>
      <c r="J63" s="84"/>
      <c r="K63" s="94">
        <v>1.0699999999999945</v>
      </c>
      <c r="L63" s="97" t="s">
        <v>170</v>
      </c>
      <c r="M63" s="98">
        <v>0.04</v>
      </c>
      <c r="N63" s="98">
        <v>-3.4999999999999198E-3</v>
      </c>
      <c r="O63" s="94">
        <v>43333063.77158501</v>
      </c>
      <c r="P63" s="96">
        <v>114.85</v>
      </c>
      <c r="Q63" s="84"/>
      <c r="R63" s="94">
        <v>49768.026039603996</v>
      </c>
      <c r="S63" s="95">
        <v>3.2098613310230839E-2</v>
      </c>
      <c r="T63" s="95">
        <f t="shared" si="0"/>
        <v>9.4517650396407134E-3</v>
      </c>
      <c r="U63" s="95">
        <f>R63/'סכום נכסי הקרן'!$C$42</f>
        <v>8.5650313563524142E-4</v>
      </c>
    </row>
    <row r="64" spans="2:21" s="132" customFormat="1">
      <c r="B64" s="87" t="s">
        <v>481</v>
      </c>
      <c r="C64" s="84" t="s">
        <v>482</v>
      </c>
      <c r="D64" s="97" t="s">
        <v>128</v>
      </c>
      <c r="E64" s="97" t="s">
        <v>357</v>
      </c>
      <c r="F64" s="84" t="s">
        <v>483</v>
      </c>
      <c r="G64" s="97" t="s">
        <v>427</v>
      </c>
      <c r="H64" s="84" t="s">
        <v>465</v>
      </c>
      <c r="I64" s="84" t="s">
        <v>168</v>
      </c>
      <c r="J64" s="84"/>
      <c r="K64" s="94">
        <v>3.5299999999999758</v>
      </c>
      <c r="L64" s="97" t="s">
        <v>170</v>
      </c>
      <c r="M64" s="98">
        <v>4.7500000000000001E-2</v>
      </c>
      <c r="N64" s="98">
        <v>-5.9999999999997815E-4</v>
      </c>
      <c r="O64" s="94">
        <v>43987951.162918001</v>
      </c>
      <c r="P64" s="96">
        <v>145.59</v>
      </c>
      <c r="Q64" s="84"/>
      <c r="R64" s="94">
        <v>64042.060136168999</v>
      </c>
      <c r="S64" s="95">
        <v>2.3307344440691994E-2</v>
      </c>
      <c r="T64" s="95">
        <f t="shared" si="0"/>
        <v>1.2162638409245351E-2</v>
      </c>
      <c r="U64" s="95">
        <f>R64/'סכום נכסי הקרן'!$C$42</f>
        <v>1.1021579452542398E-3</v>
      </c>
    </row>
    <row r="65" spans="2:21" s="132" customFormat="1">
      <c r="B65" s="87" t="s">
        <v>484</v>
      </c>
      <c r="C65" s="84" t="s">
        <v>485</v>
      </c>
      <c r="D65" s="97" t="s">
        <v>128</v>
      </c>
      <c r="E65" s="97" t="s">
        <v>357</v>
      </c>
      <c r="F65" s="84" t="s">
        <v>486</v>
      </c>
      <c r="G65" s="97" t="s">
        <v>487</v>
      </c>
      <c r="H65" s="84" t="s">
        <v>457</v>
      </c>
      <c r="I65" s="84" t="s">
        <v>361</v>
      </c>
      <c r="J65" s="84"/>
      <c r="K65" s="94">
        <v>1.4899999999882949</v>
      </c>
      <c r="L65" s="97" t="s">
        <v>170</v>
      </c>
      <c r="M65" s="98">
        <v>4.6500000000000007E-2</v>
      </c>
      <c r="N65" s="98">
        <v>0</v>
      </c>
      <c r="O65" s="94">
        <v>58601.653632000001</v>
      </c>
      <c r="P65" s="96">
        <v>129.75</v>
      </c>
      <c r="Q65" s="84"/>
      <c r="R65" s="94">
        <v>76.035647060999992</v>
      </c>
      <c r="S65" s="95">
        <v>1.1566369623701941E-3</v>
      </c>
      <c r="T65" s="95">
        <f t="shared" si="0"/>
        <v>1.4440417429570579E-5</v>
      </c>
      <c r="U65" s="95">
        <f>R65/'סכום נכסי הקרן'!$C$42</f>
        <v>1.3085664694833698E-6</v>
      </c>
    </row>
    <row r="66" spans="2:21" s="132" customFormat="1">
      <c r="B66" s="87" t="s">
        <v>488</v>
      </c>
      <c r="C66" s="84" t="s">
        <v>489</v>
      </c>
      <c r="D66" s="97" t="s">
        <v>128</v>
      </c>
      <c r="E66" s="97" t="s">
        <v>357</v>
      </c>
      <c r="F66" s="84" t="s">
        <v>490</v>
      </c>
      <c r="G66" s="97" t="s">
        <v>491</v>
      </c>
      <c r="H66" s="84" t="s">
        <v>465</v>
      </c>
      <c r="I66" s="84" t="s">
        <v>168</v>
      </c>
      <c r="J66" s="84"/>
      <c r="K66" s="94">
        <v>7.1500000000000332</v>
      </c>
      <c r="L66" s="97" t="s">
        <v>170</v>
      </c>
      <c r="M66" s="98">
        <v>3.85E-2</v>
      </c>
      <c r="N66" s="98">
        <v>3.9000000000001234E-3</v>
      </c>
      <c r="O66" s="94">
        <v>31801422.537911002</v>
      </c>
      <c r="P66" s="96">
        <v>130</v>
      </c>
      <c r="Q66" s="84"/>
      <c r="R66" s="94">
        <v>41341.849266590994</v>
      </c>
      <c r="S66" s="95">
        <v>1.1805797674847171E-2</v>
      </c>
      <c r="T66" s="95">
        <f t="shared" si="0"/>
        <v>7.8514957627837251E-3</v>
      </c>
      <c r="U66" s="95">
        <f>R66/'סכום נכסי הקרן'!$C$42</f>
        <v>7.1148941092453349E-4</v>
      </c>
    </row>
    <row r="67" spans="2:21" s="132" customFormat="1">
      <c r="B67" s="87" t="s">
        <v>492</v>
      </c>
      <c r="C67" s="84" t="s">
        <v>493</v>
      </c>
      <c r="D67" s="97" t="s">
        <v>128</v>
      </c>
      <c r="E67" s="97" t="s">
        <v>357</v>
      </c>
      <c r="F67" s="84" t="s">
        <v>490</v>
      </c>
      <c r="G67" s="97" t="s">
        <v>491</v>
      </c>
      <c r="H67" s="84" t="s">
        <v>465</v>
      </c>
      <c r="I67" s="84" t="s">
        <v>168</v>
      </c>
      <c r="J67" s="84"/>
      <c r="K67" s="94">
        <v>5.0899999999999883</v>
      </c>
      <c r="L67" s="97" t="s">
        <v>170</v>
      </c>
      <c r="M67" s="98">
        <v>4.4999999999999998E-2</v>
      </c>
      <c r="N67" s="98">
        <v>-6.0000000000002944E-4</v>
      </c>
      <c r="O67" s="94">
        <v>73245387.943514004</v>
      </c>
      <c r="P67" s="96">
        <v>129.97999999999999</v>
      </c>
      <c r="Q67" s="84"/>
      <c r="R67" s="94">
        <v>95204.352484111994</v>
      </c>
      <c r="S67" s="95">
        <v>2.4798182852520109E-2</v>
      </c>
      <c r="T67" s="95">
        <f t="shared" si="0"/>
        <v>1.8080869225451834E-2</v>
      </c>
      <c r="U67" s="95">
        <f>R67/'סכום נכסי הקרן'!$C$42</f>
        <v>1.6384581209605384E-3</v>
      </c>
    </row>
    <row r="68" spans="2:21" s="132" customFormat="1">
      <c r="B68" s="87" t="s">
        <v>494</v>
      </c>
      <c r="C68" s="84" t="s">
        <v>495</v>
      </c>
      <c r="D68" s="97" t="s">
        <v>128</v>
      </c>
      <c r="E68" s="97" t="s">
        <v>357</v>
      </c>
      <c r="F68" s="84" t="s">
        <v>490</v>
      </c>
      <c r="G68" s="97" t="s">
        <v>491</v>
      </c>
      <c r="H68" s="84" t="s">
        <v>465</v>
      </c>
      <c r="I68" s="84" t="s">
        <v>168</v>
      </c>
      <c r="J68" s="84"/>
      <c r="K68" s="94">
        <v>9.7899999999999707</v>
      </c>
      <c r="L68" s="97" t="s">
        <v>170</v>
      </c>
      <c r="M68" s="98">
        <v>2.3900000000000001E-2</v>
      </c>
      <c r="N68" s="98">
        <v>7.3999999999999119E-3</v>
      </c>
      <c r="O68" s="94">
        <v>26985201.984000001</v>
      </c>
      <c r="P68" s="96">
        <v>118.42</v>
      </c>
      <c r="Q68" s="84"/>
      <c r="R68" s="94">
        <v>31955.877066472</v>
      </c>
      <c r="S68" s="95">
        <v>2.1776502199422364E-2</v>
      </c>
      <c r="T68" s="95">
        <f t="shared" si="0"/>
        <v>6.0689455801920299E-3</v>
      </c>
      <c r="U68" s="95">
        <f>R68/'סכום נכסי הקרן'!$C$42</f>
        <v>5.4995769548157371E-4</v>
      </c>
    </row>
    <row r="69" spans="2:21" s="132" customFormat="1">
      <c r="B69" s="87" t="s">
        <v>496</v>
      </c>
      <c r="C69" s="84" t="s">
        <v>497</v>
      </c>
      <c r="D69" s="97" t="s">
        <v>128</v>
      </c>
      <c r="E69" s="97" t="s">
        <v>357</v>
      </c>
      <c r="F69" s="84" t="s">
        <v>498</v>
      </c>
      <c r="G69" s="97" t="s">
        <v>427</v>
      </c>
      <c r="H69" s="84" t="s">
        <v>465</v>
      </c>
      <c r="I69" s="84" t="s">
        <v>168</v>
      </c>
      <c r="J69" s="84"/>
      <c r="K69" s="94">
        <v>5.5200000000002598</v>
      </c>
      <c r="L69" s="97" t="s">
        <v>170</v>
      </c>
      <c r="M69" s="98">
        <v>1.5800000000000002E-2</v>
      </c>
      <c r="N69" s="98">
        <v>2.8999999999997006E-3</v>
      </c>
      <c r="O69" s="94">
        <v>9168331.3281139992</v>
      </c>
      <c r="P69" s="96">
        <v>109.26</v>
      </c>
      <c r="Q69" s="84"/>
      <c r="R69" s="94">
        <v>10017.31831397</v>
      </c>
      <c r="S69" s="95">
        <v>2.0256163755413423E-2</v>
      </c>
      <c r="T69" s="95">
        <f t="shared" si="0"/>
        <v>1.9024531725568049E-3</v>
      </c>
      <c r="U69" s="95">
        <f>R69/'סכום נכסי הקרן'!$C$42</f>
        <v>1.723971238028211E-4</v>
      </c>
    </row>
    <row r="70" spans="2:21" s="132" customFormat="1">
      <c r="B70" s="87" t="s">
        <v>499</v>
      </c>
      <c r="C70" s="84" t="s">
        <v>500</v>
      </c>
      <c r="D70" s="97" t="s">
        <v>128</v>
      </c>
      <c r="E70" s="97" t="s">
        <v>357</v>
      </c>
      <c r="F70" s="84" t="s">
        <v>498</v>
      </c>
      <c r="G70" s="97" t="s">
        <v>427</v>
      </c>
      <c r="H70" s="84" t="s">
        <v>465</v>
      </c>
      <c r="I70" s="84" t="s">
        <v>168</v>
      </c>
      <c r="J70" s="84"/>
      <c r="K70" s="94">
        <v>8.4500000000004611</v>
      </c>
      <c r="L70" s="97" t="s">
        <v>170</v>
      </c>
      <c r="M70" s="98">
        <v>8.3999999999999995E-3</v>
      </c>
      <c r="N70" s="98">
        <v>6.9000000000006643E-3</v>
      </c>
      <c r="O70" s="94">
        <v>7709983.5745440004</v>
      </c>
      <c r="P70" s="96">
        <v>101.34</v>
      </c>
      <c r="Q70" s="84"/>
      <c r="R70" s="94">
        <v>7813.2975762919996</v>
      </c>
      <c r="S70" s="95">
        <v>3.0839934298176001E-2</v>
      </c>
      <c r="T70" s="95">
        <f t="shared" si="0"/>
        <v>1.4838734575717133E-3</v>
      </c>
      <c r="U70" s="95">
        <f>R70/'סכום נכסי הקרן'!$C$42</f>
        <v>1.344661302905591E-4</v>
      </c>
    </row>
    <row r="71" spans="2:21" s="132" customFormat="1">
      <c r="B71" s="87" t="s">
        <v>501</v>
      </c>
      <c r="C71" s="84" t="s">
        <v>502</v>
      </c>
      <c r="D71" s="97" t="s">
        <v>128</v>
      </c>
      <c r="E71" s="97" t="s">
        <v>357</v>
      </c>
      <c r="F71" s="84" t="s">
        <v>503</v>
      </c>
      <c r="G71" s="97" t="s">
        <v>487</v>
      </c>
      <c r="H71" s="84" t="s">
        <v>465</v>
      </c>
      <c r="I71" s="84" t="s">
        <v>168</v>
      </c>
      <c r="J71" s="84"/>
      <c r="K71" s="94">
        <v>0.89999999999731051</v>
      </c>
      <c r="L71" s="97" t="s">
        <v>170</v>
      </c>
      <c r="M71" s="98">
        <v>4.8899999999999999E-2</v>
      </c>
      <c r="N71" s="98">
        <v>2.6000000000295839E-3</v>
      </c>
      <c r="O71" s="94">
        <v>116060.27119299998</v>
      </c>
      <c r="P71" s="96">
        <v>128.15</v>
      </c>
      <c r="Q71" s="84"/>
      <c r="R71" s="94">
        <v>148.73124485600002</v>
      </c>
      <c r="S71" s="95">
        <v>3.1185563528883051E-3</v>
      </c>
      <c r="T71" s="95">
        <f t="shared" si="0"/>
        <v>2.8246504679802035E-5</v>
      </c>
      <c r="U71" s="95">
        <f>R71/'סכום נכסי הקרן'!$C$42</f>
        <v>2.5596509993127814E-6</v>
      </c>
    </row>
    <row r="72" spans="2:21" s="132" customFormat="1">
      <c r="B72" s="87" t="s">
        <v>504</v>
      </c>
      <c r="C72" s="84" t="s">
        <v>505</v>
      </c>
      <c r="D72" s="97" t="s">
        <v>128</v>
      </c>
      <c r="E72" s="97" t="s">
        <v>357</v>
      </c>
      <c r="F72" s="84" t="s">
        <v>378</v>
      </c>
      <c r="G72" s="97" t="s">
        <v>365</v>
      </c>
      <c r="H72" s="84" t="s">
        <v>457</v>
      </c>
      <c r="I72" s="84" t="s">
        <v>361</v>
      </c>
      <c r="J72" s="84"/>
      <c r="K72" s="94">
        <v>3.479999999999952</v>
      </c>
      <c r="L72" s="97" t="s">
        <v>170</v>
      </c>
      <c r="M72" s="98">
        <v>1.6399999999999998E-2</v>
      </c>
      <c r="N72" s="98">
        <v>8.0000000000000002E-3</v>
      </c>
      <c r="O72" s="94">
        <f>20121396.13/50000</f>
        <v>402.42792259999999</v>
      </c>
      <c r="P72" s="96">
        <v>5194000</v>
      </c>
      <c r="Q72" s="84"/>
      <c r="R72" s="94">
        <v>20902.107448275001</v>
      </c>
      <c r="S72" s="95">
        <f>163908.407706093%/50000</f>
        <v>3.2781681541218605E-2</v>
      </c>
      <c r="T72" s="95">
        <f t="shared" si="0"/>
        <v>3.9696532926020676E-3</v>
      </c>
      <c r="U72" s="95">
        <f>R72/'סכום נכסי הקרן'!$C$42</f>
        <v>3.5972334037491846E-4</v>
      </c>
    </row>
    <row r="73" spans="2:21" s="132" customFormat="1">
      <c r="B73" s="87" t="s">
        <v>506</v>
      </c>
      <c r="C73" s="84" t="s">
        <v>507</v>
      </c>
      <c r="D73" s="97" t="s">
        <v>128</v>
      </c>
      <c r="E73" s="97" t="s">
        <v>357</v>
      </c>
      <c r="F73" s="84" t="s">
        <v>378</v>
      </c>
      <c r="G73" s="97" t="s">
        <v>365</v>
      </c>
      <c r="H73" s="84" t="s">
        <v>457</v>
      </c>
      <c r="I73" s="84" t="s">
        <v>361</v>
      </c>
      <c r="J73" s="84"/>
      <c r="K73" s="94">
        <v>7.6800000000001418</v>
      </c>
      <c r="L73" s="97" t="s">
        <v>170</v>
      </c>
      <c r="M73" s="98">
        <v>2.7799999999999998E-2</v>
      </c>
      <c r="N73" s="98">
        <v>1.6500000000000889E-2</v>
      </c>
      <c r="O73" s="94">
        <f>7682714.886/50000</f>
        <v>153.65429771999999</v>
      </c>
      <c r="P73" s="96">
        <v>5510023</v>
      </c>
      <c r="Q73" s="84"/>
      <c r="R73" s="94">
        <v>8466.3877174849986</v>
      </c>
      <c r="S73" s="95">
        <f>183709.107747489%/50000</f>
        <v>3.6741821549497802E-2</v>
      </c>
      <c r="T73" s="95">
        <f t="shared" si="0"/>
        <v>1.607905995236555E-3</v>
      </c>
      <c r="U73" s="95">
        <f>R73/'סכום נכסי הקרן'!$C$42</f>
        <v>1.4570575135447537E-4</v>
      </c>
    </row>
    <row r="74" spans="2:21" s="132" customFormat="1">
      <c r="B74" s="87" t="s">
        <v>508</v>
      </c>
      <c r="C74" s="84" t="s">
        <v>509</v>
      </c>
      <c r="D74" s="97" t="s">
        <v>128</v>
      </c>
      <c r="E74" s="97" t="s">
        <v>357</v>
      </c>
      <c r="F74" s="84" t="s">
        <v>378</v>
      </c>
      <c r="G74" s="97" t="s">
        <v>365</v>
      </c>
      <c r="H74" s="84" t="s">
        <v>457</v>
      </c>
      <c r="I74" s="84" t="s">
        <v>361</v>
      </c>
      <c r="J74" s="84"/>
      <c r="K74" s="94">
        <v>4.8300000000000303</v>
      </c>
      <c r="L74" s="97" t="s">
        <v>170</v>
      </c>
      <c r="M74" s="98">
        <v>2.4199999999999999E-2</v>
      </c>
      <c r="N74" s="98">
        <v>1.0699999999999805E-2</v>
      </c>
      <c r="O74" s="94">
        <f>15985773.21/50000</f>
        <v>319.71546420000004</v>
      </c>
      <c r="P74" s="96">
        <v>5481000</v>
      </c>
      <c r="Q74" s="84"/>
      <c r="R74" s="94">
        <v>17523.603140562001</v>
      </c>
      <c r="S74" s="95">
        <f>55461.8645179197%/50000</f>
        <v>1.109237290358394E-2</v>
      </c>
      <c r="T74" s="95">
        <f t="shared" si="0"/>
        <v>3.328019869638777E-3</v>
      </c>
      <c r="U74" s="95">
        <f>R74/'סכום נכסי הקרן'!$C$42</f>
        <v>3.0157959300164248E-4</v>
      </c>
    </row>
    <row r="75" spans="2:21" s="132" customFormat="1">
      <c r="B75" s="87" t="s">
        <v>510</v>
      </c>
      <c r="C75" s="84" t="s">
        <v>511</v>
      </c>
      <c r="D75" s="97" t="s">
        <v>128</v>
      </c>
      <c r="E75" s="97" t="s">
        <v>357</v>
      </c>
      <c r="F75" s="84" t="s">
        <v>378</v>
      </c>
      <c r="G75" s="97" t="s">
        <v>365</v>
      </c>
      <c r="H75" s="84" t="s">
        <v>457</v>
      </c>
      <c r="I75" s="84" t="s">
        <v>361</v>
      </c>
      <c r="J75" s="84"/>
      <c r="K75" s="94">
        <v>4.5499999999999954</v>
      </c>
      <c r="L75" s="97" t="s">
        <v>170</v>
      </c>
      <c r="M75" s="98">
        <v>1.95E-2</v>
      </c>
      <c r="N75" s="98">
        <v>9.5999999999998534E-3</v>
      </c>
      <c r="O75" s="94">
        <f>20717880.205/50000</f>
        <v>414.35760409999995</v>
      </c>
      <c r="P75" s="96">
        <v>5228300</v>
      </c>
      <c r="Q75" s="84"/>
      <c r="R75" s="94">
        <v>21663.857905741999</v>
      </c>
      <c r="S75" s="95">
        <f>83475.8862363512%/50000</f>
        <v>1.6695177247270241E-2</v>
      </c>
      <c r="T75" s="95">
        <f t="shared" si="0"/>
        <v>4.1143222078828829E-3</v>
      </c>
      <c r="U75" s="95">
        <f>R75/'סכום נכסי הקרן'!$C$42</f>
        <v>3.7283299545492641E-4</v>
      </c>
    </row>
    <row r="76" spans="2:21" s="132" customFormat="1">
      <c r="B76" s="87" t="s">
        <v>512</v>
      </c>
      <c r="C76" s="84" t="s">
        <v>513</v>
      </c>
      <c r="D76" s="97" t="s">
        <v>128</v>
      </c>
      <c r="E76" s="97" t="s">
        <v>357</v>
      </c>
      <c r="F76" s="84" t="s">
        <v>378</v>
      </c>
      <c r="G76" s="97" t="s">
        <v>365</v>
      </c>
      <c r="H76" s="84" t="s">
        <v>465</v>
      </c>
      <c r="I76" s="84" t="s">
        <v>168</v>
      </c>
      <c r="J76" s="84"/>
      <c r="K76" s="94">
        <v>0.6</v>
      </c>
      <c r="L76" s="97" t="s">
        <v>170</v>
      </c>
      <c r="M76" s="98">
        <v>0.05</v>
      </c>
      <c r="N76" s="98">
        <v>-1.1000000000000476E-3</v>
      </c>
      <c r="O76" s="94">
        <v>27331347.522084001</v>
      </c>
      <c r="P76" s="96">
        <v>115.1</v>
      </c>
      <c r="Q76" s="84"/>
      <c r="R76" s="94">
        <v>31458.382728835</v>
      </c>
      <c r="S76" s="95">
        <v>2.7331374853458854E-2</v>
      </c>
      <c r="T76" s="95">
        <f t="shared" ref="T76:T139" si="1">R76/$R$11</f>
        <v>5.9744632395793088E-3</v>
      </c>
      <c r="U76" s="95">
        <f>R76/'סכום נכסי הקרן'!$C$42</f>
        <v>5.4139586383874778E-4</v>
      </c>
    </row>
    <row r="77" spans="2:21" s="132" customFormat="1">
      <c r="B77" s="87" t="s">
        <v>514</v>
      </c>
      <c r="C77" s="84" t="s">
        <v>515</v>
      </c>
      <c r="D77" s="97" t="s">
        <v>128</v>
      </c>
      <c r="E77" s="97" t="s">
        <v>357</v>
      </c>
      <c r="F77" s="84" t="s">
        <v>516</v>
      </c>
      <c r="G77" s="97" t="s">
        <v>427</v>
      </c>
      <c r="H77" s="84" t="s">
        <v>457</v>
      </c>
      <c r="I77" s="84" t="s">
        <v>361</v>
      </c>
      <c r="J77" s="84"/>
      <c r="K77" s="94">
        <v>0.51999999999999513</v>
      </c>
      <c r="L77" s="97" t="s">
        <v>170</v>
      </c>
      <c r="M77" s="98">
        <v>5.0999999999999997E-2</v>
      </c>
      <c r="N77" s="98">
        <v>-1.40000000000027E-3</v>
      </c>
      <c r="O77" s="94">
        <v>6848489.1201180005</v>
      </c>
      <c r="P77" s="96">
        <v>114.77</v>
      </c>
      <c r="Q77" s="94">
        <v>294.73163786799995</v>
      </c>
      <c r="R77" s="94">
        <v>8154.7426019269997</v>
      </c>
      <c r="S77" s="95">
        <v>1.5611045517710698E-2</v>
      </c>
      <c r="T77" s="95">
        <f t="shared" si="1"/>
        <v>1.5487194724345082E-3</v>
      </c>
      <c r="U77" s="95">
        <f>R77/'סכום נכסי הקרן'!$C$42</f>
        <v>1.4034236767378807E-4</v>
      </c>
    </row>
    <row r="78" spans="2:21" s="132" customFormat="1">
      <c r="B78" s="87" t="s">
        <v>517</v>
      </c>
      <c r="C78" s="84" t="s">
        <v>518</v>
      </c>
      <c r="D78" s="97" t="s">
        <v>128</v>
      </c>
      <c r="E78" s="97" t="s">
        <v>357</v>
      </c>
      <c r="F78" s="84" t="s">
        <v>516</v>
      </c>
      <c r="G78" s="97" t="s">
        <v>427</v>
      </c>
      <c r="H78" s="84" t="s">
        <v>457</v>
      </c>
      <c r="I78" s="84" t="s">
        <v>361</v>
      </c>
      <c r="J78" s="84"/>
      <c r="K78" s="94">
        <v>1.9399999999999582</v>
      </c>
      <c r="L78" s="97" t="s">
        <v>170</v>
      </c>
      <c r="M78" s="98">
        <v>2.5499999999999998E-2</v>
      </c>
      <c r="N78" s="98">
        <v>-1.0000000000001345E-3</v>
      </c>
      <c r="O78" s="94">
        <v>27176053.056722999</v>
      </c>
      <c r="P78" s="96">
        <v>107.1</v>
      </c>
      <c r="Q78" s="94">
        <v>674.68318968999995</v>
      </c>
      <c r="R78" s="94">
        <v>29780.236013145997</v>
      </c>
      <c r="S78" s="95">
        <v>2.4946215026784652E-2</v>
      </c>
      <c r="T78" s="95">
        <f t="shared" si="1"/>
        <v>5.6557556330908559E-3</v>
      </c>
      <c r="U78" s="95">
        <f>R78/'סכום נכסי הקרן'!$C$42</f>
        <v>5.1251511371818207E-4</v>
      </c>
    </row>
    <row r="79" spans="2:21" s="132" customFormat="1">
      <c r="B79" s="87" t="s">
        <v>519</v>
      </c>
      <c r="C79" s="84" t="s">
        <v>520</v>
      </c>
      <c r="D79" s="97" t="s">
        <v>128</v>
      </c>
      <c r="E79" s="97" t="s">
        <v>357</v>
      </c>
      <c r="F79" s="84" t="s">
        <v>516</v>
      </c>
      <c r="G79" s="97" t="s">
        <v>427</v>
      </c>
      <c r="H79" s="84" t="s">
        <v>457</v>
      </c>
      <c r="I79" s="84" t="s">
        <v>361</v>
      </c>
      <c r="J79" s="84"/>
      <c r="K79" s="94">
        <v>6.2499999999999893</v>
      </c>
      <c r="L79" s="97" t="s">
        <v>170</v>
      </c>
      <c r="M79" s="98">
        <v>2.35E-2</v>
      </c>
      <c r="N79" s="98">
        <v>4.4000000000000176E-3</v>
      </c>
      <c r="O79" s="94">
        <v>19622178.007718999</v>
      </c>
      <c r="P79" s="96">
        <v>115.23</v>
      </c>
      <c r="Q79" s="84"/>
      <c r="R79" s="94">
        <v>22610.636240708998</v>
      </c>
      <c r="S79" s="95">
        <v>2.4734915020012183E-2</v>
      </c>
      <c r="T79" s="95">
        <f t="shared" si="1"/>
        <v>4.2941309541572317E-3</v>
      </c>
      <c r="U79" s="95">
        <f>R79/'סכום נכסי הקרן'!$C$42</f>
        <v>3.8912696323266068E-4</v>
      </c>
    </row>
    <row r="80" spans="2:21" s="132" customFormat="1">
      <c r="B80" s="87" t="s">
        <v>521</v>
      </c>
      <c r="C80" s="84" t="s">
        <v>522</v>
      </c>
      <c r="D80" s="97" t="s">
        <v>128</v>
      </c>
      <c r="E80" s="97" t="s">
        <v>357</v>
      </c>
      <c r="F80" s="84" t="s">
        <v>516</v>
      </c>
      <c r="G80" s="97" t="s">
        <v>427</v>
      </c>
      <c r="H80" s="84" t="s">
        <v>457</v>
      </c>
      <c r="I80" s="84" t="s">
        <v>361</v>
      </c>
      <c r="J80" s="84"/>
      <c r="K80" s="94">
        <v>5.0299999999999514</v>
      </c>
      <c r="L80" s="97" t="s">
        <v>170</v>
      </c>
      <c r="M80" s="98">
        <v>1.7600000000000001E-2</v>
      </c>
      <c r="N80" s="98">
        <v>1.900000000000003E-3</v>
      </c>
      <c r="O80" s="94">
        <v>29690154.429633997</v>
      </c>
      <c r="P80" s="96">
        <v>110.5</v>
      </c>
      <c r="Q80" s="94">
        <v>603.52579251899999</v>
      </c>
      <c r="R80" s="94">
        <v>33411.146436420997</v>
      </c>
      <c r="S80" s="95">
        <v>2.348903975704747E-2</v>
      </c>
      <c r="T80" s="95">
        <f t="shared" si="1"/>
        <v>6.3453251204052211E-3</v>
      </c>
      <c r="U80" s="95">
        <f>R80/'סכום נכסי הקרן'!$C$42</f>
        <v>5.7500274704868541E-4</v>
      </c>
    </row>
    <row r="81" spans="2:21" s="132" customFormat="1">
      <c r="B81" s="87" t="s">
        <v>523</v>
      </c>
      <c r="C81" s="84" t="s">
        <v>524</v>
      </c>
      <c r="D81" s="97" t="s">
        <v>128</v>
      </c>
      <c r="E81" s="97" t="s">
        <v>357</v>
      </c>
      <c r="F81" s="84" t="s">
        <v>516</v>
      </c>
      <c r="G81" s="97" t="s">
        <v>427</v>
      </c>
      <c r="H81" s="84" t="s">
        <v>457</v>
      </c>
      <c r="I81" s="84" t="s">
        <v>361</v>
      </c>
      <c r="J81" s="84"/>
      <c r="K81" s="94">
        <v>5.5900000000000016</v>
      </c>
      <c r="L81" s="97" t="s">
        <v>170</v>
      </c>
      <c r="M81" s="98">
        <v>2.1499999999999998E-2</v>
      </c>
      <c r="N81" s="98">
        <v>2.9000000000000774E-3</v>
      </c>
      <c r="O81" s="94">
        <v>27054285.84863</v>
      </c>
      <c r="P81" s="96">
        <v>113.99</v>
      </c>
      <c r="Q81" s="84"/>
      <c r="R81" s="94">
        <v>30839.179932044</v>
      </c>
      <c r="S81" s="95">
        <v>2.1459716305222705E-2</v>
      </c>
      <c r="T81" s="95">
        <f t="shared" si="1"/>
        <v>5.8568664648448714E-3</v>
      </c>
      <c r="U81" s="95">
        <f>R81/'סכום נכסי הקרן'!$C$42</f>
        <v>5.3073944084492514E-4</v>
      </c>
    </row>
    <row r="82" spans="2:21" s="132" customFormat="1">
      <c r="B82" s="87" t="s">
        <v>525</v>
      </c>
      <c r="C82" s="84" t="s">
        <v>526</v>
      </c>
      <c r="D82" s="97" t="s">
        <v>128</v>
      </c>
      <c r="E82" s="97" t="s">
        <v>357</v>
      </c>
      <c r="F82" s="84" t="s">
        <v>405</v>
      </c>
      <c r="G82" s="97" t="s">
        <v>365</v>
      </c>
      <c r="H82" s="84" t="s">
        <v>457</v>
      </c>
      <c r="I82" s="84" t="s">
        <v>361</v>
      </c>
      <c r="J82" s="84"/>
      <c r="K82" s="94">
        <v>0.489999999999995</v>
      </c>
      <c r="L82" s="97" t="s">
        <v>170</v>
      </c>
      <c r="M82" s="98">
        <v>6.5000000000000002E-2</v>
      </c>
      <c r="N82" s="98">
        <v>-5.1000000000000515E-3</v>
      </c>
      <c r="O82" s="94">
        <v>53795991.721699998</v>
      </c>
      <c r="P82" s="96">
        <v>115.76</v>
      </c>
      <c r="Q82" s="94">
        <v>977.66209336600014</v>
      </c>
      <c r="R82" s="94">
        <v>63251.905844167995</v>
      </c>
      <c r="S82" s="95">
        <v>3.4156185220126985E-2</v>
      </c>
      <c r="T82" s="95">
        <f t="shared" si="1"/>
        <v>1.2012575139564653E-2</v>
      </c>
      <c r="U82" s="95">
        <f>R82/'סכום נכסי הקרן'!$C$42</f>
        <v>1.0885594628029579E-3</v>
      </c>
    </row>
    <row r="83" spans="2:21" s="132" customFormat="1">
      <c r="B83" s="87" t="s">
        <v>527</v>
      </c>
      <c r="C83" s="84" t="s">
        <v>528</v>
      </c>
      <c r="D83" s="97" t="s">
        <v>128</v>
      </c>
      <c r="E83" s="97" t="s">
        <v>357</v>
      </c>
      <c r="F83" s="84" t="s">
        <v>529</v>
      </c>
      <c r="G83" s="97" t="s">
        <v>427</v>
      </c>
      <c r="H83" s="84" t="s">
        <v>457</v>
      </c>
      <c r="I83" s="84" t="s">
        <v>361</v>
      </c>
      <c r="J83" s="84"/>
      <c r="K83" s="94">
        <v>7.2700000000001364</v>
      </c>
      <c r="L83" s="97" t="s">
        <v>170</v>
      </c>
      <c r="M83" s="98">
        <v>3.5000000000000003E-2</v>
      </c>
      <c r="N83" s="98">
        <v>5.3000000000000937E-3</v>
      </c>
      <c r="O83" s="94">
        <v>7522509.9632149991</v>
      </c>
      <c r="P83" s="96">
        <v>127.3</v>
      </c>
      <c r="Q83" s="84"/>
      <c r="R83" s="94">
        <v>9576.1558055470014</v>
      </c>
      <c r="S83" s="95">
        <v>1.7018779710915283E-2</v>
      </c>
      <c r="T83" s="95">
        <f t="shared" si="1"/>
        <v>1.8186691709451172E-3</v>
      </c>
      <c r="U83" s="95">
        <f>R83/'סכום נכסי הקרן'!$C$42</f>
        <v>1.648047577425655E-4</v>
      </c>
    </row>
    <row r="84" spans="2:21" s="132" customFormat="1">
      <c r="B84" s="87" t="s">
        <v>530</v>
      </c>
      <c r="C84" s="84" t="s">
        <v>531</v>
      </c>
      <c r="D84" s="97" t="s">
        <v>128</v>
      </c>
      <c r="E84" s="97" t="s">
        <v>357</v>
      </c>
      <c r="F84" s="84" t="s">
        <v>529</v>
      </c>
      <c r="G84" s="97" t="s">
        <v>427</v>
      </c>
      <c r="H84" s="84" t="s">
        <v>457</v>
      </c>
      <c r="I84" s="84" t="s">
        <v>361</v>
      </c>
      <c r="J84" s="84"/>
      <c r="K84" s="94">
        <v>3.0799999999999352</v>
      </c>
      <c r="L84" s="97" t="s">
        <v>170</v>
      </c>
      <c r="M84" s="98">
        <v>0.04</v>
      </c>
      <c r="N84" s="98">
        <v>-2.3000000000001609E-3</v>
      </c>
      <c r="O84" s="94">
        <v>6465438.5851060012</v>
      </c>
      <c r="P84" s="96">
        <v>115.32</v>
      </c>
      <c r="Q84" s="84"/>
      <c r="R84" s="94">
        <v>7455.9438542560001</v>
      </c>
      <c r="S84" s="95">
        <v>9.7596333297812615E-3</v>
      </c>
      <c r="T84" s="95">
        <f t="shared" si="1"/>
        <v>1.4160061201362779E-3</v>
      </c>
      <c r="U84" s="95">
        <f>R84/'סכום נכסי הקרן'!$C$42</f>
        <v>1.2831610571029562E-4</v>
      </c>
    </row>
    <row r="85" spans="2:21" s="132" customFormat="1">
      <c r="B85" s="87" t="s">
        <v>532</v>
      </c>
      <c r="C85" s="84" t="s">
        <v>533</v>
      </c>
      <c r="D85" s="97" t="s">
        <v>128</v>
      </c>
      <c r="E85" s="97" t="s">
        <v>357</v>
      </c>
      <c r="F85" s="84" t="s">
        <v>529</v>
      </c>
      <c r="G85" s="97" t="s">
        <v>427</v>
      </c>
      <c r="H85" s="84" t="s">
        <v>457</v>
      </c>
      <c r="I85" s="84" t="s">
        <v>361</v>
      </c>
      <c r="J85" s="84"/>
      <c r="K85" s="94">
        <v>5.8199999999999799</v>
      </c>
      <c r="L85" s="97" t="s">
        <v>170</v>
      </c>
      <c r="M85" s="98">
        <v>0.04</v>
      </c>
      <c r="N85" s="98">
        <v>2.3999999999998983E-3</v>
      </c>
      <c r="O85" s="94">
        <v>21737063.529027</v>
      </c>
      <c r="P85" s="96">
        <v>126.6</v>
      </c>
      <c r="Q85" s="84"/>
      <c r="R85" s="94">
        <v>27519.122158197002</v>
      </c>
      <c r="S85" s="95">
        <v>2.1603081691643225E-2</v>
      </c>
      <c r="T85" s="95">
        <f t="shared" si="1"/>
        <v>5.2263329980068909E-3</v>
      </c>
      <c r="U85" s="95">
        <f>R85/'סכום נכסי הקרן'!$C$42</f>
        <v>4.7360155292613915E-4</v>
      </c>
    </row>
    <row r="86" spans="2:21" s="132" customFormat="1">
      <c r="B86" s="87" t="s">
        <v>534</v>
      </c>
      <c r="C86" s="84" t="s">
        <v>535</v>
      </c>
      <c r="D86" s="97" t="s">
        <v>128</v>
      </c>
      <c r="E86" s="97" t="s">
        <v>357</v>
      </c>
      <c r="F86" s="84" t="s">
        <v>536</v>
      </c>
      <c r="G86" s="97" t="s">
        <v>159</v>
      </c>
      <c r="H86" s="84" t="s">
        <v>457</v>
      </c>
      <c r="I86" s="84" t="s">
        <v>361</v>
      </c>
      <c r="J86" s="84"/>
      <c r="K86" s="94">
        <v>4.5300000000001521</v>
      </c>
      <c r="L86" s="97" t="s">
        <v>170</v>
      </c>
      <c r="M86" s="98">
        <v>4.2999999999999997E-2</v>
      </c>
      <c r="N86" s="98">
        <v>9.9999999999963595E-4</v>
      </c>
      <c r="O86" s="94">
        <v>4515971.2167649996</v>
      </c>
      <c r="P86" s="96">
        <v>121.68</v>
      </c>
      <c r="Q86" s="84"/>
      <c r="R86" s="94">
        <v>5495.0341699719993</v>
      </c>
      <c r="S86" s="95">
        <v>4.9202461227009515E-3</v>
      </c>
      <c r="T86" s="95">
        <f t="shared" si="1"/>
        <v>1.0435971846269702E-3</v>
      </c>
      <c r="U86" s="95">
        <f>R86/'סכום נכסי הקרן'!$C$42</f>
        <v>9.4569030993081821E-5</v>
      </c>
    </row>
    <row r="87" spans="2:21" s="132" customFormat="1">
      <c r="B87" s="87" t="s">
        <v>537</v>
      </c>
      <c r="C87" s="84" t="s">
        <v>538</v>
      </c>
      <c r="D87" s="97" t="s">
        <v>128</v>
      </c>
      <c r="E87" s="97" t="s">
        <v>357</v>
      </c>
      <c r="F87" s="84" t="s">
        <v>539</v>
      </c>
      <c r="G87" s="97" t="s">
        <v>540</v>
      </c>
      <c r="H87" s="84" t="s">
        <v>541</v>
      </c>
      <c r="I87" s="84" t="s">
        <v>361</v>
      </c>
      <c r="J87" s="84"/>
      <c r="K87" s="94">
        <v>7.7199999999999864</v>
      </c>
      <c r="L87" s="97" t="s">
        <v>170</v>
      </c>
      <c r="M87" s="98">
        <v>5.1500000000000004E-2</v>
      </c>
      <c r="N87" s="98">
        <v>1.1699999999999997E-2</v>
      </c>
      <c r="O87" s="94">
        <v>50713859.979671001</v>
      </c>
      <c r="P87" s="96">
        <v>162.05000000000001</v>
      </c>
      <c r="Q87" s="84"/>
      <c r="R87" s="94">
        <v>82181.808950452993</v>
      </c>
      <c r="S87" s="95">
        <v>1.4281482902575936E-2</v>
      </c>
      <c r="T87" s="95">
        <f t="shared" si="1"/>
        <v>1.5607674455768E-2</v>
      </c>
      <c r="U87" s="95">
        <f>R87/'סכום נכסי הקרן'!$C$42</f>
        <v>1.4143413484437933E-3</v>
      </c>
    </row>
    <row r="88" spans="2:21" s="132" customFormat="1">
      <c r="B88" s="87" t="s">
        <v>542</v>
      </c>
      <c r="C88" s="84" t="s">
        <v>543</v>
      </c>
      <c r="D88" s="97" t="s">
        <v>128</v>
      </c>
      <c r="E88" s="97" t="s">
        <v>357</v>
      </c>
      <c r="F88" s="84" t="s">
        <v>544</v>
      </c>
      <c r="G88" s="97" t="s">
        <v>197</v>
      </c>
      <c r="H88" s="84" t="s">
        <v>541</v>
      </c>
      <c r="I88" s="84" t="s">
        <v>361</v>
      </c>
      <c r="J88" s="84"/>
      <c r="K88" s="94">
        <v>1.8799999999999522</v>
      </c>
      <c r="L88" s="97" t="s">
        <v>170</v>
      </c>
      <c r="M88" s="98">
        <v>3.7000000000000005E-2</v>
      </c>
      <c r="N88" s="98">
        <v>-2.1000000000000623E-3</v>
      </c>
      <c r="O88" s="94">
        <v>20031758.763831001</v>
      </c>
      <c r="P88" s="96">
        <v>112.45</v>
      </c>
      <c r="Q88" s="84"/>
      <c r="R88" s="94">
        <v>22525.713662165999</v>
      </c>
      <c r="S88" s="95">
        <v>1.3354604087924741E-2</v>
      </c>
      <c r="T88" s="95">
        <f t="shared" si="1"/>
        <v>4.2780027625687177E-3</v>
      </c>
      <c r="U88" s="95">
        <f>R88/'סכום נכסי הקרן'!$C$42</f>
        <v>3.8766545349244258E-4</v>
      </c>
    </row>
    <row r="89" spans="2:21" s="132" customFormat="1">
      <c r="B89" s="87" t="s">
        <v>545</v>
      </c>
      <c r="C89" s="84" t="s">
        <v>546</v>
      </c>
      <c r="D89" s="97" t="s">
        <v>128</v>
      </c>
      <c r="E89" s="97" t="s">
        <v>357</v>
      </c>
      <c r="F89" s="84" t="s">
        <v>544</v>
      </c>
      <c r="G89" s="97" t="s">
        <v>197</v>
      </c>
      <c r="H89" s="84" t="s">
        <v>541</v>
      </c>
      <c r="I89" s="84" t="s">
        <v>361</v>
      </c>
      <c r="J89" s="84"/>
      <c r="K89" s="94">
        <v>4.52000000000002</v>
      </c>
      <c r="L89" s="97" t="s">
        <v>170</v>
      </c>
      <c r="M89" s="98">
        <v>2.2000000000000002E-2</v>
      </c>
      <c r="N89" s="98">
        <v>5.2000000000002001E-3</v>
      </c>
      <c r="O89" s="94">
        <v>23978059.944437999</v>
      </c>
      <c r="P89" s="96">
        <v>108.87</v>
      </c>
      <c r="Q89" s="84"/>
      <c r="R89" s="94">
        <v>26104.913908799001</v>
      </c>
      <c r="S89" s="95">
        <v>2.7195758532562276E-2</v>
      </c>
      <c r="T89" s="95">
        <f t="shared" si="1"/>
        <v>4.9577516385654963E-3</v>
      </c>
      <c r="U89" s="95">
        <f>R89/'סכום נכסי הקרן'!$C$42</f>
        <v>4.4926315945466181E-4</v>
      </c>
    </row>
    <row r="90" spans="2:21" s="132" customFormat="1">
      <c r="B90" s="87" t="s">
        <v>547</v>
      </c>
      <c r="C90" s="84" t="s">
        <v>548</v>
      </c>
      <c r="D90" s="97" t="s">
        <v>128</v>
      </c>
      <c r="E90" s="97" t="s">
        <v>357</v>
      </c>
      <c r="F90" s="84" t="s">
        <v>474</v>
      </c>
      <c r="G90" s="97" t="s">
        <v>427</v>
      </c>
      <c r="H90" s="84" t="s">
        <v>549</v>
      </c>
      <c r="I90" s="84" t="s">
        <v>168</v>
      </c>
      <c r="J90" s="84"/>
      <c r="K90" s="94">
        <v>1.94999999999993</v>
      </c>
      <c r="L90" s="97" t="s">
        <v>170</v>
      </c>
      <c r="M90" s="98">
        <v>2.8500000000000001E-2</v>
      </c>
      <c r="N90" s="98">
        <v>1.3000000000002636E-3</v>
      </c>
      <c r="O90" s="94">
        <v>5949078.6652429998</v>
      </c>
      <c r="P90" s="96">
        <v>108.35</v>
      </c>
      <c r="Q90" s="84"/>
      <c r="R90" s="94">
        <v>6445.8266821910001</v>
      </c>
      <c r="S90" s="95">
        <v>1.3896400625084957E-2</v>
      </c>
      <c r="T90" s="95">
        <f t="shared" si="1"/>
        <v>1.2241682890503681E-3</v>
      </c>
      <c r="U90" s="95">
        <f>R90/'סכום נכסי הקרן'!$C$42</f>
        <v>1.1093208239090179E-4</v>
      </c>
    </row>
    <row r="91" spans="2:21" s="132" customFormat="1">
      <c r="B91" s="87" t="s">
        <v>550</v>
      </c>
      <c r="C91" s="84" t="s">
        <v>551</v>
      </c>
      <c r="D91" s="97" t="s">
        <v>128</v>
      </c>
      <c r="E91" s="97" t="s">
        <v>357</v>
      </c>
      <c r="F91" s="84" t="s">
        <v>474</v>
      </c>
      <c r="G91" s="97" t="s">
        <v>427</v>
      </c>
      <c r="H91" s="84" t="s">
        <v>549</v>
      </c>
      <c r="I91" s="84" t="s">
        <v>168</v>
      </c>
      <c r="J91" s="84"/>
      <c r="K91" s="94">
        <v>2.0000000000008181E-2</v>
      </c>
      <c r="L91" s="97" t="s">
        <v>170</v>
      </c>
      <c r="M91" s="98">
        <v>3.7699999999999997E-2</v>
      </c>
      <c r="N91" s="98">
        <v>1.6000000000006545E-3</v>
      </c>
      <c r="O91" s="94">
        <v>4375931.1646720003</v>
      </c>
      <c r="P91" s="96">
        <v>111.76</v>
      </c>
      <c r="Q91" s="84"/>
      <c r="R91" s="94">
        <v>4890.5407438980001</v>
      </c>
      <c r="S91" s="95">
        <v>1.2818434510737661E-2</v>
      </c>
      <c r="T91" s="95">
        <f t="shared" si="1"/>
        <v>9.2879396083199396E-4</v>
      </c>
      <c r="U91" s="95">
        <f>R91/'סכום נכסי הקרן'!$C$42</f>
        <v>8.4165754911943725E-5</v>
      </c>
    </row>
    <row r="92" spans="2:21" s="132" customFormat="1">
      <c r="B92" s="87" t="s">
        <v>552</v>
      </c>
      <c r="C92" s="84" t="s">
        <v>553</v>
      </c>
      <c r="D92" s="97" t="s">
        <v>128</v>
      </c>
      <c r="E92" s="97" t="s">
        <v>357</v>
      </c>
      <c r="F92" s="84" t="s">
        <v>474</v>
      </c>
      <c r="G92" s="97" t="s">
        <v>427</v>
      </c>
      <c r="H92" s="84" t="s">
        <v>549</v>
      </c>
      <c r="I92" s="84" t="s">
        <v>168</v>
      </c>
      <c r="J92" s="84"/>
      <c r="K92" s="94">
        <v>3.8899999999999357</v>
      </c>
      <c r="L92" s="97" t="s">
        <v>170</v>
      </c>
      <c r="M92" s="98">
        <v>2.5000000000000001E-2</v>
      </c>
      <c r="N92" s="98">
        <v>4.099999999999839E-3</v>
      </c>
      <c r="O92" s="94">
        <v>4534428.7121989997</v>
      </c>
      <c r="P92" s="96">
        <v>109.61</v>
      </c>
      <c r="Q92" s="84"/>
      <c r="R92" s="94">
        <v>4970.1873534880006</v>
      </c>
      <c r="S92" s="95">
        <v>1.0018235402095196E-2</v>
      </c>
      <c r="T92" s="95">
        <f t="shared" si="1"/>
        <v>9.4392015931633053E-4</v>
      </c>
      <c r="U92" s="95">
        <f>R92/'סכום נכסי הקרן'!$C$42</f>
        <v>8.5536465713337891E-5</v>
      </c>
    </row>
    <row r="93" spans="2:21" s="132" customFormat="1">
      <c r="B93" s="87" t="s">
        <v>554</v>
      </c>
      <c r="C93" s="84" t="s">
        <v>555</v>
      </c>
      <c r="D93" s="97" t="s">
        <v>128</v>
      </c>
      <c r="E93" s="97" t="s">
        <v>357</v>
      </c>
      <c r="F93" s="84" t="s">
        <v>474</v>
      </c>
      <c r="G93" s="97" t="s">
        <v>427</v>
      </c>
      <c r="H93" s="84" t="s">
        <v>549</v>
      </c>
      <c r="I93" s="84" t="s">
        <v>168</v>
      </c>
      <c r="J93" s="84"/>
      <c r="K93" s="94">
        <v>4.9099999999998429</v>
      </c>
      <c r="L93" s="97" t="s">
        <v>170</v>
      </c>
      <c r="M93" s="98">
        <v>1.34E-2</v>
      </c>
      <c r="N93" s="98">
        <v>1.6000000000006337E-3</v>
      </c>
      <c r="O93" s="94">
        <v>5263205.1845310004</v>
      </c>
      <c r="P93" s="96">
        <v>107.92</v>
      </c>
      <c r="Q93" s="84"/>
      <c r="R93" s="94">
        <v>5680.0509174790004</v>
      </c>
      <c r="S93" s="95">
        <v>1.3369663491527977E-2</v>
      </c>
      <c r="T93" s="95">
        <f t="shared" si="1"/>
        <v>1.0787349018521442E-3</v>
      </c>
      <c r="U93" s="95">
        <f>R93/'סכום נכסי הקרן'!$C$42</f>
        <v>9.775315214465565E-5</v>
      </c>
    </row>
    <row r="94" spans="2:21" s="132" customFormat="1">
      <c r="B94" s="87" t="s">
        <v>556</v>
      </c>
      <c r="C94" s="84" t="s">
        <v>557</v>
      </c>
      <c r="D94" s="97" t="s">
        <v>128</v>
      </c>
      <c r="E94" s="97" t="s">
        <v>357</v>
      </c>
      <c r="F94" s="84" t="s">
        <v>474</v>
      </c>
      <c r="G94" s="97" t="s">
        <v>427</v>
      </c>
      <c r="H94" s="84" t="s">
        <v>549</v>
      </c>
      <c r="I94" s="84" t="s">
        <v>168</v>
      </c>
      <c r="J94" s="84"/>
      <c r="K94" s="94">
        <v>5.0399999999998153</v>
      </c>
      <c r="L94" s="97" t="s">
        <v>170</v>
      </c>
      <c r="M94" s="98">
        <v>1.95E-2</v>
      </c>
      <c r="N94" s="98">
        <v>5.6000000000002385E-3</v>
      </c>
      <c r="O94" s="94">
        <v>9186278.3725060001</v>
      </c>
      <c r="P94" s="96">
        <v>108.87</v>
      </c>
      <c r="Q94" s="84"/>
      <c r="R94" s="94">
        <v>10001.101171521001</v>
      </c>
      <c r="S94" s="95">
        <v>1.4036869752042986E-2</v>
      </c>
      <c r="T94" s="95">
        <f t="shared" si="1"/>
        <v>1.8993732710168012E-3</v>
      </c>
      <c r="U94" s="95">
        <f>R94/'סכום נכסי הקרן'!$C$42</f>
        <v>1.7211802827776334E-4</v>
      </c>
    </row>
    <row r="95" spans="2:21" s="132" customFormat="1">
      <c r="B95" s="87" t="s">
        <v>558</v>
      </c>
      <c r="C95" s="84" t="s">
        <v>559</v>
      </c>
      <c r="D95" s="97" t="s">
        <v>128</v>
      </c>
      <c r="E95" s="97" t="s">
        <v>357</v>
      </c>
      <c r="F95" s="84" t="s">
        <v>474</v>
      </c>
      <c r="G95" s="97" t="s">
        <v>427</v>
      </c>
      <c r="H95" s="84" t="s">
        <v>549</v>
      </c>
      <c r="I95" s="84" t="s">
        <v>168</v>
      </c>
      <c r="J95" s="84"/>
      <c r="K95" s="94">
        <v>5.9600000000001305</v>
      </c>
      <c r="L95" s="97" t="s">
        <v>170</v>
      </c>
      <c r="M95" s="98">
        <v>3.3500000000000002E-2</v>
      </c>
      <c r="N95" s="98">
        <v>8.3999999999999075E-3</v>
      </c>
      <c r="O95" s="94">
        <v>11153550.020546</v>
      </c>
      <c r="P95" s="96">
        <v>117.37</v>
      </c>
      <c r="Q95" s="84"/>
      <c r="R95" s="94">
        <v>13090.922136143001</v>
      </c>
      <c r="S95" s="95">
        <v>2.252464304360716E-2</v>
      </c>
      <c r="T95" s="95">
        <f t="shared" si="1"/>
        <v>2.4861809886651412E-3</v>
      </c>
      <c r="U95" s="95">
        <f>R95/'סכום נכסי הקרן'!$C$42</f>
        <v>2.2529356195563689E-4</v>
      </c>
    </row>
    <row r="96" spans="2:21" s="132" customFormat="1">
      <c r="B96" s="87" t="s">
        <v>560</v>
      </c>
      <c r="C96" s="84" t="s">
        <v>561</v>
      </c>
      <c r="D96" s="97" t="s">
        <v>128</v>
      </c>
      <c r="E96" s="97" t="s">
        <v>357</v>
      </c>
      <c r="F96" s="84" t="s">
        <v>372</v>
      </c>
      <c r="G96" s="97" t="s">
        <v>365</v>
      </c>
      <c r="H96" s="84" t="s">
        <v>549</v>
      </c>
      <c r="I96" s="84" t="s">
        <v>168</v>
      </c>
      <c r="J96" s="84"/>
      <c r="K96" s="94">
        <v>1.4600000000000306</v>
      </c>
      <c r="L96" s="97" t="s">
        <v>170</v>
      </c>
      <c r="M96" s="98">
        <v>2.7999999999999997E-2</v>
      </c>
      <c r="N96" s="98">
        <v>5.500000000000017E-3</v>
      </c>
      <c r="O96" s="94">
        <f>26181674.332/50000</f>
        <v>523.63348664</v>
      </c>
      <c r="P96" s="96">
        <v>5338000</v>
      </c>
      <c r="Q96" s="84"/>
      <c r="R96" s="94">
        <v>27951.554640409006</v>
      </c>
      <c r="S96" s="95">
        <f>148027.784994629%/50000</f>
        <v>2.9605556998925805E-2</v>
      </c>
      <c r="T96" s="95">
        <f t="shared" si="1"/>
        <v>5.3084590243460492E-3</v>
      </c>
      <c r="U96" s="95">
        <f>R96/'סכום נכסי הקרן'!$C$42</f>
        <v>4.8104367604089509E-4</v>
      </c>
    </row>
    <row r="97" spans="2:21" s="132" customFormat="1">
      <c r="B97" s="87" t="s">
        <v>562</v>
      </c>
      <c r="C97" s="84" t="s">
        <v>563</v>
      </c>
      <c r="D97" s="97" t="s">
        <v>128</v>
      </c>
      <c r="E97" s="97" t="s">
        <v>357</v>
      </c>
      <c r="F97" s="84" t="s">
        <v>372</v>
      </c>
      <c r="G97" s="97" t="s">
        <v>365</v>
      </c>
      <c r="H97" s="84" t="s">
        <v>549</v>
      </c>
      <c r="I97" s="84" t="s">
        <v>168</v>
      </c>
      <c r="J97" s="84"/>
      <c r="K97" s="94">
        <v>2.7100000000004454</v>
      </c>
      <c r="L97" s="97" t="s">
        <v>170</v>
      </c>
      <c r="M97" s="98">
        <v>1.49E-2</v>
      </c>
      <c r="N97" s="98">
        <v>1.1200000000005485E-2</v>
      </c>
      <c r="O97" s="94">
        <f>1415655.538/50000</f>
        <v>28.313110759999997</v>
      </c>
      <c r="P97" s="96">
        <v>5150120</v>
      </c>
      <c r="Q97" s="84"/>
      <c r="R97" s="94">
        <v>1458.1592116849999</v>
      </c>
      <c r="S97" s="95">
        <f>23407.0029431217%/50000</f>
        <v>4.6814005886243399E-3</v>
      </c>
      <c r="T97" s="95">
        <f t="shared" si="1"/>
        <v>2.7692836859285672E-4</v>
      </c>
      <c r="U97" s="95">
        <f>R97/'סכום נכסי הקרן'!$C$42</f>
        <v>2.5094785476718736E-5</v>
      </c>
    </row>
    <row r="98" spans="2:21" s="132" customFormat="1">
      <c r="B98" s="87" t="s">
        <v>564</v>
      </c>
      <c r="C98" s="84" t="s">
        <v>565</v>
      </c>
      <c r="D98" s="97" t="s">
        <v>128</v>
      </c>
      <c r="E98" s="97" t="s">
        <v>357</v>
      </c>
      <c r="F98" s="84" t="s">
        <v>372</v>
      </c>
      <c r="G98" s="97" t="s">
        <v>365</v>
      </c>
      <c r="H98" s="84" t="s">
        <v>549</v>
      </c>
      <c r="I98" s="84" t="s">
        <v>168</v>
      </c>
      <c r="J98" s="84"/>
      <c r="K98" s="94">
        <v>4.3300000000000365</v>
      </c>
      <c r="L98" s="97" t="s">
        <v>170</v>
      </c>
      <c r="M98" s="98">
        <v>2.2000000000000002E-2</v>
      </c>
      <c r="N98" s="98">
        <v>8.6000000000001249E-3</v>
      </c>
      <c r="O98" s="94">
        <f>5964840.75/50000</f>
        <v>119.296815</v>
      </c>
      <c r="P98" s="96">
        <v>5380000</v>
      </c>
      <c r="Q98" s="84"/>
      <c r="R98" s="94">
        <v>6418.1682445719998</v>
      </c>
      <c r="S98" s="95">
        <f>118491.07568534%/50000</f>
        <v>2.3698215137068001E-2</v>
      </c>
      <c r="T98" s="95">
        <f t="shared" si="1"/>
        <v>1.2189154977596242E-3</v>
      </c>
      <c r="U98" s="95">
        <f>R98/'סכום נכסי הקרן'!$C$42</f>
        <v>1.1045608323175101E-4</v>
      </c>
    </row>
    <row r="99" spans="2:21" s="132" customFormat="1">
      <c r="B99" s="87" t="s">
        <v>566</v>
      </c>
      <c r="C99" s="84" t="s">
        <v>567</v>
      </c>
      <c r="D99" s="97" t="s">
        <v>128</v>
      </c>
      <c r="E99" s="97" t="s">
        <v>357</v>
      </c>
      <c r="F99" s="84" t="s">
        <v>568</v>
      </c>
      <c r="G99" s="97" t="s">
        <v>427</v>
      </c>
      <c r="H99" s="84" t="s">
        <v>549</v>
      </c>
      <c r="I99" s="84" t="s">
        <v>168</v>
      </c>
      <c r="J99" s="84"/>
      <c r="K99" s="94">
        <v>5.4999999999996403</v>
      </c>
      <c r="L99" s="97" t="s">
        <v>170</v>
      </c>
      <c r="M99" s="98">
        <v>0.04</v>
      </c>
      <c r="N99" s="98">
        <v>1.1299999999999295E-2</v>
      </c>
      <c r="O99" s="94">
        <v>5923555.2892739996</v>
      </c>
      <c r="P99" s="96">
        <v>117.19</v>
      </c>
      <c r="Q99" s="84"/>
      <c r="R99" s="94">
        <v>6941.8147361729998</v>
      </c>
      <c r="S99" s="95">
        <v>2.0026889196649808E-3</v>
      </c>
      <c r="T99" s="95">
        <f t="shared" si="1"/>
        <v>1.3183645616727934E-3</v>
      </c>
      <c r="U99" s="95">
        <f>R99/'סכום נכסי הקרן'!$C$42</f>
        <v>1.1946799103102242E-4</v>
      </c>
    </row>
    <row r="100" spans="2:21" s="132" customFormat="1">
      <c r="B100" s="87" t="s">
        <v>569</v>
      </c>
      <c r="C100" s="84" t="s">
        <v>570</v>
      </c>
      <c r="D100" s="97" t="s">
        <v>128</v>
      </c>
      <c r="E100" s="97" t="s">
        <v>357</v>
      </c>
      <c r="F100" s="84" t="s">
        <v>568</v>
      </c>
      <c r="G100" s="97" t="s">
        <v>427</v>
      </c>
      <c r="H100" s="84" t="s">
        <v>549</v>
      </c>
      <c r="I100" s="84" t="s">
        <v>168</v>
      </c>
      <c r="J100" s="84"/>
      <c r="K100" s="94">
        <v>5.7700000000000475</v>
      </c>
      <c r="L100" s="97" t="s">
        <v>170</v>
      </c>
      <c r="M100" s="98">
        <v>2.7799999999999998E-2</v>
      </c>
      <c r="N100" s="98">
        <v>1.2699999999999883E-2</v>
      </c>
      <c r="O100" s="94">
        <v>15473558.333125999</v>
      </c>
      <c r="P100" s="96">
        <v>111.05</v>
      </c>
      <c r="Q100" s="84"/>
      <c r="R100" s="94">
        <v>17183.386514860002</v>
      </c>
      <c r="S100" s="95">
        <v>8.5911234367284615E-3</v>
      </c>
      <c r="T100" s="95">
        <f t="shared" si="1"/>
        <v>3.2634071480862731E-3</v>
      </c>
      <c r="U100" s="95">
        <f>R100/'סכום נכסי הקרן'!$C$42</f>
        <v>2.9572449626790587E-4</v>
      </c>
    </row>
    <row r="101" spans="2:21" s="132" customFormat="1">
      <c r="B101" s="87" t="s">
        <v>571</v>
      </c>
      <c r="C101" s="84" t="s">
        <v>572</v>
      </c>
      <c r="D101" s="97" t="s">
        <v>128</v>
      </c>
      <c r="E101" s="97" t="s">
        <v>357</v>
      </c>
      <c r="F101" s="84" t="s">
        <v>421</v>
      </c>
      <c r="G101" s="97" t="s">
        <v>365</v>
      </c>
      <c r="H101" s="84" t="s">
        <v>541</v>
      </c>
      <c r="I101" s="84" t="s">
        <v>361</v>
      </c>
      <c r="J101" s="84"/>
      <c r="K101" s="94">
        <v>0.30000000000001087</v>
      </c>
      <c r="L101" s="97" t="s">
        <v>170</v>
      </c>
      <c r="M101" s="98">
        <v>6.4000000000000001E-2</v>
      </c>
      <c r="N101" s="98">
        <v>1.2300000000000174E-2</v>
      </c>
      <c r="O101" s="94">
        <v>47049223.207662001</v>
      </c>
      <c r="P101" s="96">
        <v>117.17</v>
      </c>
      <c r="Q101" s="84"/>
      <c r="R101" s="94">
        <v>55127.576931548007</v>
      </c>
      <c r="S101" s="95">
        <v>3.757983707227229E-2</v>
      </c>
      <c r="T101" s="95">
        <f t="shared" si="1"/>
        <v>1.0469631725941272E-2</v>
      </c>
      <c r="U101" s="95">
        <f>R101/'סכום נכסי הקרן'!$C$42</f>
        <v>9.4874051191562133E-4</v>
      </c>
    </row>
    <row r="102" spans="2:21" s="132" customFormat="1">
      <c r="B102" s="87" t="s">
        <v>573</v>
      </c>
      <c r="C102" s="84" t="s">
        <v>574</v>
      </c>
      <c r="D102" s="97" t="s">
        <v>128</v>
      </c>
      <c r="E102" s="97" t="s">
        <v>357</v>
      </c>
      <c r="F102" s="84" t="s">
        <v>421</v>
      </c>
      <c r="G102" s="97" t="s">
        <v>365</v>
      </c>
      <c r="H102" s="84" t="s">
        <v>549</v>
      </c>
      <c r="I102" s="84" t="s">
        <v>168</v>
      </c>
      <c r="J102" s="84"/>
      <c r="K102" s="94">
        <v>5.6200000000000578</v>
      </c>
      <c r="L102" s="97" t="s">
        <v>170</v>
      </c>
      <c r="M102" s="98">
        <v>1.46E-2</v>
      </c>
      <c r="N102" s="98">
        <v>1.3300000000000128E-2</v>
      </c>
      <c r="O102" s="94">
        <f>31812484/50000</f>
        <v>636.24968000000001</v>
      </c>
      <c r="P102" s="96">
        <v>5049648</v>
      </c>
      <c r="Q102" s="84"/>
      <c r="R102" s="94">
        <v>32128.369241126005</v>
      </c>
      <c r="S102" s="95">
        <f>129145.79628953%/50000</f>
        <v>2.5829159257905999E-2</v>
      </c>
      <c r="T102" s="95">
        <f t="shared" si="1"/>
        <v>6.1017046754534921E-3</v>
      </c>
      <c r="U102" s="95">
        <f>R102/'סכום נכסי הקרן'!$C$42</f>
        <v>5.5292626989009316E-4</v>
      </c>
    </row>
    <row r="103" spans="2:21" s="132" customFormat="1">
      <c r="B103" s="87" t="s">
        <v>575</v>
      </c>
      <c r="C103" s="84" t="s">
        <v>576</v>
      </c>
      <c r="D103" s="97" t="s">
        <v>128</v>
      </c>
      <c r="E103" s="97" t="s">
        <v>357</v>
      </c>
      <c r="F103" s="84" t="s">
        <v>486</v>
      </c>
      <c r="G103" s="97" t="s">
        <v>487</v>
      </c>
      <c r="H103" s="84" t="s">
        <v>541</v>
      </c>
      <c r="I103" s="84" t="s">
        <v>361</v>
      </c>
      <c r="J103" s="84"/>
      <c r="K103" s="94">
        <v>3.2399999999998728</v>
      </c>
      <c r="L103" s="97" t="s">
        <v>170</v>
      </c>
      <c r="M103" s="98">
        <v>3.85E-2</v>
      </c>
      <c r="N103" s="98">
        <v>-5.0999999999998703E-3</v>
      </c>
      <c r="O103" s="94">
        <v>4478503.6909119999</v>
      </c>
      <c r="P103" s="96">
        <v>119.85</v>
      </c>
      <c r="Q103" s="84"/>
      <c r="R103" s="94">
        <v>5367.4868587570008</v>
      </c>
      <c r="S103" s="95">
        <v>1.8695729582919218E-2</v>
      </c>
      <c r="T103" s="95">
        <f t="shared" si="1"/>
        <v>1.0193738566596775E-3</v>
      </c>
      <c r="U103" s="95">
        <f>R103/'סכום נכסי הקרן'!$C$42</f>
        <v>9.2373953536914363E-5</v>
      </c>
    </row>
    <row r="104" spans="2:21" s="132" customFormat="1">
      <c r="B104" s="87" t="s">
        <v>577</v>
      </c>
      <c r="C104" s="84" t="s">
        <v>578</v>
      </c>
      <c r="D104" s="97" t="s">
        <v>128</v>
      </c>
      <c r="E104" s="97" t="s">
        <v>357</v>
      </c>
      <c r="F104" s="84" t="s">
        <v>486</v>
      </c>
      <c r="G104" s="97" t="s">
        <v>487</v>
      </c>
      <c r="H104" s="84" t="s">
        <v>541</v>
      </c>
      <c r="I104" s="84" t="s">
        <v>361</v>
      </c>
      <c r="J104" s="84"/>
      <c r="K104" s="94">
        <v>0.41000000000014458</v>
      </c>
      <c r="L104" s="97" t="s">
        <v>170</v>
      </c>
      <c r="M104" s="98">
        <v>3.9E-2</v>
      </c>
      <c r="N104" s="98">
        <v>1.100000000000241E-3</v>
      </c>
      <c r="O104" s="94">
        <v>2991242.3624449996</v>
      </c>
      <c r="P104" s="96">
        <v>111.04</v>
      </c>
      <c r="Q104" s="84"/>
      <c r="R104" s="94">
        <v>3321.4755698719996</v>
      </c>
      <c r="S104" s="95">
        <v>1.5028914184592967E-2</v>
      </c>
      <c r="T104" s="95">
        <f t="shared" si="1"/>
        <v>6.308027295748997E-4</v>
      </c>
      <c r="U104" s="95">
        <f>R104/'סכום נכסי הקרן'!$C$42</f>
        <v>5.7162288057544478E-5</v>
      </c>
    </row>
    <row r="105" spans="2:21" s="132" customFormat="1">
      <c r="B105" s="87" t="s">
        <v>579</v>
      </c>
      <c r="C105" s="84" t="s">
        <v>580</v>
      </c>
      <c r="D105" s="97" t="s">
        <v>128</v>
      </c>
      <c r="E105" s="97" t="s">
        <v>357</v>
      </c>
      <c r="F105" s="84" t="s">
        <v>486</v>
      </c>
      <c r="G105" s="97" t="s">
        <v>487</v>
      </c>
      <c r="H105" s="84" t="s">
        <v>541</v>
      </c>
      <c r="I105" s="84" t="s">
        <v>361</v>
      </c>
      <c r="J105" s="84"/>
      <c r="K105" s="94">
        <v>1.389999999999973</v>
      </c>
      <c r="L105" s="97" t="s">
        <v>170</v>
      </c>
      <c r="M105" s="98">
        <v>3.9E-2</v>
      </c>
      <c r="N105" s="98">
        <v>-2.1000000000002688E-3</v>
      </c>
      <c r="O105" s="94">
        <v>4828408.192051</v>
      </c>
      <c r="P105" s="96">
        <v>115.67</v>
      </c>
      <c r="Q105" s="84"/>
      <c r="R105" s="94">
        <v>5585.0198236850001</v>
      </c>
      <c r="S105" s="95">
        <v>1.2100288051852919E-2</v>
      </c>
      <c r="T105" s="95">
        <f t="shared" si="1"/>
        <v>1.060686937295821E-3</v>
      </c>
      <c r="U105" s="95">
        <f>R105/'סכום נכסי הקרן'!$C$42</f>
        <v>9.6117675789763926E-5</v>
      </c>
    </row>
    <row r="106" spans="2:21" s="132" customFormat="1">
      <c r="B106" s="87" t="s">
        <v>581</v>
      </c>
      <c r="C106" s="84" t="s">
        <v>582</v>
      </c>
      <c r="D106" s="97" t="s">
        <v>128</v>
      </c>
      <c r="E106" s="97" t="s">
        <v>357</v>
      </c>
      <c r="F106" s="84" t="s">
        <v>486</v>
      </c>
      <c r="G106" s="97" t="s">
        <v>487</v>
      </c>
      <c r="H106" s="84" t="s">
        <v>541</v>
      </c>
      <c r="I106" s="84" t="s">
        <v>361</v>
      </c>
      <c r="J106" s="84"/>
      <c r="K106" s="94">
        <v>4.119999999999834</v>
      </c>
      <c r="L106" s="97" t="s">
        <v>170</v>
      </c>
      <c r="M106" s="98">
        <v>3.85E-2</v>
      </c>
      <c r="N106" s="98">
        <v>-1.7000000000004154E-3</v>
      </c>
      <c r="O106" s="94">
        <v>3920542.0240310002</v>
      </c>
      <c r="P106" s="96">
        <v>122.75</v>
      </c>
      <c r="Q106" s="84"/>
      <c r="R106" s="94">
        <v>4812.4654722400001</v>
      </c>
      <c r="S106" s="95">
        <v>1.5682168096124001E-2</v>
      </c>
      <c r="T106" s="95">
        <f t="shared" si="1"/>
        <v>9.1396618521295901E-4</v>
      </c>
      <c r="U106" s="95">
        <f>R106/'סכום נכסי הקרן'!$C$42</f>
        <v>8.2822086691358967E-5</v>
      </c>
    </row>
    <row r="107" spans="2:21" s="132" customFormat="1">
      <c r="B107" s="87" t="s">
        <v>583</v>
      </c>
      <c r="C107" s="84" t="s">
        <v>584</v>
      </c>
      <c r="D107" s="97" t="s">
        <v>128</v>
      </c>
      <c r="E107" s="97" t="s">
        <v>357</v>
      </c>
      <c r="F107" s="84" t="s">
        <v>585</v>
      </c>
      <c r="G107" s="97" t="s">
        <v>365</v>
      </c>
      <c r="H107" s="84" t="s">
        <v>549</v>
      </c>
      <c r="I107" s="84" t="s">
        <v>168</v>
      </c>
      <c r="J107" s="84"/>
      <c r="K107" s="94">
        <v>1.5000000000000653</v>
      </c>
      <c r="L107" s="97" t="s">
        <v>170</v>
      </c>
      <c r="M107" s="98">
        <v>0.02</v>
      </c>
      <c r="N107" s="98">
        <v>-1.9000000000001435E-3</v>
      </c>
      <c r="O107" s="94">
        <v>4792685.7808640003</v>
      </c>
      <c r="P107" s="96">
        <v>105.78</v>
      </c>
      <c r="Q107" s="94">
        <v>2601.3364547810002</v>
      </c>
      <c r="R107" s="94">
        <v>7671.0394737309998</v>
      </c>
      <c r="S107" s="95">
        <v>2.5269809475051565E-2</v>
      </c>
      <c r="T107" s="95">
        <f t="shared" si="1"/>
        <v>1.4568563088641938E-3</v>
      </c>
      <c r="U107" s="95">
        <f>R107/'סכום נכסי הקרן'!$C$42</f>
        <v>1.3201788147281304E-4</v>
      </c>
    </row>
    <row r="108" spans="2:21" s="132" customFormat="1">
      <c r="B108" s="87" t="s">
        <v>586</v>
      </c>
      <c r="C108" s="84" t="s">
        <v>587</v>
      </c>
      <c r="D108" s="97" t="s">
        <v>128</v>
      </c>
      <c r="E108" s="97" t="s">
        <v>357</v>
      </c>
      <c r="F108" s="84" t="s">
        <v>498</v>
      </c>
      <c r="G108" s="97" t="s">
        <v>427</v>
      </c>
      <c r="H108" s="84" t="s">
        <v>549</v>
      </c>
      <c r="I108" s="84" t="s">
        <v>168</v>
      </c>
      <c r="J108" s="84"/>
      <c r="K108" s="94">
        <v>6.5399999999997744</v>
      </c>
      <c r="L108" s="97" t="s">
        <v>170</v>
      </c>
      <c r="M108" s="98">
        <v>2.4E-2</v>
      </c>
      <c r="N108" s="98">
        <v>7.1999999999996815E-3</v>
      </c>
      <c r="O108" s="94">
        <v>13132244.784817003</v>
      </c>
      <c r="P108" s="96">
        <v>114.16</v>
      </c>
      <c r="Q108" s="84"/>
      <c r="R108" s="94">
        <v>14991.770013084</v>
      </c>
      <c r="S108" s="95">
        <v>2.4127738008458927E-2</v>
      </c>
      <c r="T108" s="95">
        <f t="shared" si="1"/>
        <v>2.8471832011026823E-3</v>
      </c>
      <c r="U108" s="95">
        <f>R108/'סכום נכסי הקרן'!$C$42</f>
        <v>2.5800697851087608E-4</v>
      </c>
    </row>
    <row r="109" spans="2:21" s="132" customFormat="1">
      <c r="B109" s="87" t="s">
        <v>588</v>
      </c>
      <c r="C109" s="84" t="s">
        <v>589</v>
      </c>
      <c r="D109" s="97" t="s">
        <v>128</v>
      </c>
      <c r="E109" s="97" t="s">
        <v>357</v>
      </c>
      <c r="F109" s="84" t="s">
        <v>498</v>
      </c>
      <c r="G109" s="97" t="s">
        <v>427</v>
      </c>
      <c r="H109" s="84" t="s">
        <v>549</v>
      </c>
      <c r="I109" s="84" t="s">
        <v>168</v>
      </c>
      <c r="J109" s="84"/>
      <c r="K109" s="94">
        <v>2.6899999999988236</v>
      </c>
      <c r="L109" s="97" t="s">
        <v>170</v>
      </c>
      <c r="M109" s="98">
        <v>3.4799999999999998E-2</v>
      </c>
      <c r="N109" s="98">
        <v>-5.9999999998134083E-4</v>
      </c>
      <c r="O109" s="94">
        <v>224258.87992100001</v>
      </c>
      <c r="P109" s="96">
        <v>109.93</v>
      </c>
      <c r="Q109" s="84"/>
      <c r="R109" s="94">
        <v>246.52778604100001</v>
      </c>
      <c r="S109" s="95">
        <v>5.4798420007244012E-4</v>
      </c>
      <c r="T109" s="95">
        <f t="shared" si="1"/>
        <v>4.681967308785974E-5</v>
      </c>
      <c r="U109" s="95">
        <f>R109/'סכום נכסי הקרן'!$C$42</f>
        <v>4.2427204486129652E-6</v>
      </c>
    </row>
    <row r="110" spans="2:21" s="132" customFormat="1">
      <c r="B110" s="87" t="s">
        <v>590</v>
      </c>
      <c r="C110" s="84" t="s">
        <v>591</v>
      </c>
      <c r="D110" s="97" t="s">
        <v>128</v>
      </c>
      <c r="E110" s="97" t="s">
        <v>357</v>
      </c>
      <c r="F110" s="84" t="s">
        <v>503</v>
      </c>
      <c r="G110" s="97" t="s">
        <v>487</v>
      </c>
      <c r="H110" s="84" t="s">
        <v>549</v>
      </c>
      <c r="I110" s="84" t="s">
        <v>168</v>
      </c>
      <c r="J110" s="84"/>
      <c r="K110" s="94">
        <v>5.2200000000001676</v>
      </c>
      <c r="L110" s="97" t="s">
        <v>170</v>
      </c>
      <c r="M110" s="98">
        <v>2.4799999999999999E-2</v>
      </c>
      <c r="N110" s="98">
        <v>2.1000000000003958E-3</v>
      </c>
      <c r="O110" s="94">
        <v>5954815.3105140002</v>
      </c>
      <c r="P110" s="96">
        <v>114.51</v>
      </c>
      <c r="Q110" s="84"/>
      <c r="R110" s="94">
        <v>6818.8593320129994</v>
      </c>
      <c r="S110" s="95">
        <v>1.4061414883975998E-2</v>
      </c>
      <c r="T110" s="95">
        <f t="shared" si="1"/>
        <v>1.2950133122270229E-3</v>
      </c>
      <c r="U110" s="95">
        <f>R110/'סכום נכסי הקרן'!$C$42</f>
        <v>1.1735193987153833E-4</v>
      </c>
    </row>
    <row r="111" spans="2:21" s="132" customFormat="1">
      <c r="B111" s="87" t="s">
        <v>592</v>
      </c>
      <c r="C111" s="84" t="s">
        <v>593</v>
      </c>
      <c r="D111" s="97" t="s">
        <v>128</v>
      </c>
      <c r="E111" s="97" t="s">
        <v>357</v>
      </c>
      <c r="F111" s="84" t="s">
        <v>594</v>
      </c>
      <c r="G111" s="97" t="s">
        <v>427</v>
      </c>
      <c r="H111" s="84" t="s">
        <v>541</v>
      </c>
      <c r="I111" s="84" t="s">
        <v>361</v>
      </c>
      <c r="J111" s="84"/>
      <c r="K111" s="94">
        <v>3.8299999999999512</v>
      </c>
      <c r="L111" s="97" t="s">
        <v>170</v>
      </c>
      <c r="M111" s="98">
        <v>2.8500000000000001E-2</v>
      </c>
      <c r="N111" s="98">
        <v>-1.0999999999999827E-3</v>
      </c>
      <c r="O111" s="94">
        <v>19936729.758795001</v>
      </c>
      <c r="P111" s="96">
        <v>115.33</v>
      </c>
      <c r="Q111" s="84"/>
      <c r="R111" s="94">
        <v>22993.030813464</v>
      </c>
      <c r="S111" s="95">
        <v>2.9189941081691071E-2</v>
      </c>
      <c r="T111" s="95">
        <f t="shared" si="1"/>
        <v>4.366753960165907E-3</v>
      </c>
      <c r="U111" s="95">
        <f>R111/'סכום נכסי הקרן'!$C$42</f>
        <v>3.9570793854307233E-4</v>
      </c>
    </row>
    <row r="112" spans="2:21" s="132" customFormat="1">
      <c r="B112" s="87" t="s">
        <v>595</v>
      </c>
      <c r="C112" s="84" t="s">
        <v>596</v>
      </c>
      <c r="D112" s="97" t="s">
        <v>128</v>
      </c>
      <c r="E112" s="97" t="s">
        <v>357</v>
      </c>
      <c r="F112" s="84" t="s">
        <v>597</v>
      </c>
      <c r="G112" s="97" t="s">
        <v>427</v>
      </c>
      <c r="H112" s="84" t="s">
        <v>541</v>
      </c>
      <c r="I112" s="84" t="s">
        <v>361</v>
      </c>
      <c r="J112" s="84"/>
      <c r="K112" s="94">
        <v>5.8199999999998333</v>
      </c>
      <c r="L112" s="97" t="s">
        <v>170</v>
      </c>
      <c r="M112" s="98">
        <v>1.3999999999999999E-2</v>
      </c>
      <c r="N112" s="98">
        <v>2.0999999999995909E-3</v>
      </c>
      <c r="O112" s="94">
        <v>13066286.695272001</v>
      </c>
      <c r="P112" s="96">
        <v>108.68</v>
      </c>
      <c r="Q112" s="84"/>
      <c r="R112" s="94">
        <v>14200.440539998001</v>
      </c>
      <c r="S112" s="95">
        <v>2.8805746682698415E-2</v>
      </c>
      <c r="T112" s="95">
        <f t="shared" si="1"/>
        <v>2.6968967452444649E-3</v>
      </c>
      <c r="U112" s="95">
        <f>R112/'סכום נכסי הקרן'!$C$42</f>
        <v>2.4438827130156493E-4</v>
      </c>
    </row>
    <row r="113" spans="2:21" s="132" customFormat="1">
      <c r="B113" s="87" t="s">
        <v>598</v>
      </c>
      <c r="C113" s="84" t="s">
        <v>599</v>
      </c>
      <c r="D113" s="97" t="s">
        <v>128</v>
      </c>
      <c r="E113" s="97" t="s">
        <v>357</v>
      </c>
      <c r="F113" s="84" t="s">
        <v>383</v>
      </c>
      <c r="G113" s="97" t="s">
        <v>365</v>
      </c>
      <c r="H113" s="84" t="s">
        <v>549</v>
      </c>
      <c r="I113" s="84" t="s">
        <v>168</v>
      </c>
      <c r="J113" s="84"/>
      <c r="K113" s="94">
        <v>3.7000000000000997</v>
      </c>
      <c r="L113" s="97" t="s">
        <v>170</v>
      </c>
      <c r="M113" s="98">
        <v>1.8200000000000001E-2</v>
      </c>
      <c r="N113" s="98">
        <v>7.8000000000005244E-3</v>
      </c>
      <c r="O113" s="94">
        <f>15317711.046/50000</f>
        <v>306.35422091999999</v>
      </c>
      <c r="P113" s="96">
        <v>5228000</v>
      </c>
      <c r="Q113" s="84"/>
      <c r="R113" s="94">
        <v>16016.198911472</v>
      </c>
      <c r="S113" s="95">
        <f>107787.707029766%/50000</f>
        <v>2.1557541405953198E-2</v>
      </c>
      <c r="T113" s="95">
        <f t="shared" si="1"/>
        <v>3.0417390639306788E-3</v>
      </c>
      <c r="U113" s="95">
        <f>R113/'סכום נכסי הקרן'!$C$42</f>
        <v>2.7563730531962767E-4</v>
      </c>
    </row>
    <row r="114" spans="2:21" s="132" customFormat="1">
      <c r="B114" s="87" t="s">
        <v>600</v>
      </c>
      <c r="C114" s="84" t="s">
        <v>601</v>
      </c>
      <c r="D114" s="97" t="s">
        <v>128</v>
      </c>
      <c r="E114" s="97" t="s">
        <v>357</v>
      </c>
      <c r="F114" s="84" t="s">
        <v>383</v>
      </c>
      <c r="G114" s="97" t="s">
        <v>365</v>
      </c>
      <c r="H114" s="84" t="s">
        <v>549</v>
      </c>
      <c r="I114" s="84" t="s">
        <v>168</v>
      </c>
      <c r="J114" s="84"/>
      <c r="K114" s="94">
        <v>2.9299999999999917</v>
      </c>
      <c r="L114" s="97" t="s">
        <v>170</v>
      </c>
      <c r="M114" s="98">
        <v>1.06E-2</v>
      </c>
      <c r="N114" s="98">
        <v>7.400000000000061E-3</v>
      </c>
      <c r="O114" s="94">
        <f>19087490.4/50000</f>
        <v>381.74980799999997</v>
      </c>
      <c r="P114" s="96">
        <v>5125000</v>
      </c>
      <c r="Q114" s="84"/>
      <c r="R114" s="94">
        <v>19564.678557112002</v>
      </c>
      <c r="S114" s="95">
        <f>140566.244937035%/50000</f>
        <v>2.8113248987407E-2</v>
      </c>
      <c r="T114" s="95">
        <f t="shared" si="1"/>
        <v>3.7156535935494975E-3</v>
      </c>
      <c r="U114" s="95">
        <f>R114/'סכום נכסי הקרן'!$C$42</f>
        <v>3.3670631257360067E-4</v>
      </c>
    </row>
    <row r="115" spans="2:21" s="132" customFormat="1">
      <c r="B115" s="87" t="s">
        <v>602</v>
      </c>
      <c r="C115" s="84" t="s">
        <v>603</v>
      </c>
      <c r="D115" s="97" t="s">
        <v>128</v>
      </c>
      <c r="E115" s="97" t="s">
        <v>357</v>
      </c>
      <c r="F115" s="84" t="s">
        <v>383</v>
      </c>
      <c r="G115" s="97" t="s">
        <v>365</v>
      </c>
      <c r="H115" s="84" t="s">
        <v>549</v>
      </c>
      <c r="I115" s="84" t="s">
        <v>168</v>
      </c>
      <c r="J115" s="84"/>
      <c r="K115" s="94">
        <v>4.7999999999999376</v>
      </c>
      <c r="L115" s="97" t="s">
        <v>170</v>
      </c>
      <c r="M115" s="98">
        <v>1.89E-2</v>
      </c>
      <c r="N115" s="98">
        <v>1.1499999999999972E-2</v>
      </c>
      <c r="O115" s="94">
        <f>35224372.909/50000</f>
        <v>704.48745818000009</v>
      </c>
      <c r="P115" s="96">
        <v>5134000</v>
      </c>
      <c r="Q115" s="84"/>
      <c r="R115" s="94">
        <v>36168.387688814</v>
      </c>
      <c r="S115" s="95">
        <f>161594.517428204%/50000</f>
        <v>3.2318903485640801E-2</v>
      </c>
      <c r="T115" s="95">
        <f t="shared" si="1"/>
        <v>6.868970491722237E-3</v>
      </c>
      <c r="U115" s="95">
        <f>R115/'סכום נכסי הקרן'!$C$42</f>
        <v>6.2245461456897171E-4</v>
      </c>
    </row>
    <row r="116" spans="2:21" s="132" customFormat="1">
      <c r="B116" s="87" t="s">
        <v>604</v>
      </c>
      <c r="C116" s="84" t="s">
        <v>605</v>
      </c>
      <c r="D116" s="97" t="s">
        <v>128</v>
      </c>
      <c r="E116" s="97" t="s">
        <v>357</v>
      </c>
      <c r="F116" s="84" t="s">
        <v>383</v>
      </c>
      <c r="G116" s="97" t="s">
        <v>365</v>
      </c>
      <c r="H116" s="84" t="s">
        <v>541</v>
      </c>
      <c r="I116" s="84" t="s">
        <v>361</v>
      </c>
      <c r="J116" s="84"/>
      <c r="K116" s="94">
        <v>1.9300000000000046</v>
      </c>
      <c r="L116" s="97" t="s">
        <v>170</v>
      </c>
      <c r="M116" s="98">
        <v>4.4999999999999998E-2</v>
      </c>
      <c r="N116" s="98">
        <v>9.9999999999935319E-5</v>
      </c>
      <c r="O116" s="94">
        <v>37052205.305321999</v>
      </c>
      <c r="P116" s="96">
        <v>132.18</v>
      </c>
      <c r="Q116" s="94">
        <v>505.61210256600003</v>
      </c>
      <c r="R116" s="94">
        <v>49481.216207932004</v>
      </c>
      <c r="S116" s="95">
        <v>2.1770004142683333E-2</v>
      </c>
      <c r="T116" s="95">
        <f t="shared" si="1"/>
        <v>9.3972951448961384E-3</v>
      </c>
      <c r="U116" s="95">
        <f>R116/'סכום נכסי הקרן'!$C$42</f>
        <v>8.5156716489847575E-4</v>
      </c>
    </row>
    <row r="117" spans="2:21" s="132" customFormat="1">
      <c r="B117" s="87" t="s">
        <v>606</v>
      </c>
      <c r="C117" s="84" t="s">
        <v>607</v>
      </c>
      <c r="D117" s="97" t="s">
        <v>128</v>
      </c>
      <c r="E117" s="97" t="s">
        <v>357</v>
      </c>
      <c r="F117" s="84" t="s">
        <v>516</v>
      </c>
      <c r="G117" s="97" t="s">
        <v>427</v>
      </c>
      <c r="H117" s="84" t="s">
        <v>541</v>
      </c>
      <c r="I117" s="84" t="s">
        <v>361</v>
      </c>
      <c r="J117" s="84"/>
      <c r="K117" s="94">
        <v>2.1999999999999997</v>
      </c>
      <c r="L117" s="97" t="s">
        <v>170</v>
      </c>
      <c r="M117" s="98">
        <v>4.9000000000000002E-2</v>
      </c>
      <c r="N117" s="98">
        <v>-1.3000000000005171E-3</v>
      </c>
      <c r="O117" s="94">
        <v>8286497.0981420008</v>
      </c>
      <c r="P117" s="96">
        <v>116.71</v>
      </c>
      <c r="Q117" s="84"/>
      <c r="R117" s="94">
        <v>9671.1711856500006</v>
      </c>
      <c r="S117" s="95">
        <v>1.5575811346424939E-2</v>
      </c>
      <c r="T117" s="95">
        <f t="shared" si="1"/>
        <v>1.8367141512135943E-3</v>
      </c>
      <c r="U117" s="95">
        <f>R117/'סכום נכסי הקרן'!$C$42</f>
        <v>1.6643996366628511E-4</v>
      </c>
    </row>
    <row r="118" spans="2:21" s="132" customFormat="1">
      <c r="B118" s="87" t="s">
        <v>608</v>
      </c>
      <c r="C118" s="84" t="s">
        <v>609</v>
      </c>
      <c r="D118" s="97" t="s">
        <v>128</v>
      </c>
      <c r="E118" s="97" t="s">
        <v>357</v>
      </c>
      <c r="F118" s="84" t="s">
        <v>516</v>
      </c>
      <c r="G118" s="97" t="s">
        <v>427</v>
      </c>
      <c r="H118" s="84" t="s">
        <v>541</v>
      </c>
      <c r="I118" s="84" t="s">
        <v>361</v>
      </c>
      <c r="J118" s="84"/>
      <c r="K118" s="94">
        <v>1.8600000000001886</v>
      </c>
      <c r="L118" s="97" t="s">
        <v>170</v>
      </c>
      <c r="M118" s="98">
        <v>5.8499999999999996E-2</v>
      </c>
      <c r="N118" s="98">
        <v>-1.199999999999646E-3</v>
      </c>
      <c r="O118" s="94">
        <v>5553684.2412839998</v>
      </c>
      <c r="P118" s="96">
        <v>122</v>
      </c>
      <c r="Q118" s="84"/>
      <c r="R118" s="94">
        <v>6775.4947637019995</v>
      </c>
      <c r="S118" s="95">
        <v>6.7319456876518691E-3</v>
      </c>
      <c r="T118" s="95">
        <f t="shared" si="1"/>
        <v>1.2867776689167005E-3</v>
      </c>
      <c r="U118" s="95">
        <f>R118/'סכום נכסי הקרן'!$C$42</f>
        <v>1.1660563965251249E-4</v>
      </c>
    </row>
    <row r="119" spans="2:21" s="132" customFormat="1">
      <c r="B119" s="87" t="s">
        <v>610</v>
      </c>
      <c r="C119" s="84" t="s">
        <v>611</v>
      </c>
      <c r="D119" s="97" t="s">
        <v>128</v>
      </c>
      <c r="E119" s="97" t="s">
        <v>357</v>
      </c>
      <c r="F119" s="84" t="s">
        <v>516</v>
      </c>
      <c r="G119" s="97" t="s">
        <v>427</v>
      </c>
      <c r="H119" s="84" t="s">
        <v>541</v>
      </c>
      <c r="I119" s="84" t="s">
        <v>361</v>
      </c>
      <c r="J119" s="84"/>
      <c r="K119" s="94">
        <v>6.6799999999999438</v>
      </c>
      <c r="L119" s="97" t="s">
        <v>170</v>
      </c>
      <c r="M119" s="98">
        <v>2.2499999999999999E-2</v>
      </c>
      <c r="N119" s="98">
        <v>9.2000000000002462E-3</v>
      </c>
      <c r="O119" s="94">
        <v>5743987.1057360005</v>
      </c>
      <c r="P119" s="96">
        <v>111.2</v>
      </c>
      <c r="Q119" s="94">
        <v>127.516034328</v>
      </c>
      <c r="R119" s="94">
        <v>6514.8296963020002</v>
      </c>
      <c r="S119" s="95">
        <v>1.4756906578988503E-2</v>
      </c>
      <c r="T119" s="95">
        <f t="shared" si="1"/>
        <v>1.2372730940487656E-3</v>
      </c>
      <c r="U119" s="95">
        <f>R119/'סכום נכסי הקרן'!$C$42</f>
        <v>1.1211961789627473E-4</v>
      </c>
    </row>
    <row r="120" spans="2:21" s="132" customFormat="1">
      <c r="B120" s="87" t="s">
        <v>612</v>
      </c>
      <c r="C120" s="84" t="s">
        <v>613</v>
      </c>
      <c r="D120" s="97" t="s">
        <v>128</v>
      </c>
      <c r="E120" s="97" t="s">
        <v>357</v>
      </c>
      <c r="F120" s="84" t="s">
        <v>614</v>
      </c>
      <c r="G120" s="97" t="s">
        <v>487</v>
      </c>
      <c r="H120" s="84" t="s">
        <v>549</v>
      </c>
      <c r="I120" s="84" t="s">
        <v>168</v>
      </c>
      <c r="J120" s="84"/>
      <c r="K120" s="94">
        <v>1.4699999999997788</v>
      </c>
      <c r="L120" s="97" t="s">
        <v>170</v>
      </c>
      <c r="M120" s="98">
        <v>4.0500000000000001E-2</v>
      </c>
      <c r="N120" s="98">
        <v>-1.1999999999998195E-3</v>
      </c>
      <c r="O120" s="94">
        <v>1687960.638978</v>
      </c>
      <c r="P120" s="96">
        <v>131.25</v>
      </c>
      <c r="Q120" s="84"/>
      <c r="R120" s="94">
        <v>2215.4484050670003</v>
      </c>
      <c r="S120" s="95">
        <v>1.5472931262814967E-2</v>
      </c>
      <c r="T120" s="95">
        <f t="shared" si="1"/>
        <v>4.207500165965327E-4</v>
      </c>
      <c r="U120" s="95">
        <f>R120/'סכום נכסי הקרן'!$C$42</f>
        <v>3.8127662613501539E-5</v>
      </c>
    </row>
    <row r="121" spans="2:21" s="132" customFormat="1">
      <c r="B121" s="87" t="s">
        <v>615</v>
      </c>
      <c r="C121" s="84" t="s">
        <v>616</v>
      </c>
      <c r="D121" s="97" t="s">
        <v>128</v>
      </c>
      <c r="E121" s="97" t="s">
        <v>357</v>
      </c>
      <c r="F121" s="84" t="s">
        <v>617</v>
      </c>
      <c r="G121" s="97" t="s">
        <v>427</v>
      </c>
      <c r="H121" s="84" t="s">
        <v>549</v>
      </c>
      <c r="I121" s="84" t="s">
        <v>168</v>
      </c>
      <c r="J121" s="84"/>
      <c r="K121" s="94">
        <v>7.2700000000001799</v>
      </c>
      <c r="L121" s="97" t="s">
        <v>170</v>
      </c>
      <c r="M121" s="98">
        <v>1.9599999999999999E-2</v>
      </c>
      <c r="N121" s="98">
        <v>5.599999999999967E-3</v>
      </c>
      <c r="O121" s="94">
        <v>10288216.407381</v>
      </c>
      <c r="P121" s="96">
        <v>112.38</v>
      </c>
      <c r="Q121" s="84"/>
      <c r="R121" s="94">
        <v>11561.897438758997</v>
      </c>
      <c r="S121" s="95">
        <v>1.0431000606337823E-2</v>
      </c>
      <c r="T121" s="95">
        <f t="shared" si="1"/>
        <v>2.1957941011486286E-3</v>
      </c>
      <c r="U121" s="95">
        <f>R121/'סכום נכסי הקרן'!$C$42</f>
        <v>1.9897918800938129E-4</v>
      </c>
    </row>
    <row r="122" spans="2:21" s="132" customFormat="1">
      <c r="B122" s="87" t="s">
        <v>618</v>
      </c>
      <c r="C122" s="84" t="s">
        <v>619</v>
      </c>
      <c r="D122" s="97" t="s">
        <v>128</v>
      </c>
      <c r="E122" s="97" t="s">
        <v>357</v>
      </c>
      <c r="F122" s="84" t="s">
        <v>617</v>
      </c>
      <c r="G122" s="97" t="s">
        <v>427</v>
      </c>
      <c r="H122" s="84" t="s">
        <v>549</v>
      </c>
      <c r="I122" s="84" t="s">
        <v>168</v>
      </c>
      <c r="J122" s="84"/>
      <c r="K122" s="94">
        <v>3.1300000000003418</v>
      </c>
      <c r="L122" s="97" t="s">
        <v>170</v>
      </c>
      <c r="M122" s="98">
        <v>2.75E-2</v>
      </c>
      <c r="N122" s="98">
        <v>5.9999999999953504E-4</v>
      </c>
      <c r="O122" s="94">
        <v>2695909.7783989999</v>
      </c>
      <c r="P122" s="96">
        <v>111.71</v>
      </c>
      <c r="Q122" s="84"/>
      <c r="R122" s="94">
        <v>3011.6009601690002</v>
      </c>
      <c r="S122" s="95">
        <v>6.0852349655204259E-3</v>
      </c>
      <c r="T122" s="95">
        <f t="shared" si="1"/>
        <v>5.7195245489588358E-4</v>
      </c>
      <c r="U122" s="95">
        <f>R122/'סכום נכסי הקרן'!$C$42</f>
        <v>5.1829374619242529E-5</v>
      </c>
    </row>
    <row r="123" spans="2:21" s="132" customFormat="1">
      <c r="B123" s="87" t="s">
        <v>620</v>
      </c>
      <c r="C123" s="84" t="s">
        <v>621</v>
      </c>
      <c r="D123" s="97" t="s">
        <v>128</v>
      </c>
      <c r="E123" s="97" t="s">
        <v>357</v>
      </c>
      <c r="F123" s="84" t="s">
        <v>405</v>
      </c>
      <c r="G123" s="97" t="s">
        <v>365</v>
      </c>
      <c r="H123" s="84" t="s">
        <v>549</v>
      </c>
      <c r="I123" s="84" t="s">
        <v>168</v>
      </c>
      <c r="J123" s="84"/>
      <c r="K123" s="94">
        <v>3.2500000000000395</v>
      </c>
      <c r="L123" s="97" t="s">
        <v>170</v>
      </c>
      <c r="M123" s="98">
        <v>1.4199999999999999E-2</v>
      </c>
      <c r="N123" s="98">
        <v>8.1000000000001297E-3</v>
      </c>
      <c r="O123" s="94">
        <f>30754718.907/50000</f>
        <v>615.09437814</v>
      </c>
      <c r="P123" s="96">
        <v>5225000</v>
      </c>
      <c r="Q123" s="84"/>
      <c r="R123" s="94">
        <v>32138.682492139</v>
      </c>
      <c r="S123" s="95">
        <f>145117.344911056%/50000</f>
        <v>2.9023468982211198E-2</v>
      </c>
      <c r="T123" s="95">
        <f t="shared" si="1"/>
        <v>6.1036633311030465E-3</v>
      </c>
      <c r="U123" s="95">
        <f>R123/'סכום נכסי הקרן'!$C$42</f>
        <v>5.531037599883381E-4</v>
      </c>
    </row>
    <row r="124" spans="2:21" s="132" customFormat="1">
      <c r="B124" s="87" t="s">
        <v>622</v>
      </c>
      <c r="C124" s="84" t="s">
        <v>623</v>
      </c>
      <c r="D124" s="97" t="s">
        <v>128</v>
      </c>
      <c r="E124" s="97" t="s">
        <v>357</v>
      </c>
      <c r="F124" s="84" t="s">
        <v>405</v>
      </c>
      <c r="G124" s="97" t="s">
        <v>365</v>
      </c>
      <c r="H124" s="84" t="s">
        <v>549</v>
      </c>
      <c r="I124" s="84" t="s">
        <v>168</v>
      </c>
      <c r="J124" s="84"/>
      <c r="K124" s="94">
        <v>3.9099999999999753</v>
      </c>
      <c r="L124" s="97" t="s">
        <v>170</v>
      </c>
      <c r="M124" s="98">
        <v>1.5900000000000001E-2</v>
      </c>
      <c r="N124" s="98">
        <v>7.7999999999999728E-3</v>
      </c>
      <c r="O124" s="94">
        <f>22435754.341/50000</f>
        <v>448.71508681999995</v>
      </c>
      <c r="P124" s="96">
        <v>5190000</v>
      </c>
      <c r="Q124" s="84"/>
      <c r="R124" s="94">
        <v>23288.312722827002</v>
      </c>
      <c r="S124" s="95">
        <f>149871.438483634%/50000</f>
        <v>2.99742876967268E-2</v>
      </c>
      <c r="T124" s="95">
        <f t="shared" si="1"/>
        <v>4.4228328415250881E-3</v>
      </c>
      <c r="U124" s="95">
        <f>R124/'סכום נכסי הקרן'!$C$42</f>
        <v>4.0078971295511181E-4</v>
      </c>
    </row>
    <row r="125" spans="2:21" s="132" customFormat="1">
      <c r="B125" s="87" t="s">
        <v>624</v>
      </c>
      <c r="C125" s="84" t="s">
        <v>625</v>
      </c>
      <c r="D125" s="97" t="s">
        <v>128</v>
      </c>
      <c r="E125" s="97" t="s">
        <v>357</v>
      </c>
      <c r="F125" s="84" t="s">
        <v>626</v>
      </c>
      <c r="G125" s="97" t="s">
        <v>491</v>
      </c>
      <c r="H125" s="84" t="s">
        <v>541</v>
      </c>
      <c r="I125" s="84" t="s">
        <v>361</v>
      </c>
      <c r="J125" s="84"/>
      <c r="K125" s="94">
        <v>4.7700000000001417</v>
      </c>
      <c r="L125" s="97" t="s">
        <v>170</v>
      </c>
      <c r="M125" s="98">
        <v>1.9400000000000001E-2</v>
      </c>
      <c r="N125" s="98">
        <v>1.1000000000002017E-3</v>
      </c>
      <c r="O125" s="94">
        <v>9412631.3131820001</v>
      </c>
      <c r="P125" s="96">
        <v>110.68</v>
      </c>
      <c r="Q125" s="84"/>
      <c r="R125" s="94">
        <v>10417.899471489</v>
      </c>
      <c r="S125" s="95">
        <v>1.7365669075674318E-2</v>
      </c>
      <c r="T125" s="95">
        <f t="shared" si="1"/>
        <v>1.9785301095276214E-3</v>
      </c>
      <c r="U125" s="95">
        <f>R125/'סכום נכסי הקרן'!$C$42</f>
        <v>1.7929108855879494E-4</v>
      </c>
    </row>
    <row r="126" spans="2:21" s="132" customFormat="1">
      <c r="B126" s="87" t="s">
        <v>627</v>
      </c>
      <c r="C126" s="84" t="s">
        <v>628</v>
      </c>
      <c r="D126" s="97" t="s">
        <v>128</v>
      </c>
      <c r="E126" s="97" t="s">
        <v>357</v>
      </c>
      <c r="F126" s="84" t="s">
        <v>626</v>
      </c>
      <c r="G126" s="97" t="s">
        <v>491</v>
      </c>
      <c r="H126" s="84" t="s">
        <v>541</v>
      </c>
      <c r="I126" s="84" t="s">
        <v>361</v>
      </c>
      <c r="J126" s="84"/>
      <c r="K126" s="94">
        <v>5.8000000000000762</v>
      </c>
      <c r="L126" s="97" t="s">
        <v>170</v>
      </c>
      <c r="M126" s="98">
        <v>1.23E-2</v>
      </c>
      <c r="N126" s="98">
        <v>3.0000000000000695E-3</v>
      </c>
      <c r="O126" s="94">
        <v>27096942.905163001</v>
      </c>
      <c r="P126" s="96">
        <v>106.86</v>
      </c>
      <c r="Q126" s="84"/>
      <c r="R126" s="94">
        <v>28955.793347695999</v>
      </c>
      <c r="S126" s="95">
        <v>1.8564877800658547E-2</v>
      </c>
      <c r="T126" s="95">
        <f t="shared" si="1"/>
        <v>5.4991804384812186E-3</v>
      </c>
      <c r="U126" s="95">
        <f>R126/'סכום נכסי הקרן'!$C$42</f>
        <v>4.9832653152391386E-4</v>
      </c>
    </row>
    <row r="127" spans="2:21" s="132" customFormat="1">
      <c r="B127" s="87" t="s">
        <v>629</v>
      </c>
      <c r="C127" s="84" t="s">
        <v>630</v>
      </c>
      <c r="D127" s="97" t="s">
        <v>128</v>
      </c>
      <c r="E127" s="97" t="s">
        <v>357</v>
      </c>
      <c r="F127" s="84" t="s">
        <v>631</v>
      </c>
      <c r="G127" s="97" t="s">
        <v>487</v>
      </c>
      <c r="H127" s="84" t="s">
        <v>549</v>
      </c>
      <c r="I127" s="84" t="s">
        <v>168</v>
      </c>
      <c r="J127" s="84"/>
      <c r="K127" s="94">
        <v>6.3899999999999331</v>
      </c>
      <c r="L127" s="97" t="s">
        <v>170</v>
      </c>
      <c r="M127" s="98">
        <v>2.2499999999999999E-2</v>
      </c>
      <c r="N127" s="98">
        <v>3.2999999999989513E-3</v>
      </c>
      <c r="O127" s="94">
        <v>4211300.2426990001</v>
      </c>
      <c r="P127" s="96">
        <v>115.5</v>
      </c>
      <c r="Q127" s="84"/>
      <c r="R127" s="94">
        <v>4864.0516181469993</v>
      </c>
      <c r="S127" s="95">
        <v>1.0293654741089594E-2</v>
      </c>
      <c r="T127" s="95">
        <f t="shared" si="1"/>
        <v>9.2376324105812309E-4</v>
      </c>
      <c r="U127" s="95">
        <f>R127/'סכום נכסי הקרן'!$C$42</f>
        <v>8.3709879502139162E-5</v>
      </c>
    </row>
    <row r="128" spans="2:21" s="132" customFormat="1">
      <c r="B128" s="87" t="s">
        <v>632</v>
      </c>
      <c r="C128" s="84" t="s">
        <v>633</v>
      </c>
      <c r="D128" s="97" t="s">
        <v>128</v>
      </c>
      <c r="E128" s="97" t="s">
        <v>357</v>
      </c>
      <c r="F128" s="84" t="s">
        <v>634</v>
      </c>
      <c r="G128" s="97" t="s">
        <v>164</v>
      </c>
      <c r="H128" s="84" t="s">
        <v>541</v>
      </c>
      <c r="I128" s="84" t="s">
        <v>361</v>
      </c>
      <c r="J128" s="84"/>
      <c r="K128" s="94">
        <v>1.7599999999999529</v>
      </c>
      <c r="L128" s="97" t="s">
        <v>170</v>
      </c>
      <c r="M128" s="98">
        <v>2.1499999999999998E-2</v>
      </c>
      <c r="N128" s="98">
        <v>1.6000000000003147E-3</v>
      </c>
      <c r="O128" s="94">
        <v>11229634.122910002</v>
      </c>
      <c r="P128" s="96">
        <v>104.71</v>
      </c>
      <c r="Q128" s="94">
        <v>939.91141193299995</v>
      </c>
      <c r="R128" s="94">
        <v>12698.461302035001</v>
      </c>
      <c r="S128" s="95">
        <v>1.595463793247227E-2</v>
      </c>
      <c r="T128" s="95">
        <f t="shared" si="1"/>
        <v>2.4116462343974441E-3</v>
      </c>
      <c r="U128" s="95">
        <f>R128/'סכום נכסי הקרן'!$C$42</f>
        <v>2.1853934721623714E-4</v>
      </c>
    </row>
    <row r="129" spans="2:21" s="132" customFormat="1">
      <c r="B129" s="87" t="s">
        <v>635</v>
      </c>
      <c r="C129" s="84" t="s">
        <v>636</v>
      </c>
      <c r="D129" s="97" t="s">
        <v>128</v>
      </c>
      <c r="E129" s="97" t="s">
        <v>357</v>
      </c>
      <c r="F129" s="84" t="s">
        <v>634</v>
      </c>
      <c r="G129" s="97" t="s">
        <v>164</v>
      </c>
      <c r="H129" s="84" t="s">
        <v>541</v>
      </c>
      <c r="I129" s="84" t="s">
        <v>361</v>
      </c>
      <c r="J129" s="84"/>
      <c r="K129" s="94">
        <v>3.2700000000001928</v>
      </c>
      <c r="L129" s="97" t="s">
        <v>170</v>
      </c>
      <c r="M129" s="98">
        <v>1.8000000000000002E-2</v>
      </c>
      <c r="N129" s="98">
        <v>3.2000000000004069E-3</v>
      </c>
      <c r="O129" s="94">
        <v>7406797.5533309998</v>
      </c>
      <c r="P129" s="96">
        <v>106.11</v>
      </c>
      <c r="Q129" s="84"/>
      <c r="R129" s="94">
        <v>7859.3529221240015</v>
      </c>
      <c r="S129" s="95">
        <v>1.0235115985282471E-2</v>
      </c>
      <c r="T129" s="95">
        <f t="shared" si="1"/>
        <v>1.492620123699823E-3</v>
      </c>
      <c r="U129" s="95">
        <f>R129/'סכום נכסי הקרן'!$C$42</f>
        <v>1.3525873854242115E-4</v>
      </c>
    </row>
    <row r="130" spans="2:21" s="132" customFormat="1">
      <c r="B130" s="87" t="s">
        <v>637</v>
      </c>
      <c r="C130" s="84" t="s">
        <v>638</v>
      </c>
      <c r="D130" s="97" t="s">
        <v>128</v>
      </c>
      <c r="E130" s="97" t="s">
        <v>357</v>
      </c>
      <c r="F130" s="84" t="s">
        <v>639</v>
      </c>
      <c r="G130" s="97" t="s">
        <v>365</v>
      </c>
      <c r="H130" s="84" t="s">
        <v>640</v>
      </c>
      <c r="I130" s="84" t="s">
        <v>168</v>
      </c>
      <c r="J130" s="84"/>
      <c r="K130" s="94">
        <v>1</v>
      </c>
      <c r="L130" s="97" t="s">
        <v>170</v>
      </c>
      <c r="M130" s="98">
        <v>4.1500000000000002E-2</v>
      </c>
      <c r="N130" s="98">
        <v>-4.6000000000060767E-3</v>
      </c>
      <c r="O130" s="94">
        <v>621229.72585100005</v>
      </c>
      <c r="P130" s="96">
        <v>111.29</v>
      </c>
      <c r="Q130" s="84"/>
      <c r="R130" s="94">
        <v>691.36654867299978</v>
      </c>
      <c r="S130" s="95">
        <v>3.0969079823101437E-3</v>
      </c>
      <c r="T130" s="95">
        <f t="shared" si="1"/>
        <v>1.3130185571604632E-4</v>
      </c>
      <c r="U130" s="95">
        <f>R130/'סכום נכסי הקרן'!$C$42</f>
        <v>1.1898354504567183E-5</v>
      </c>
    </row>
    <row r="131" spans="2:21" s="132" customFormat="1">
      <c r="B131" s="87" t="s">
        <v>641</v>
      </c>
      <c r="C131" s="84" t="s">
        <v>642</v>
      </c>
      <c r="D131" s="97" t="s">
        <v>128</v>
      </c>
      <c r="E131" s="97" t="s">
        <v>357</v>
      </c>
      <c r="F131" s="84" t="s">
        <v>643</v>
      </c>
      <c r="G131" s="97" t="s">
        <v>164</v>
      </c>
      <c r="H131" s="84" t="s">
        <v>644</v>
      </c>
      <c r="I131" s="84" t="s">
        <v>361</v>
      </c>
      <c r="J131" s="84"/>
      <c r="K131" s="94">
        <v>2.1699999999999076</v>
      </c>
      <c r="L131" s="97" t="s">
        <v>170</v>
      </c>
      <c r="M131" s="98">
        <v>3.15E-2</v>
      </c>
      <c r="N131" s="98">
        <v>1.7899999999999017E-2</v>
      </c>
      <c r="O131" s="94">
        <v>6635886.2607760001</v>
      </c>
      <c r="P131" s="96">
        <v>104.2</v>
      </c>
      <c r="Q131" s="84"/>
      <c r="R131" s="94">
        <v>6914.5937483919997</v>
      </c>
      <c r="S131" s="95">
        <v>1.3980499987940664E-2</v>
      </c>
      <c r="T131" s="95">
        <f t="shared" si="1"/>
        <v>1.3131948492866078E-3</v>
      </c>
      <c r="U131" s="95">
        <f>R131/'סכום נכסי הקרן'!$C$42</f>
        <v>1.1899952034321652E-4</v>
      </c>
    </row>
    <row r="132" spans="2:21" s="132" customFormat="1">
      <c r="B132" s="87" t="s">
        <v>645</v>
      </c>
      <c r="C132" s="84" t="s">
        <v>646</v>
      </c>
      <c r="D132" s="97" t="s">
        <v>128</v>
      </c>
      <c r="E132" s="97" t="s">
        <v>357</v>
      </c>
      <c r="F132" s="84" t="s">
        <v>643</v>
      </c>
      <c r="G132" s="97" t="s">
        <v>164</v>
      </c>
      <c r="H132" s="84" t="s">
        <v>644</v>
      </c>
      <c r="I132" s="84" t="s">
        <v>361</v>
      </c>
      <c r="J132" s="84"/>
      <c r="K132" s="94">
        <v>1.7899999999998359</v>
      </c>
      <c r="L132" s="97" t="s">
        <v>170</v>
      </c>
      <c r="M132" s="98">
        <v>2.8500000000000001E-2</v>
      </c>
      <c r="N132" s="98">
        <v>1.5699999999996939E-2</v>
      </c>
      <c r="O132" s="94">
        <v>3093823.56806</v>
      </c>
      <c r="P132" s="96">
        <v>104.54</v>
      </c>
      <c r="Q132" s="84"/>
      <c r="R132" s="94">
        <v>3234.283061007</v>
      </c>
      <c r="S132" s="95">
        <v>1.4144808710315811E-2</v>
      </c>
      <c r="T132" s="95">
        <f t="shared" si="1"/>
        <v>6.1424344095949526E-4</v>
      </c>
      <c r="U132" s="95">
        <f>R132/'סכום נכסי הקרן'!$C$42</f>
        <v>5.5661713025949957E-5</v>
      </c>
    </row>
    <row r="133" spans="2:21" s="132" customFormat="1">
      <c r="B133" s="87" t="s">
        <v>647</v>
      </c>
      <c r="C133" s="84" t="s">
        <v>648</v>
      </c>
      <c r="D133" s="97" t="s">
        <v>128</v>
      </c>
      <c r="E133" s="97" t="s">
        <v>357</v>
      </c>
      <c r="F133" s="84" t="s">
        <v>649</v>
      </c>
      <c r="G133" s="97" t="s">
        <v>427</v>
      </c>
      <c r="H133" s="84" t="s">
        <v>640</v>
      </c>
      <c r="I133" s="84" t="s">
        <v>168</v>
      </c>
      <c r="J133" s="84"/>
      <c r="K133" s="94">
        <v>4.8699999999996528</v>
      </c>
      <c r="L133" s="97" t="s">
        <v>170</v>
      </c>
      <c r="M133" s="98">
        <v>2.5000000000000001E-2</v>
      </c>
      <c r="N133" s="98">
        <v>6.4999999999983708E-3</v>
      </c>
      <c r="O133" s="94">
        <v>3308019.8880099999</v>
      </c>
      <c r="P133" s="96">
        <v>111.24</v>
      </c>
      <c r="Q133" s="84"/>
      <c r="R133" s="94">
        <v>3679.8413057439993</v>
      </c>
      <c r="S133" s="95">
        <v>1.464938829831966E-2</v>
      </c>
      <c r="T133" s="95">
        <f t="shared" si="1"/>
        <v>6.9886226504903433E-4</v>
      </c>
      <c r="U133" s="95">
        <f>R133/'סכום נכסי הקרן'!$C$42</f>
        <v>6.3329729302538665E-5</v>
      </c>
    </row>
    <row r="134" spans="2:21" s="132" customFormat="1">
      <c r="B134" s="87" t="s">
        <v>650</v>
      </c>
      <c r="C134" s="84" t="s">
        <v>651</v>
      </c>
      <c r="D134" s="97" t="s">
        <v>128</v>
      </c>
      <c r="E134" s="97" t="s">
        <v>357</v>
      </c>
      <c r="F134" s="84" t="s">
        <v>649</v>
      </c>
      <c r="G134" s="97" t="s">
        <v>427</v>
      </c>
      <c r="H134" s="84" t="s">
        <v>640</v>
      </c>
      <c r="I134" s="84" t="s">
        <v>168</v>
      </c>
      <c r="J134" s="84"/>
      <c r="K134" s="94">
        <v>7.260000000000403</v>
      </c>
      <c r="L134" s="97" t="s">
        <v>170</v>
      </c>
      <c r="M134" s="98">
        <v>1.9E-2</v>
      </c>
      <c r="N134" s="98">
        <v>1.2200000000000743E-2</v>
      </c>
      <c r="O134" s="94">
        <v>7342154.6291199997</v>
      </c>
      <c r="P134" s="96">
        <v>106.26</v>
      </c>
      <c r="Q134" s="84"/>
      <c r="R134" s="94">
        <v>7801.7735328110002</v>
      </c>
      <c r="S134" s="95">
        <v>3.1656387665392735E-2</v>
      </c>
      <c r="T134" s="95">
        <f t="shared" si="1"/>
        <v>1.48168485255848E-3</v>
      </c>
      <c r="U134" s="95">
        <f>R134/'סכום נכסי הקרן'!$C$42</f>
        <v>1.3426780256566966E-4</v>
      </c>
    </row>
    <row r="135" spans="2:21" s="132" customFormat="1">
      <c r="B135" s="87" t="s">
        <v>652</v>
      </c>
      <c r="C135" s="84" t="s">
        <v>653</v>
      </c>
      <c r="D135" s="97" t="s">
        <v>128</v>
      </c>
      <c r="E135" s="97" t="s">
        <v>357</v>
      </c>
      <c r="F135" s="84" t="s">
        <v>594</v>
      </c>
      <c r="G135" s="97" t="s">
        <v>427</v>
      </c>
      <c r="H135" s="84" t="s">
        <v>644</v>
      </c>
      <c r="I135" s="84" t="s">
        <v>361</v>
      </c>
      <c r="J135" s="84"/>
      <c r="K135" s="94">
        <v>6.5600000000016809</v>
      </c>
      <c r="L135" s="97" t="s">
        <v>170</v>
      </c>
      <c r="M135" s="98">
        <v>2.81E-2</v>
      </c>
      <c r="N135" s="98">
        <v>6.4999999999987637E-3</v>
      </c>
      <c r="O135" s="94">
        <v>1037736.88826</v>
      </c>
      <c r="P135" s="96">
        <v>116.91</v>
      </c>
      <c r="Q135" s="84"/>
      <c r="R135" s="94">
        <v>1213.2181953910001</v>
      </c>
      <c r="S135" s="95">
        <v>2.0865535847101697E-3</v>
      </c>
      <c r="T135" s="95">
        <f t="shared" si="1"/>
        <v>2.3041004912526555E-4</v>
      </c>
      <c r="U135" s="95">
        <f>R135/'סכום נכסי הקרן'!$C$42</f>
        <v>2.0879373189027306E-5</v>
      </c>
    </row>
    <row r="136" spans="2:21" s="132" customFormat="1">
      <c r="B136" s="87" t="s">
        <v>654</v>
      </c>
      <c r="C136" s="84" t="s">
        <v>655</v>
      </c>
      <c r="D136" s="97" t="s">
        <v>128</v>
      </c>
      <c r="E136" s="97" t="s">
        <v>357</v>
      </c>
      <c r="F136" s="84" t="s">
        <v>594</v>
      </c>
      <c r="G136" s="97" t="s">
        <v>427</v>
      </c>
      <c r="H136" s="84" t="s">
        <v>644</v>
      </c>
      <c r="I136" s="84" t="s">
        <v>361</v>
      </c>
      <c r="J136" s="84"/>
      <c r="K136" s="94">
        <v>4.4899999999996565</v>
      </c>
      <c r="L136" s="97" t="s">
        <v>170</v>
      </c>
      <c r="M136" s="98">
        <v>3.7000000000000005E-2</v>
      </c>
      <c r="N136" s="98">
        <v>4.0999999999989543E-3</v>
      </c>
      <c r="O136" s="94">
        <v>2882066.8414019998</v>
      </c>
      <c r="P136" s="96">
        <v>116.19</v>
      </c>
      <c r="Q136" s="84"/>
      <c r="R136" s="94">
        <v>3348.6734710350001</v>
      </c>
      <c r="S136" s="95">
        <v>4.5096937333375412E-3</v>
      </c>
      <c r="T136" s="95">
        <f t="shared" si="1"/>
        <v>6.3596805743338226E-4</v>
      </c>
      <c r="U136" s="95">
        <f>R136/'סכום נכסי הקרן'!$C$42</f>
        <v>5.7630361426784994E-5</v>
      </c>
    </row>
    <row r="137" spans="2:21" s="132" customFormat="1">
      <c r="B137" s="87" t="s">
        <v>656</v>
      </c>
      <c r="C137" s="84" t="s">
        <v>657</v>
      </c>
      <c r="D137" s="97" t="s">
        <v>128</v>
      </c>
      <c r="E137" s="97" t="s">
        <v>357</v>
      </c>
      <c r="F137" s="84" t="s">
        <v>594</v>
      </c>
      <c r="G137" s="97" t="s">
        <v>427</v>
      </c>
      <c r="H137" s="84" t="s">
        <v>640</v>
      </c>
      <c r="I137" s="84" t="s">
        <v>168</v>
      </c>
      <c r="J137" s="84"/>
      <c r="K137" s="94">
        <v>3.2900000000012448</v>
      </c>
      <c r="L137" s="97" t="s">
        <v>170</v>
      </c>
      <c r="M137" s="98">
        <v>4.4000000000000004E-2</v>
      </c>
      <c r="N137" s="98">
        <v>7.0000000000805399E-4</v>
      </c>
      <c r="O137" s="94">
        <v>236311.04845400003</v>
      </c>
      <c r="P137" s="96">
        <v>115.59</v>
      </c>
      <c r="Q137" s="84"/>
      <c r="R137" s="94">
        <v>273.15195975400002</v>
      </c>
      <c r="S137" s="95">
        <v>9.1098391089505879E-4</v>
      </c>
      <c r="T137" s="95">
        <f t="shared" si="1"/>
        <v>5.187604068639785E-5</v>
      </c>
      <c r="U137" s="95">
        <f>R137/'סכום נכסי הקרן'!$C$42</f>
        <v>4.7009200213815408E-6</v>
      </c>
    </row>
    <row r="138" spans="2:21" s="132" customFormat="1">
      <c r="B138" s="87" t="s">
        <v>658</v>
      </c>
      <c r="C138" s="84" t="s">
        <v>659</v>
      </c>
      <c r="D138" s="97" t="s">
        <v>128</v>
      </c>
      <c r="E138" s="97" t="s">
        <v>357</v>
      </c>
      <c r="F138" s="84" t="s">
        <v>594</v>
      </c>
      <c r="G138" s="97" t="s">
        <v>427</v>
      </c>
      <c r="H138" s="84" t="s">
        <v>640</v>
      </c>
      <c r="I138" s="84" t="s">
        <v>168</v>
      </c>
      <c r="J138" s="84"/>
      <c r="K138" s="94">
        <v>5.3100000000005076</v>
      </c>
      <c r="L138" s="97" t="s">
        <v>170</v>
      </c>
      <c r="M138" s="98">
        <v>2.4E-2</v>
      </c>
      <c r="N138" s="98">
        <v>4.0000000000019161E-3</v>
      </c>
      <c r="O138" s="94">
        <v>1846760.061396</v>
      </c>
      <c r="P138" s="96">
        <v>113.04</v>
      </c>
      <c r="Q138" s="84"/>
      <c r="R138" s="94">
        <v>2087.577593174</v>
      </c>
      <c r="S138" s="95">
        <v>3.7608373819435948E-3</v>
      </c>
      <c r="T138" s="95">
        <f t="shared" si="1"/>
        <v>3.9646525054053199E-4</v>
      </c>
      <c r="U138" s="95">
        <f>R138/'סכום נכסי הקרן'!$C$42</f>
        <v>3.5927017740517731E-5</v>
      </c>
    </row>
    <row r="139" spans="2:21" s="132" customFormat="1">
      <c r="B139" s="87" t="s">
        <v>660</v>
      </c>
      <c r="C139" s="84" t="s">
        <v>661</v>
      </c>
      <c r="D139" s="97" t="s">
        <v>128</v>
      </c>
      <c r="E139" s="97" t="s">
        <v>357</v>
      </c>
      <c r="F139" s="84" t="s">
        <v>594</v>
      </c>
      <c r="G139" s="97" t="s">
        <v>427</v>
      </c>
      <c r="H139" s="84" t="s">
        <v>640</v>
      </c>
      <c r="I139" s="84" t="s">
        <v>168</v>
      </c>
      <c r="J139" s="84"/>
      <c r="K139" s="94">
        <v>6.4100000000001716</v>
      </c>
      <c r="L139" s="97" t="s">
        <v>170</v>
      </c>
      <c r="M139" s="98">
        <v>2.6000000000000002E-2</v>
      </c>
      <c r="N139" s="98">
        <v>7.3999999999999153E-3</v>
      </c>
      <c r="O139" s="94">
        <v>12470125.046314999</v>
      </c>
      <c r="P139" s="96">
        <v>113.62</v>
      </c>
      <c r="Q139" s="84"/>
      <c r="R139" s="94">
        <v>14168.556053938</v>
      </c>
      <c r="S139" s="95">
        <v>2.119696739594892E-2</v>
      </c>
      <c r="T139" s="95">
        <f t="shared" si="1"/>
        <v>2.6908413579882174E-3</v>
      </c>
      <c r="U139" s="95">
        <f>R139/'סכום נכסי הקרן'!$C$42</f>
        <v>2.4383954223871688E-4</v>
      </c>
    </row>
    <row r="140" spans="2:21" s="132" customFormat="1">
      <c r="B140" s="87" t="s">
        <v>662</v>
      </c>
      <c r="C140" s="84" t="s">
        <v>663</v>
      </c>
      <c r="D140" s="97" t="s">
        <v>128</v>
      </c>
      <c r="E140" s="97" t="s">
        <v>357</v>
      </c>
      <c r="F140" s="84" t="s">
        <v>664</v>
      </c>
      <c r="G140" s="97" t="s">
        <v>427</v>
      </c>
      <c r="H140" s="84" t="s">
        <v>640</v>
      </c>
      <c r="I140" s="84" t="s">
        <v>168</v>
      </c>
      <c r="J140" s="84"/>
      <c r="K140" s="94">
        <v>0.50000000000019285</v>
      </c>
      <c r="L140" s="97" t="s">
        <v>170</v>
      </c>
      <c r="M140" s="98">
        <v>4.4999999999999998E-2</v>
      </c>
      <c r="N140" s="98">
        <v>-6.8999999999988827E-3</v>
      </c>
      <c r="O140" s="94">
        <v>2328502.2834490002</v>
      </c>
      <c r="P140" s="96">
        <v>111.38</v>
      </c>
      <c r="Q140" s="84"/>
      <c r="R140" s="94">
        <v>2593.4858329409999</v>
      </c>
      <c r="S140" s="95">
        <v>1.3401451991073383E-2</v>
      </c>
      <c r="T140" s="95">
        <f t="shared" ref="T140:T203" si="2">R140/$R$11</f>
        <v>4.9254552927392476E-4</v>
      </c>
      <c r="U140" s="95">
        <f>R140/'סכום נכסי הקרן'!$C$42</f>
        <v>4.4633651862580832E-5</v>
      </c>
    </row>
    <row r="141" spans="2:21" s="132" customFormat="1">
      <c r="B141" s="87" t="s">
        <v>665</v>
      </c>
      <c r="C141" s="84" t="s">
        <v>666</v>
      </c>
      <c r="D141" s="97" t="s">
        <v>128</v>
      </c>
      <c r="E141" s="97" t="s">
        <v>357</v>
      </c>
      <c r="F141" s="84" t="s">
        <v>664</v>
      </c>
      <c r="G141" s="97" t="s">
        <v>427</v>
      </c>
      <c r="H141" s="84" t="s">
        <v>640</v>
      </c>
      <c r="I141" s="84" t="s">
        <v>168</v>
      </c>
      <c r="J141" s="84"/>
      <c r="K141" s="94">
        <v>4.4700000000005415</v>
      </c>
      <c r="L141" s="97" t="s">
        <v>170</v>
      </c>
      <c r="M141" s="98">
        <v>1.6E-2</v>
      </c>
      <c r="N141" s="98">
        <v>1.3000000000006015E-3</v>
      </c>
      <c r="O141" s="94">
        <v>1525349.5308310003</v>
      </c>
      <c r="P141" s="96">
        <v>109.02</v>
      </c>
      <c r="Q141" s="84"/>
      <c r="R141" s="94">
        <v>1662.9361519299998</v>
      </c>
      <c r="S141" s="95">
        <v>9.6224222475176837E-3</v>
      </c>
      <c r="T141" s="95">
        <f t="shared" si="2"/>
        <v>3.1581887076370966E-4</v>
      </c>
      <c r="U141" s="95">
        <f>R141/'סכום נכסי הקרן'!$C$42</f>
        <v>2.8618977721877519E-5</v>
      </c>
    </row>
    <row r="142" spans="2:21" s="132" customFormat="1">
      <c r="B142" s="87" t="s">
        <v>667</v>
      </c>
      <c r="C142" s="84" t="s">
        <v>668</v>
      </c>
      <c r="D142" s="97" t="s">
        <v>128</v>
      </c>
      <c r="E142" s="97" t="s">
        <v>357</v>
      </c>
      <c r="F142" s="84" t="s">
        <v>639</v>
      </c>
      <c r="G142" s="97" t="s">
        <v>365</v>
      </c>
      <c r="H142" s="84" t="s">
        <v>669</v>
      </c>
      <c r="I142" s="84" t="s">
        <v>168</v>
      </c>
      <c r="J142" s="84"/>
      <c r="K142" s="94">
        <v>0.67999999999999994</v>
      </c>
      <c r="L142" s="97" t="s">
        <v>170</v>
      </c>
      <c r="M142" s="98">
        <v>5.2999999999999999E-2</v>
      </c>
      <c r="N142" s="98">
        <v>0</v>
      </c>
      <c r="O142" s="94">
        <v>6374479.2902229996</v>
      </c>
      <c r="P142" s="96">
        <v>114.06</v>
      </c>
      <c r="Q142" s="84"/>
      <c r="R142" s="94">
        <v>7270.7314316749998</v>
      </c>
      <c r="S142" s="95">
        <v>2.4516662270189917E-2</v>
      </c>
      <c r="T142" s="95">
        <f t="shared" si="2"/>
        <v>1.3808312410027316E-3</v>
      </c>
      <c r="U142" s="95">
        <f>R142/'סכום נכסי הקרן'!$C$42</f>
        <v>1.2512861700875481E-4</v>
      </c>
    </row>
    <row r="143" spans="2:21" s="132" customFormat="1">
      <c r="B143" s="87" t="s">
        <v>670</v>
      </c>
      <c r="C143" s="84" t="s">
        <v>671</v>
      </c>
      <c r="D143" s="97" t="s">
        <v>128</v>
      </c>
      <c r="E143" s="97" t="s">
        <v>357</v>
      </c>
      <c r="F143" s="84" t="s">
        <v>672</v>
      </c>
      <c r="G143" s="97" t="s">
        <v>673</v>
      </c>
      <c r="H143" s="84" t="s">
        <v>669</v>
      </c>
      <c r="I143" s="84" t="s">
        <v>168</v>
      </c>
      <c r="J143" s="84"/>
      <c r="K143" s="94">
        <v>1.469999990464173</v>
      </c>
      <c r="L143" s="97" t="s">
        <v>170</v>
      </c>
      <c r="M143" s="98">
        <v>5.3499999999999999E-2</v>
      </c>
      <c r="N143" s="98">
        <v>5.7999998569625956E-3</v>
      </c>
      <c r="O143" s="94">
        <v>30.595770000000002</v>
      </c>
      <c r="P143" s="96">
        <v>109.68</v>
      </c>
      <c r="Q143" s="84"/>
      <c r="R143" s="94">
        <v>3.3557655999999998E-2</v>
      </c>
      <c r="S143" s="95">
        <v>2.6045769424764357E-7</v>
      </c>
      <c r="T143" s="95">
        <f t="shared" si="2"/>
        <v>6.3731496913437401E-9</v>
      </c>
      <c r="U143" s="95">
        <f>R143/'סכום נכסי הקרן'!$C$42</f>
        <v>5.7752416311823393E-10</v>
      </c>
    </row>
    <row r="144" spans="2:21" s="132" customFormat="1">
      <c r="B144" s="87" t="s">
        <v>674</v>
      </c>
      <c r="C144" s="84" t="s">
        <v>675</v>
      </c>
      <c r="D144" s="97" t="s">
        <v>128</v>
      </c>
      <c r="E144" s="97" t="s">
        <v>357</v>
      </c>
      <c r="F144" s="84" t="s">
        <v>676</v>
      </c>
      <c r="G144" s="97" t="s">
        <v>427</v>
      </c>
      <c r="H144" s="84" t="s">
        <v>677</v>
      </c>
      <c r="I144" s="84" t="s">
        <v>361</v>
      </c>
      <c r="J144" s="84"/>
      <c r="K144" s="94">
        <v>0.41000000000249304</v>
      </c>
      <c r="L144" s="97" t="s">
        <v>170</v>
      </c>
      <c r="M144" s="98">
        <v>4.8499999999999995E-2</v>
      </c>
      <c r="N144" s="98">
        <v>3.4000000000317292E-3</v>
      </c>
      <c r="O144" s="94">
        <v>106238.151967</v>
      </c>
      <c r="P144" s="96">
        <v>124.6</v>
      </c>
      <c r="Q144" s="84"/>
      <c r="R144" s="94">
        <v>132.372729787</v>
      </c>
      <c r="S144" s="95">
        <v>1.5621890497053705E-3</v>
      </c>
      <c r="T144" s="95">
        <f t="shared" si="2"/>
        <v>2.5139754158763275E-5</v>
      </c>
      <c r="U144" s="95">
        <f>R144/'סכום נכסי הקרן'!$C$42</f>
        <v>2.2781224645104322E-6</v>
      </c>
    </row>
    <row r="145" spans="2:21" s="132" customFormat="1">
      <c r="B145" s="87" t="s">
        <v>678</v>
      </c>
      <c r="C145" s="84" t="s">
        <v>679</v>
      </c>
      <c r="D145" s="97" t="s">
        <v>128</v>
      </c>
      <c r="E145" s="97" t="s">
        <v>357</v>
      </c>
      <c r="F145" s="84" t="s">
        <v>680</v>
      </c>
      <c r="G145" s="97" t="s">
        <v>427</v>
      </c>
      <c r="H145" s="84" t="s">
        <v>677</v>
      </c>
      <c r="I145" s="84" t="s">
        <v>361</v>
      </c>
      <c r="J145" s="84"/>
      <c r="K145" s="94">
        <v>0.98999999999366073</v>
      </c>
      <c r="L145" s="97" t="s">
        <v>170</v>
      </c>
      <c r="M145" s="98">
        <v>4.2500000000000003E-2</v>
      </c>
      <c r="N145" s="98">
        <v>2.5999999999313226E-3</v>
      </c>
      <c r="O145" s="94">
        <v>49909.171287999998</v>
      </c>
      <c r="P145" s="96">
        <v>112.56</v>
      </c>
      <c r="Q145" s="94">
        <v>19.539027301000001</v>
      </c>
      <c r="R145" s="94">
        <v>75.716790951999997</v>
      </c>
      <c r="S145" s="95">
        <v>8.6452355043835501E-4</v>
      </c>
      <c r="T145" s="95">
        <f t="shared" si="2"/>
        <v>1.4379861420752311E-5</v>
      </c>
      <c r="U145" s="95">
        <f>R145/'סכום נכסי הקרן'!$C$42</f>
        <v>1.3030789852709637E-6</v>
      </c>
    </row>
    <row r="146" spans="2:21" s="132" customFormat="1">
      <c r="B146" s="87" t="s">
        <v>681</v>
      </c>
      <c r="C146" s="84" t="s">
        <v>682</v>
      </c>
      <c r="D146" s="97" t="s">
        <v>128</v>
      </c>
      <c r="E146" s="97" t="s">
        <v>357</v>
      </c>
      <c r="F146" s="84" t="s">
        <v>683</v>
      </c>
      <c r="G146" s="97" t="s">
        <v>491</v>
      </c>
      <c r="H146" s="84" t="s">
        <v>677</v>
      </c>
      <c r="I146" s="84" t="s">
        <v>361</v>
      </c>
      <c r="J146" s="84"/>
      <c r="K146" s="94">
        <v>0.50000000000033262</v>
      </c>
      <c r="L146" s="97" t="s">
        <v>170</v>
      </c>
      <c r="M146" s="98">
        <v>4.8000000000000001E-2</v>
      </c>
      <c r="N146" s="98">
        <v>-7.4000000000003993E-3</v>
      </c>
      <c r="O146" s="94">
        <v>1232051.5933920001</v>
      </c>
      <c r="P146" s="96">
        <v>122</v>
      </c>
      <c r="Q146" s="84"/>
      <c r="R146" s="94">
        <v>1503.1030211310001</v>
      </c>
      <c r="S146" s="95">
        <v>1.2044238212151507E-2</v>
      </c>
      <c r="T146" s="95">
        <f t="shared" si="2"/>
        <v>2.8546393571645399E-4</v>
      </c>
      <c r="U146" s="95">
        <f>R146/'סכום נכסי הקרן'!$C$42</f>
        <v>2.5868264289948318E-5</v>
      </c>
    </row>
    <row r="147" spans="2:21" s="132" customFormat="1">
      <c r="B147" s="87" t="s">
        <v>684</v>
      </c>
      <c r="C147" s="84" t="s">
        <v>685</v>
      </c>
      <c r="D147" s="97" t="s">
        <v>128</v>
      </c>
      <c r="E147" s="97" t="s">
        <v>357</v>
      </c>
      <c r="F147" s="84" t="s">
        <v>421</v>
      </c>
      <c r="G147" s="97" t="s">
        <v>365</v>
      </c>
      <c r="H147" s="84" t="s">
        <v>677</v>
      </c>
      <c r="I147" s="84" t="s">
        <v>361</v>
      </c>
      <c r="J147" s="84"/>
      <c r="K147" s="94">
        <v>1.92</v>
      </c>
      <c r="L147" s="97" t="s">
        <v>170</v>
      </c>
      <c r="M147" s="98">
        <v>5.0999999999999997E-2</v>
      </c>
      <c r="N147" s="98">
        <v>1.6999999999999999E-3</v>
      </c>
      <c r="O147" s="94">
        <v>34799920.249352001</v>
      </c>
      <c r="P147" s="96">
        <v>133.5</v>
      </c>
      <c r="Q147" s="94">
        <v>539.24074218999999</v>
      </c>
      <c r="R147" s="94">
        <v>46997.135356700004</v>
      </c>
      <c r="S147" s="95">
        <v>3.0333537692662785E-2</v>
      </c>
      <c r="T147" s="95">
        <f t="shared" si="2"/>
        <v>8.9255274174272672E-3</v>
      </c>
      <c r="U147" s="95">
        <f>R147/'סכום נכסי הקרן'!$C$42</f>
        <v>8.088163626754066E-4</v>
      </c>
    </row>
    <row r="148" spans="2:21" s="132" customFormat="1">
      <c r="B148" s="87" t="s">
        <v>686</v>
      </c>
      <c r="C148" s="84" t="s">
        <v>687</v>
      </c>
      <c r="D148" s="97" t="s">
        <v>128</v>
      </c>
      <c r="E148" s="97" t="s">
        <v>357</v>
      </c>
      <c r="F148" s="84" t="s">
        <v>585</v>
      </c>
      <c r="G148" s="97" t="s">
        <v>365</v>
      </c>
      <c r="H148" s="84" t="s">
        <v>677</v>
      </c>
      <c r="I148" s="84" t="s">
        <v>361</v>
      </c>
      <c r="J148" s="84"/>
      <c r="K148" s="94">
        <v>0.98999999999983124</v>
      </c>
      <c r="L148" s="97" t="s">
        <v>170</v>
      </c>
      <c r="M148" s="98">
        <v>2.4E-2</v>
      </c>
      <c r="N148" s="98">
        <v>3.9000000000018065E-3</v>
      </c>
      <c r="O148" s="94">
        <v>1643132.056873</v>
      </c>
      <c r="P148" s="96">
        <v>104.46</v>
      </c>
      <c r="Q148" s="84"/>
      <c r="R148" s="94">
        <v>1716.4157435709997</v>
      </c>
      <c r="S148" s="95">
        <v>1.8879187961807084E-2</v>
      </c>
      <c r="T148" s="95">
        <f t="shared" si="2"/>
        <v>3.2597552303286777E-4</v>
      </c>
      <c r="U148" s="95">
        <f>R148/'סכום נכסי הקרן'!$C$42</f>
        <v>2.9539356559016006E-5</v>
      </c>
    </row>
    <row r="149" spans="2:21" s="132" customFormat="1">
      <c r="B149" s="87" t="s">
        <v>688</v>
      </c>
      <c r="C149" s="84" t="s">
        <v>689</v>
      </c>
      <c r="D149" s="97" t="s">
        <v>128</v>
      </c>
      <c r="E149" s="97" t="s">
        <v>357</v>
      </c>
      <c r="F149" s="84" t="s">
        <v>597</v>
      </c>
      <c r="G149" s="97" t="s">
        <v>427</v>
      </c>
      <c r="H149" s="84" t="s">
        <v>677</v>
      </c>
      <c r="I149" s="84" t="s">
        <v>361</v>
      </c>
      <c r="J149" s="84"/>
      <c r="K149" s="94">
        <v>4.1399999999964452</v>
      </c>
      <c r="L149" s="97" t="s">
        <v>170</v>
      </c>
      <c r="M149" s="98">
        <v>2.0499999999999997E-2</v>
      </c>
      <c r="N149" s="98">
        <v>5.1999999999986198E-3</v>
      </c>
      <c r="O149" s="94">
        <v>534253.08077400003</v>
      </c>
      <c r="P149" s="96">
        <v>108.49</v>
      </c>
      <c r="Q149" s="84"/>
      <c r="R149" s="94">
        <v>579.61118217900002</v>
      </c>
      <c r="S149" s="95">
        <v>9.4170033520284526E-4</v>
      </c>
      <c r="T149" s="95">
        <f t="shared" si="2"/>
        <v>1.1007767726099446E-4</v>
      </c>
      <c r="U149" s="95">
        <f>R149/'סכום נכסי הקרן'!$C$42</f>
        <v>9.9750549597950838E-6</v>
      </c>
    </row>
    <row r="150" spans="2:21" s="132" customFormat="1">
      <c r="B150" s="87" t="s">
        <v>690</v>
      </c>
      <c r="C150" s="84" t="s">
        <v>691</v>
      </c>
      <c r="D150" s="97" t="s">
        <v>128</v>
      </c>
      <c r="E150" s="97" t="s">
        <v>357</v>
      </c>
      <c r="F150" s="84" t="s">
        <v>597</v>
      </c>
      <c r="G150" s="97" t="s">
        <v>427</v>
      </c>
      <c r="H150" s="84" t="s">
        <v>677</v>
      </c>
      <c r="I150" s="84" t="s">
        <v>361</v>
      </c>
      <c r="J150" s="84"/>
      <c r="K150" s="94">
        <v>5.0100000000001685</v>
      </c>
      <c r="L150" s="97" t="s">
        <v>170</v>
      </c>
      <c r="M150" s="98">
        <v>2.0499999999999997E-2</v>
      </c>
      <c r="N150" s="98">
        <v>6.600000000000281E-3</v>
      </c>
      <c r="O150" s="94">
        <v>6486827.4000000004</v>
      </c>
      <c r="P150" s="96">
        <v>109.94</v>
      </c>
      <c r="Q150" s="84"/>
      <c r="R150" s="94">
        <v>7131.6183782799999</v>
      </c>
      <c r="S150" s="95">
        <v>1.1345189053621306E-2</v>
      </c>
      <c r="T150" s="95">
        <f t="shared" si="2"/>
        <v>1.3544113887548202E-3</v>
      </c>
      <c r="U150" s="95">
        <f>R150/'סכום נכסי הקרן'!$C$42</f>
        <v>1.2273449419693597E-4</v>
      </c>
    </row>
    <row r="151" spans="2:21" s="132" customFormat="1">
      <c r="B151" s="87" t="s">
        <v>692</v>
      </c>
      <c r="C151" s="84" t="s">
        <v>693</v>
      </c>
      <c r="D151" s="97" t="s">
        <v>128</v>
      </c>
      <c r="E151" s="97" t="s">
        <v>357</v>
      </c>
      <c r="F151" s="84" t="s">
        <v>694</v>
      </c>
      <c r="G151" s="97" t="s">
        <v>197</v>
      </c>
      <c r="H151" s="84" t="s">
        <v>677</v>
      </c>
      <c r="I151" s="84" t="s">
        <v>361</v>
      </c>
      <c r="J151" s="84"/>
      <c r="K151" s="94">
        <v>1.0000000000822131E-2</v>
      </c>
      <c r="L151" s="97" t="s">
        <v>170</v>
      </c>
      <c r="M151" s="98">
        <v>4.5999999999999999E-2</v>
      </c>
      <c r="N151" s="98">
        <v>6.7699999999934229E-2</v>
      </c>
      <c r="O151" s="94">
        <v>458135.907267</v>
      </c>
      <c r="P151" s="96">
        <v>106.2</v>
      </c>
      <c r="Q151" s="84"/>
      <c r="R151" s="94">
        <v>486.54034146000004</v>
      </c>
      <c r="S151" s="95">
        <v>2.1364233604410734E-3</v>
      </c>
      <c r="T151" s="95">
        <f t="shared" si="2"/>
        <v>9.2401996939299856E-5</v>
      </c>
      <c r="U151" s="95">
        <f>R151/'סכום נכסי הקרן'!$C$42</f>
        <v>8.3733143794353899E-6</v>
      </c>
    </row>
    <row r="152" spans="2:21" s="132" customFormat="1">
      <c r="B152" s="87" t="s">
        <v>695</v>
      </c>
      <c r="C152" s="84" t="s">
        <v>696</v>
      </c>
      <c r="D152" s="97" t="s">
        <v>128</v>
      </c>
      <c r="E152" s="97" t="s">
        <v>357</v>
      </c>
      <c r="F152" s="84" t="s">
        <v>694</v>
      </c>
      <c r="G152" s="97" t="s">
        <v>197</v>
      </c>
      <c r="H152" s="84" t="s">
        <v>677</v>
      </c>
      <c r="I152" s="84" t="s">
        <v>361</v>
      </c>
      <c r="J152" s="84"/>
      <c r="K152" s="94">
        <v>2.5500000000000296</v>
      </c>
      <c r="L152" s="97" t="s">
        <v>170</v>
      </c>
      <c r="M152" s="98">
        <v>1.9799999999999998E-2</v>
      </c>
      <c r="N152" s="98">
        <v>1.8600000000000207E-2</v>
      </c>
      <c r="O152" s="94">
        <v>13267447.996332997</v>
      </c>
      <c r="P152" s="96">
        <v>100.99</v>
      </c>
      <c r="Q152" s="94">
        <v>132.251588285</v>
      </c>
      <c r="R152" s="94">
        <v>13531.047358052001</v>
      </c>
      <c r="S152" s="95">
        <v>1.838324873557912E-2</v>
      </c>
      <c r="T152" s="95">
        <f t="shared" si="2"/>
        <v>2.5697679925417512E-3</v>
      </c>
      <c r="U152" s="95">
        <f>R152/'סכום נכסי הקרן'!$C$42</f>
        <v>2.3286807641070557E-4</v>
      </c>
    </row>
    <row r="153" spans="2:21" s="132" customFormat="1">
      <c r="B153" s="87" t="s">
        <v>697</v>
      </c>
      <c r="C153" s="84" t="s">
        <v>698</v>
      </c>
      <c r="D153" s="97" t="s">
        <v>128</v>
      </c>
      <c r="E153" s="97" t="s">
        <v>357</v>
      </c>
      <c r="F153" s="84" t="s">
        <v>699</v>
      </c>
      <c r="G153" s="97" t="s">
        <v>427</v>
      </c>
      <c r="H153" s="84" t="s">
        <v>700</v>
      </c>
      <c r="I153" s="84" t="s">
        <v>168</v>
      </c>
      <c r="J153" s="84"/>
      <c r="K153" s="94">
        <v>3.3099967212548971</v>
      </c>
      <c r="L153" s="97" t="s">
        <v>170</v>
      </c>
      <c r="M153" s="98">
        <v>4.6500000000000007E-2</v>
      </c>
      <c r="N153" s="98">
        <v>8.7999792921361914E-3</v>
      </c>
      <c r="O153" s="94">
        <v>0.149197</v>
      </c>
      <c r="P153" s="96">
        <v>114.19</v>
      </c>
      <c r="Q153" s="94">
        <v>3.8920000000000002E-6</v>
      </c>
      <c r="R153" s="94">
        <v>1.7384699999999998E-4</v>
      </c>
      <c r="S153" s="95">
        <v>2.0819483632933401E-10</v>
      </c>
      <c r="T153" s="95">
        <f t="shared" si="2"/>
        <v>3.3016398832833708E-11</v>
      </c>
      <c r="U153" s="95">
        <f>R153/'סכום נכסי הקרן'!$C$42</f>
        <v>2.9918908277030911E-12</v>
      </c>
    </row>
    <row r="154" spans="2:21" s="132" customFormat="1">
      <c r="B154" s="87" t="s">
        <v>701</v>
      </c>
      <c r="C154" s="84" t="s">
        <v>702</v>
      </c>
      <c r="D154" s="97" t="s">
        <v>128</v>
      </c>
      <c r="E154" s="97" t="s">
        <v>357</v>
      </c>
      <c r="F154" s="84" t="s">
        <v>699</v>
      </c>
      <c r="G154" s="97" t="s">
        <v>427</v>
      </c>
      <c r="H154" s="84" t="s">
        <v>700</v>
      </c>
      <c r="I154" s="84" t="s">
        <v>168</v>
      </c>
      <c r="J154" s="84"/>
      <c r="K154" s="94">
        <v>0</v>
      </c>
      <c r="L154" s="97" t="s">
        <v>170</v>
      </c>
      <c r="M154" s="98">
        <v>5.5999999999999994E-2</v>
      </c>
      <c r="N154" s="98">
        <v>0</v>
      </c>
      <c r="O154" s="94">
        <v>1198013.8919009999</v>
      </c>
      <c r="P154" s="96">
        <v>109.44</v>
      </c>
      <c r="Q154" s="84"/>
      <c r="R154" s="94">
        <v>1311.106457721</v>
      </c>
      <c r="S154" s="95">
        <v>1.8923578250789788E-2</v>
      </c>
      <c r="T154" s="95">
        <f t="shared" si="2"/>
        <v>2.4900063688427392E-4</v>
      </c>
      <c r="U154" s="95">
        <f>R154/'סכום נכסי הקרן'!$C$42</f>
        <v>2.2564021150769073E-5</v>
      </c>
    </row>
    <row r="155" spans="2:21" s="132" customFormat="1">
      <c r="B155" s="87" t="s">
        <v>703</v>
      </c>
      <c r="C155" s="84" t="s">
        <v>704</v>
      </c>
      <c r="D155" s="97" t="s">
        <v>128</v>
      </c>
      <c r="E155" s="97" t="s">
        <v>357</v>
      </c>
      <c r="F155" s="84" t="s">
        <v>705</v>
      </c>
      <c r="G155" s="97" t="s">
        <v>427</v>
      </c>
      <c r="H155" s="84" t="s">
        <v>700</v>
      </c>
      <c r="I155" s="84" t="s">
        <v>168</v>
      </c>
      <c r="J155" s="84"/>
      <c r="K155" s="94">
        <v>1</v>
      </c>
      <c r="L155" s="97" t="s">
        <v>170</v>
      </c>
      <c r="M155" s="98">
        <v>4.8000000000000001E-2</v>
      </c>
      <c r="N155" s="98">
        <v>2.6999999999982242E-3</v>
      </c>
      <c r="O155" s="94">
        <v>1096773.3189050001</v>
      </c>
      <c r="P155" s="96">
        <v>105.13</v>
      </c>
      <c r="Q155" s="94">
        <v>930.25114034800004</v>
      </c>
      <c r="R155" s="94">
        <v>2083.2889297309998</v>
      </c>
      <c r="S155" s="95">
        <v>2.5360875253712556E-2</v>
      </c>
      <c r="T155" s="95">
        <f t="shared" si="2"/>
        <v>3.9565076295838283E-4</v>
      </c>
      <c r="U155" s="95">
        <f>R155/'סכום נכסי הקרן'!$C$42</f>
        <v>3.5853210238414057E-5</v>
      </c>
    </row>
    <row r="156" spans="2:21" s="132" customFormat="1">
      <c r="B156" s="87" t="s">
        <v>706</v>
      </c>
      <c r="C156" s="84" t="s">
        <v>707</v>
      </c>
      <c r="D156" s="97" t="s">
        <v>128</v>
      </c>
      <c r="E156" s="97" t="s">
        <v>357</v>
      </c>
      <c r="F156" s="84" t="s">
        <v>708</v>
      </c>
      <c r="G156" s="97" t="s">
        <v>427</v>
      </c>
      <c r="H156" s="84" t="s">
        <v>709</v>
      </c>
      <c r="I156" s="84" t="s">
        <v>361</v>
      </c>
      <c r="J156" s="84"/>
      <c r="K156" s="94">
        <v>0.61999999999960576</v>
      </c>
      <c r="L156" s="97" t="s">
        <v>170</v>
      </c>
      <c r="M156" s="98">
        <v>5.4000000000000006E-2</v>
      </c>
      <c r="N156" s="98">
        <v>1.8099999999992841E-2</v>
      </c>
      <c r="O156" s="94">
        <v>907366.59279200004</v>
      </c>
      <c r="P156" s="96">
        <v>106.24</v>
      </c>
      <c r="Q156" s="84"/>
      <c r="R156" s="94">
        <v>963.9862767489999</v>
      </c>
      <c r="S156" s="95">
        <v>2.5204627577555556E-2</v>
      </c>
      <c r="T156" s="95">
        <f t="shared" si="2"/>
        <v>1.8307681687071618E-4</v>
      </c>
      <c r="U156" s="95">
        <f>R156/'סכום נכסי הקרן'!$C$42</f>
        <v>1.6590114867883751E-5</v>
      </c>
    </row>
    <row r="157" spans="2:21" s="132" customFormat="1">
      <c r="B157" s="87" t="s">
        <v>710</v>
      </c>
      <c r="C157" s="84" t="s">
        <v>711</v>
      </c>
      <c r="D157" s="97" t="s">
        <v>128</v>
      </c>
      <c r="E157" s="97" t="s">
        <v>357</v>
      </c>
      <c r="F157" s="84" t="s">
        <v>708</v>
      </c>
      <c r="G157" s="97" t="s">
        <v>427</v>
      </c>
      <c r="H157" s="84" t="s">
        <v>709</v>
      </c>
      <c r="I157" s="84" t="s">
        <v>361</v>
      </c>
      <c r="J157" s="84"/>
      <c r="K157" s="94">
        <v>1.7599999999999871</v>
      </c>
      <c r="L157" s="97" t="s">
        <v>170</v>
      </c>
      <c r="M157" s="98">
        <v>2.5000000000000001E-2</v>
      </c>
      <c r="N157" s="98">
        <v>4.4000000000001302E-2</v>
      </c>
      <c r="O157" s="94">
        <v>3128839.8243300002</v>
      </c>
      <c r="P157" s="96">
        <v>98.1</v>
      </c>
      <c r="Q157" s="84"/>
      <c r="R157" s="94">
        <v>3069.3918083789999</v>
      </c>
      <c r="S157" s="95">
        <v>8.0329657141171469E-3</v>
      </c>
      <c r="T157" s="95">
        <f t="shared" si="2"/>
        <v>5.8292788555266279E-4</v>
      </c>
      <c r="U157" s="95">
        <f>R157/'סכום נכסי הקרן'!$C$42</f>
        <v>5.2823949784098286E-5</v>
      </c>
    </row>
    <row r="158" spans="2:21" s="132" customFormat="1">
      <c r="B158" s="87" t="s">
        <v>712</v>
      </c>
      <c r="C158" s="84" t="s">
        <v>713</v>
      </c>
      <c r="D158" s="97" t="s">
        <v>128</v>
      </c>
      <c r="E158" s="97" t="s">
        <v>357</v>
      </c>
      <c r="F158" s="84" t="s">
        <v>714</v>
      </c>
      <c r="G158" s="97" t="s">
        <v>715</v>
      </c>
      <c r="H158" s="84" t="s">
        <v>716</v>
      </c>
      <c r="I158" s="84" t="s">
        <v>361</v>
      </c>
      <c r="J158" s="84"/>
      <c r="K158" s="94">
        <v>0.37999999999991563</v>
      </c>
      <c r="L158" s="97" t="s">
        <v>170</v>
      </c>
      <c r="M158" s="98">
        <v>4.9000000000000002E-2</v>
      </c>
      <c r="N158" s="98">
        <v>0</v>
      </c>
      <c r="O158" s="94">
        <v>4863512.5147869997</v>
      </c>
      <c r="P158" s="96">
        <v>24.38</v>
      </c>
      <c r="Q158" s="84"/>
      <c r="R158" s="94">
        <v>1185.7242016950001</v>
      </c>
      <c r="S158" s="95">
        <v>6.7047908832622563E-3</v>
      </c>
      <c r="T158" s="95">
        <f t="shared" si="2"/>
        <v>2.2518848843468964E-4</v>
      </c>
      <c r="U158" s="95">
        <f>R158/'סכום נכסי הקרן'!$C$42</f>
        <v>2.0406204094616771E-5</v>
      </c>
    </row>
    <row r="159" spans="2:21" s="132" customFormat="1">
      <c r="B159" s="83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94"/>
      <c r="P159" s="96"/>
      <c r="Q159" s="84"/>
      <c r="R159" s="84"/>
      <c r="S159" s="84"/>
      <c r="T159" s="95"/>
      <c r="U159" s="84"/>
    </row>
    <row r="160" spans="2:21" s="132" customFormat="1">
      <c r="B160" s="102" t="s">
        <v>50</v>
      </c>
      <c r="C160" s="82"/>
      <c r="D160" s="82"/>
      <c r="E160" s="82"/>
      <c r="F160" s="82"/>
      <c r="G160" s="82"/>
      <c r="H160" s="82"/>
      <c r="I160" s="82"/>
      <c r="J160" s="82"/>
      <c r="K160" s="91">
        <v>4.5550828762105473</v>
      </c>
      <c r="L160" s="82"/>
      <c r="M160" s="82"/>
      <c r="N160" s="104">
        <v>1.7616378411944203E-2</v>
      </c>
      <c r="O160" s="91"/>
      <c r="P160" s="93"/>
      <c r="Q160" s="91">
        <v>1111.5975064940001</v>
      </c>
      <c r="R160" s="91">
        <f>SUM(R161:R241)</f>
        <v>648153.69571430818</v>
      </c>
      <c r="S160" s="82"/>
      <c r="T160" s="92">
        <f t="shared" si="2"/>
        <v>0.12309502564139009</v>
      </c>
      <c r="U160" s="92">
        <f>R160/'סכום נכסי הקרן'!$C$42</f>
        <v>1.1154665292754544E-2</v>
      </c>
    </row>
    <row r="161" spans="2:21" s="132" customFormat="1">
      <c r="B161" s="87" t="s">
        <v>717</v>
      </c>
      <c r="C161" s="84" t="s">
        <v>718</v>
      </c>
      <c r="D161" s="97" t="s">
        <v>128</v>
      </c>
      <c r="E161" s="97" t="s">
        <v>357</v>
      </c>
      <c r="F161" s="84" t="s">
        <v>372</v>
      </c>
      <c r="G161" s="97" t="s">
        <v>365</v>
      </c>
      <c r="H161" s="84" t="s">
        <v>373</v>
      </c>
      <c r="I161" s="84" t="s">
        <v>168</v>
      </c>
      <c r="J161" s="84"/>
      <c r="K161" s="94">
        <v>0.53000223532370272</v>
      </c>
      <c r="L161" s="97" t="s">
        <v>170</v>
      </c>
      <c r="M161" s="98">
        <v>1.95E-2</v>
      </c>
      <c r="N161" s="98">
        <v>4.1000027941546285E-3</v>
      </c>
      <c r="O161" s="94">
        <v>0.27835900000000002</v>
      </c>
      <c r="P161" s="96">
        <v>102.7</v>
      </c>
      <c r="Q161" s="84"/>
      <c r="R161" s="94">
        <v>2.8631199999999999E-4</v>
      </c>
      <c r="S161" s="95">
        <v>6.0954495070197729E-10</v>
      </c>
      <c r="T161" s="95">
        <f t="shared" si="2"/>
        <v>5.4375348338632737E-11</v>
      </c>
      <c r="U161" s="95">
        <f>R161/'סכום נכסי הקרן'!$C$42</f>
        <v>4.9274030996297175E-12</v>
      </c>
    </row>
    <row r="162" spans="2:21" s="132" customFormat="1">
      <c r="B162" s="87" t="s">
        <v>719</v>
      </c>
      <c r="C162" s="84" t="s">
        <v>720</v>
      </c>
      <c r="D162" s="97" t="s">
        <v>128</v>
      </c>
      <c r="E162" s="97" t="s">
        <v>357</v>
      </c>
      <c r="F162" s="84" t="s">
        <v>421</v>
      </c>
      <c r="G162" s="97" t="s">
        <v>365</v>
      </c>
      <c r="H162" s="84" t="s">
        <v>373</v>
      </c>
      <c r="I162" s="84" t="s">
        <v>168</v>
      </c>
      <c r="J162" s="84"/>
      <c r="K162" s="94">
        <v>2.8800000000000532</v>
      </c>
      <c r="L162" s="97" t="s">
        <v>170</v>
      </c>
      <c r="M162" s="98">
        <v>1.8700000000000001E-2</v>
      </c>
      <c r="N162" s="98">
        <v>6.7999999999999424E-3</v>
      </c>
      <c r="O162" s="94">
        <v>6594464.1440829989</v>
      </c>
      <c r="P162" s="96">
        <v>103.56</v>
      </c>
      <c r="Q162" s="84"/>
      <c r="R162" s="94">
        <v>6829.2271406279988</v>
      </c>
      <c r="S162" s="95">
        <v>4.7685929397547891E-3</v>
      </c>
      <c r="T162" s="95">
        <f t="shared" si="2"/>
        <v>1.2969823292607095E-3</v>
      </c>
      <c r="U162" s="95">
        <f>R162/'סכום נכסי הקרן'!$C$42</f>
        <v>1.1753036890107923E-4</v>
      </c>
    </row>
    <row r="163" spans="2:21" s="132" customFormat="1">
      <c r="B163" s="87" t="s">
        <v>721</v>
      </c>
      <c r="C163" s="84" t="s">
        <v>722</v>
      </c>
      <c r="D163" s="97" t="s">
        <v>128</v>
      </c>
      <c r="E163" s="97" t="s">
        <v>357</v>
      </c>
      <c r="F163" s="84" t="s">
        <v>421</v>
      </c>
      <c r="G163" s="97" t="s">
        <v>365</v>
      </c>
      <c r="H163" s="84" t="s">
        <v>373</v>
      </c>
      <c r="I163" s="84" t="s">
        <v>168</v>
      </c>
      <c r="J163" s="84"/>
      <c r="K163" s="94">
        <v>5.6000000000000414</v>
      </c>
      <c r="L163" s="97" t="s">
        <v>170</v>
      </c>
      <c r="M163" s="98">
        <v>2.6800000000000001E-2</v>
      </c>
      <c r="N163" s="98">
        <v>1.0900000000000028E-2</v>
      </c>
      <c r="O163" s="94">
        <v>53007574.369988002</v>
      </c>
      <c r="P163" s="96">
        <v>109.2</v>
      </c>
      <c r="Q163" s="84"/>
      <c r="R163" s="94">
        <v>57884.271800875998</v>
      </c>
      <c r="S163" s="95">
        <v>2.2009513029862562E-2</v>
      </c>
      <c r="T163" s="95">
        <f t="shared" si="2"/>
        <v>1.0993173330145885E-2</v>
      </c>
      <c r="U163" s="95">
        <f>R163/'סכום נכסי הקרן'!$C$42</f>
        <v>9.9618297623377803E-4</v>
      </c>
    </row>
    <row r="164" spans="2:21" s="132" customFormat="1">
      <c r="B164" s="87" t="s">
        <v>723</v>
      </c>
      <c r="C164" s="84" t="s">
        <v>724</v>
      </c>
      <c r="D164" s="97" t="s">
        <v>128</v>
      </c>
      <c r="E164" s="97" t="s">
        <v>357</v>
      </c>
      <c r="F164" s="84" t="s">
        <v>364</v>
      </c>
      <c r="G164" s="97" t="s">
        <v>365</v>
      </c>
      <c r="H164" s="84" t="s">
        <v>360</v>
      </c>
      <c r="I164" s="84" t="s">
        <v>361</v>
      </c>
      <c r="J164" s="84"/>
      <c r="K164" s="94">
        <v>0.24999999999984251</v>
      </c>
      <c r="L164" s="97" t="s">
        <v>170</v>
      </c>
      <c r="M164" s="98">
        <v>1.2E-2</v>
      </c>
      <c r="N164" s="98">
        <v>3.9999999999987407E-3</v>
      </c>
      <c r="O164" s="94">
        <v>3158434.0930059999</v>
      </c>
      <c r="P164" s="96">
        <v>100.2</v>
      </c>
      <c r="Q164" s="94">
        <v>9.5533159859999994</v>
      </c>
      <c r="R164" s="94">
        <v>3174.3042771459995</v>
      </c>
      <c r="S164" s="95">
        <v>1.0528113643353333E-2</v>
      </c>
      <c r="T164" s="95">
        <f t="shared" si="2"/>
        <v>6.0285248540971228E-4</v>
      </c>
      <c r="U164" s="95">
        <f>R164/'סכום נכסי הקרן'!$C$42</f>
        <v>5.462948369043934E-5</v>
      </c>
    </row>
    <row r="165" spans="2:21" s="132" customFormat="1">
      <c r="B165" s="87" t="s">
        <v>725</v>
      </c>
      <c r="C165" s="84" t="s">
        <v>726</v>
      </c>
      <c r="D165" s="97" t="s">
        <v>128</v>
      </c>
      <c r="E165" s="97" t="s">
        <v>357</v>
      </c>
      <c r="F165" s="84" t="s">
        <v>383</v>
      </c>
      <c r="G165" s="97" t="s">
        <v>365</v>
      </c>
      <c r="H165" s="84" t="s">
        <v>373</v>
      </c>
      <c r="I165" s="84" t="s">
        <v>168</v>
      </c>
      <c r="J165" s="84"/>
      <c r="K165" s="94">
        <v>5.0500000000000869</v>
      </c>
      <c r="L165" s="97" t="s">
        <v>170</v>
      </c>
      <c r="M165" s="98">
        <v>2.98E-2</v>
      </c>
      <c r="N165" s="98">
        <v>1.0200000000000349E-2</v>
      </c>
      <c r="O165" s="94">
        <v>12836315.979636002</v>
      </c>
      <c r="P165" s="96">
        <v>111.99</v>
      </c>
      <c r="Q165" s="84"/>
      <c r="R165" s="94">
        <v>14375.389837175</v>
      </c>
      <c r="S165" s="95">
        <v>5.0494710811746623E-3</v>
      </c>
      <c r="T165" s="95">
        <f t="shared" si="2"/>
        <v>2.7301224884043688E-3</v>
      </c>
      <c r="U165" s="95">
        <f>R165/'סכום נכסי הקרן'!$C$42</f>
        <v>2.473991325619661E-4</v>
      </c>
    </row>
    <row r="166" spans="2:21" s="132" customFormat="1">
      <c r="B166" s="87" t="s">
        <v>727</v>
      </c>
      <c r="C166" s="84" t="s">
        <v>728</v>
      </c>
      <c r="D166" s="97" t="s">
        <v>128</v>
      </c>
      <c r="E166" s="97" t="s">
        <v>357</v>
      </c>
      <c r="F166" s="84" t="s">
        <v>383</v>
      </c>
      <c r="G166" s="97" t="s">
        <v>365</v>
      </c>
      <c r="H166" s="84" t="s">
        <v>373</v>
      </c>
      <c r="I166" s="84" t="s">
        <v>168</v>
      </c>
      <c r="J166" s="84"/>
      <c r="K166" s="94">
        <v>2.3599999999999777</v>
      </c>
      <c r="L166" s="97" t="s">
        <v>170</v>
      </c>
      <c r="M166" s="98">
        <v>2.4700000000000003E-2</v>
      </c>
      <c r="N166" s="98">
        <v>6.9999999999998787E-3</v>
      </c>
      <c r="O166" s="94">
        <v>15469762.789839001</v>
      </c>
      <c r="P166" s="96">
        <v>105.65</v>
      </c>
      <c r="Q166" s="84"/>
      <c r="R166" s="94">
        <v>16343.804639976001</v>
      </c>
      <c r="S166" s="95">
        <v>4.6438591120514048E-3</v>
      </c>
      <c r="T166" s="95">
        <f t="shared" si="2"/>
        <v>3.103956769109423E-3</v>
      </c>
      <c r="U166" s="95">
        <f>R166/'סכום נכסי הקרן'!$C$42</f>
        <v>2.8127536967629825E-4</v>
      </c>
    </row>
    <row r="167" spans="2:21" s="132" customFormat="1">
      <c r="B167" s="87" t="s">
        <v>729</v>
      </c>
      <c r="C167" s="84" t="s">
        <v>730</v>
      </c>
      <c r="D167" s="97" t="s">
        <v>128</v>
      </c>
      <c r="E167" s="97" t="s">
        <v>357</v>
      </c>
      <c r="F167" s="84" t="s">
        <v>731</v>
      </c>
      <c r="G167" s="97" t="s">
        <v>365</v>
      </c>
      <c r="H167" s="84" t="s">
        <v>360</v>
      </c>
      <c r="I167" s="84" t="s">
        <v>361</v>
      </c>
      <c r="J167" s="84"/>
      <c r="K167" s="94">
        <v>2.1899999999999777</v>
      </c>
      <c r="L167" s="97" t="s">
        <v>170</v>
      </c>
      <c r="M167" s="98">
        <v>2.07E-2</v>
      </c>
      <c r="N167" s="98">
        <v>6.8000000000001592E-3</v>
      </c>
      <c r="O167" s="94">
        <v>4779222.5563030001</v>
      </c>
      <c r="P167" s="96">
        <v>104.65</v>
      </c>
      <c r="Q167" s="84"/>
      <c r="R167" s="94">
        <v>5001.4564191690006</v>
      </c>
      <c r="S167" s="95">
        <v>1.8855701054209095E-2</v>
      </c>
      <c r="T167" s="95">
        <f t="shared" si="2"/>
        <v>9.4985866814106703E-4</v>
      </c>
      <c r="U167" s="95">
        <f>R167/'סכום נכסי הקרן'!$C$42</f>
        <v>8.6074603448253243E-5</v>
      </c>
    </row>
    <row r="168" spans="2:21" s="132" customFormat="1">
      <c r="B168" s="87" t="s">
        <v>732</v>
      </c>
      <c r="C168" s="84" t="s">
        <v>733</v>
      </c>
      <c r="D168" s="97" t="s">
        <v>128</v>
      </c>
      <c r="E168" s="97" t="s">
        <v>357</v>
      </c>
      <c r="F168" s="84" t="s">
        <v>734</v>
      </c>
      <c r="G168" s="97" t="s">
        <v>427</v>
      </c>
      <c r="H168" s="84" t="s">
        <v>373</v>
      </c>
      <c r="I168" s="84" t="s">
        <v>168</v>
      </c>
      <c r="J168" s="84"/>
      <c r="K168" s="94">
        <v>4.11999999999985</v>
      </c>
      <c r="L168" s="97" t="s">
        <v>170</v>
      </c>
      <c r="M168" s="98">
        <v>1.44E-2</v>
      </c>
      <c r="N168" s="98">
        <v>8.7999999999995235E-3</v>
      </c>
      <c r="O168" s="94">
        <v>9831591.2874059994</v>
      </c>
      <c r="P168" s="96">
        <v>102.7</v>
      </c>
      <c r="Q168" s="84"/>
      <c r="R168" s="94">
        <v>10097.044252271</v>
      </c>
      <c r="S168" s="95">
        <v>1.1566577985183528E-2</v>
      </c>
      <c r="T168" s="95">
        <f t="shared" si="2"/>
        <v>1.9175944368654656E-3</v>
      </c>
      <c r="U168" s="95">
        <f>R168/'סכום נכסי הקרן'!$C$42</f>
        <v>1.7376919984401126E-4</v>
      </c>
    </row>
    <row r="169" spans="2:21" s="132" customFormat="1">
      <c r="B169" s="87" t="s">
        <v>735</v>
      </c>
      <c r="C169" s="84" t="s">
        <v>736</v>
      </c>
      <c r="D169" s="97" t="s">
        <v>128</v>
      </c>
      <c r="E169" s="97" t="s">
        <v>357</v>
      </c>
      <c r="F169" s="84" t="s">
        <v>737</v>
      </c>
      <c r="G169" s="97" t="s">
        <v>738</v>
      </c>
      <c r="H169" s="84" t="s">
        <v>416</v>
      </c>
      <c r="I169" s="84" t="s">
        <v>168</v>
      </c>
      <c r="J169" s="84"/>
      <c r="K169" s="94">
        <v>0.49999999999943801</v>
      </c>
      <c r="L169" s="97" t="s">
        <v>170</v>
      </c>
      <c r="M169" s="98">
        <v>4.8399999999999999E-2</v>
      </c>
      <c r="N169" s="98">
        <v>2.8000000000017989E-3</v>
      </c>
      <c r="O169" s="94">
        <v>869822.23825299996</v>
      </c>
      <c r="P169" s="96">
        <v>102.28</v>
      </c>
      <c r="Q169" s="84"/>
      <c r="R169" s="94">
        <v>889.65422365299992</v>
      </c>
      <c r="S169" s="95">
        <v>4.1420106583476193E-3</v>
      </c>
      <c r="T169" s="95">
        <f t="shared" si="2"/>
        <v>1.6895993989797056E-4</v>
      </c>
      <c r="U169" s="95">
        <f>R169/'סכום נכסי הקרן'!$C$42</f>
        <v>1.5310867093333364E-5</v>
      </c>
    </row>
    <row r="170" spans="2:21" s="132" customFormat="1">
      <c r="B170" s="87" t="s">
        <v>739</v>
      </c>
      <c r="C170" s="84" t="s">
        <v>740</v>
      </c>
      <c r="D170" s="97" t="s">
        <v>128</v>
      </c>
      <c r="E170" s="97" t="s">
        <v>357</v>
      </c>
      <c r="F170" s="84" t="s">
        <v>421</v>
      </c>
      <c r="G170" s="97" t="s">
        <v>365</v>
      </c>
      <c r="H170" s="84" t="s">
        <v>416</v>
      </c>
      <c r="I170" s="84" t="s">
        <v>168</v>
      </c>
      <c r="J170" s="84"/>
      <c r="K170" s="94">
        <v>1.4099999999999671</v>
      </c>
      <c r="L170" s="97" t="s">
        <v>170</v>
      </c>
      <c r="M170" s="98">
        <v>6.4000000000000001E-2</v>
      </c>
      <c r="N170" s="98">
        <v>5.9000000000003321E-3</v>
      </c>
      <c r="O170" s="94">
        <v>4990986.590291</v>
      </c>
      <c r="P170" s="96">
        <v>108.69</v>
      </c>
      <c r="Q170" s="84"/>
      <c r="R170" s="94">
        <v>5424.7032965980006</v>
      </c>
      <c r="S170" s="95">
        <v>2.0449666848141045E-2</v>
      </c>
      <c r="T170" s="95">
        <f t="shared" si="2"/>
        <v>1.0302401973589848E-3</v>
      </c>
      <c r="U170" s="95">
        <f>R170/'סכום נכסי הקרן'!$C$42</f>
        <v>9.3358643152325217E-5</v>
      </c>
    </row>
    <row r="171" spans="2:21" s="132" customFormat="1">
      <c r="B171" s="87" t="s">
        <v>741</v>
      </c>
      <c r="C171" s="84" t="s">
        <v>742</v>
      </c>
      <c r="D171" s="97" t="s">
        <v>128</v>
      </c>
      <c r="E171" s="97" t="s">
        <v>357</v>
      </c>
      <c r="F171" s="84" t="s">
        <v>433</v>
      </c>
      <c r="G171" s="97" t="s">
        <v>427</v>
      </c>
      <c r="H171" s="84" t="s">
        <v>416</v>
      </c>
      <c r="I171" s="84" t="s">
        <v>168</v>
      </c>
      <c r="J171" s="84"/>
      <c r="K171" s="94">
        <v>3.420000000000059</v>
      </c>
      <c r="L171" s="97" t="s">
        <v>170</v>
      </c>
      <c r="M171" s="98">
        <v>1.6299999999999999E-2</v>
      </c>
      <c r="N171" s="98">
        <v>6.9999999999997139E-3</v>
      </c>
      <c r="O171" s="94">
        <v>10174519.23811</v>
      </c>
      <c r="P171" s="96">
        <v>103.2</v>
      </c>
      <c r="Q171" s="84"/>
      <c r="R171" s="94">
        <v>10500.103853989</v>
      </c>
      <c r="S171" s="95">
        <v>1.2210805348897496E-2</v>
      </c>
      <c r="T171" s="95">
        <f t="shared" si="2"/>
        <v>1.9941420710709716E-3</v>
      </c>
      <c r="U171" s="95">
        <f>R171/'סכום נכסי הקרן'!$C$42</f>
        <v>1.8070581839594338E-4</v>
      </c>
    </row>
    <row r="172" spans="2:21" s="132" customFormat="1">
      <c r="B172" s="87" t="s">
        <v>743</v>
      </c>
      <c r="C172" s="84" t="s">
        <v>744</v>
      </c>
      <c r="D172" s="97" t="s">
        <v>128</v>
      </c>
      <c r="E172" s="97" t="s">
        <v>357</v>
      </c>
      <c r="F172" s="84" t="s">
        <v>405</v>
      </c>
      <c r="G172" s="97" t="s">
        <v>365</v>
      </c>
      <c r="H172" s="84" t="s">
        <v>416</v>
      </c>
      <c r="I172" s="84" t="s">
        <v>168</v>
      </c>
      <c r="J172" s="84"/>
      <c r="K172" s="94">
        <v>0.73000000000003096</v>
      </c>
      <c r="L172" s="97" t="s">
        <v>170</v>
      </c>
      <c r="M172" s="98">
        <v>6.0999999999999999E-2</v>
      </c>
      <c r="N172" s="98">
        <v>4.3000000000004727E-3</v>
      </c>
      <c r="O172" s="94">
        <v>5648860.1684500007</v>
      </c>
      <c r="P172" s="96">
        <v>108.81</v>
      </c>
      <c r="Q172" s="84"/>
      <c r="R172" s="94">
        <v>6146.5249382969996</v>
      </c>
      <c r="S172" s="95">
        <v>8.2440574744702278E-3</v>
      </c>
      <c r="T172" s="95">
        <f t="shared" si="2"/>
        <v>1.1673259751319976E-3</v>
      </c>
      <c r="U172" s="95">
        <f>R172/'סכום נכסי הקרן'!$C$42</f>
        <v>1.0578112699752715E-4</v>
      </c>
    </row>
    <row r="173" spans="2:21" s="132" customFormat="1">
      <c r="B173" s="87" t="s">
        <v>745</v>
      </c>
      <c r="C173" s="84" t="s">
        <v>746</v>
      </c>
      <c r="D173" s="97" t="s">
        <v>128</v>
      </c>
      <c r="E173" s="97" t="s">
        <v>357</v>
      </c>
      <c r="F173" s="84" t="s">
        <v>747</v>
      </c>
      <c r="G173" s="97" t="s">
        <v>748</v>
      </c>
      <c r="H173" s="84" t="s">
        <v>416</v>
      </c>
      <c r="I173" s="84" t="s">
        <v>168</v>
      </c>
      <c r="J173" s="84"/>
      <c r="K173" s="94">
        <v>4.9200000000002984</v>
      </c>
      <c r="L173" s="97" t="s">
        <v>170</v>
      </c>
      <c r="M173" s="98">
        <v>2.6099999999999998E-2</v>
      </c>
      <c r="N173" s="98">
        <v>1.0200000000000089E-2</v>
      </c>
      <c r="O173" s="94">
        <v>8312342.0637689997</v>
      </c>
      <c r="P173" s="96">
        <v>108.02</v>
      </c>
      <c r="Q173" s="84"/>
      <c r="R173" s="94">
        <v>8978.9918976460012</v>
      </c>
      <c r="S173" s="95">
        <v>1.3782418628329398E-2</v>
      </c>
      <c r="T173" s="95">
        <f t="shared" si="2"/>
        <v>1.7052579429582494E-3</v>
      </c>
      <c r="U173" s="95">
        <f>R173/'סכום נכסי הקרן'!$C$42</f>
        <v>1.5452762199282959E-4</v>
      </c>
    </row>
    <row r="174" spans="2:21" s="132" customFormat="1">
      <c r="B174" s="87" t="s">
        <v>749</v>
      </c>
      <c r="C174" s="84" t="s">
        <v>750</v>
      </c>
      <c r="D174" s="97" t="s">
        <v>128</v>
      </c>
      <c r="E174" s="97" t="s">
        <v>357</v>
      </c>
      <c r="F174" s="84" t="s">
        <v>464</v>
      </c>
      <c r="G174" s="97" t="s">
        <v>427</v>
      </c>
      <c r="H174" s="84" t="s">
        <v>465</v>
      </c>
      <c r="I174" s="84" t="s">
        <v>168</v>
      </c>
      <c r="J174" s="84"/>
      <c r="K174" s="94">
        <v>3.7499999999999276</v>
      </c>
      <c r="L174" s="97" t="s">
        <v>170</v>
      </c>
      <c r="M174" s="98">
        <v>3.39E-2</v>
      </c>
      <c r="N174" s="98">
        <v>1.1299999999999911E-2</v>
      </c>
      <c r="O174" s="94">
        <v>12348659.099461</v>
      </c>
      <c r="P174" s="96">
        <v>108.55</v>
      </c>
      <c r="Q174" s="94">
        <v>418.619542927</v>
      </c>
      <c r="R174" s="94">
        <v>13823.088994224001</v>
      </c>
      <c r="S174" s="95">
        <v>1.1379019821328147E-2</v>
      </c>
      <c r="T174" s="95">
        <f t="shared" si="2"/>
        <v>2.6252314928359643E-3</v>
      </c>
      <c r="U174" s="95">
        <f>R174/'סכום נכסי הקרן'!$C$42</f>
        <v>2.3789408602013461E-4</v>
      </c>
    </row>
    <row r="175" spans="2:21" s="132" customFormat="1">
      <c r="B175" s="87" t="s">
        <v>751</v>
      </c>
      <c r="C175" s="84" t="s">
        <v>752</v>
      </c>
      <c r="D175" s="97" t="s">
        <v>128</v>
      </c>
      <c r="E175" s="97" t="s">
        <v>357</v>
      </c>
      <c r="F175" s="84" t="s">
        <v>378</v>
      </c>
      <c r="G175" s="97" t="s">
        <v>365</v>
      </c>
      <c r="H175" s="84" t="s">
        <v>465</v>
      </c>
      <c r="I175" s="84" t="s">
        <v>168</v>
      </c>
      <c r="J175" s="84"/>
      <c r="K175" s="94">
        <v>1.0900000000000394</v>
      </c>
      <c r="L175" s="97" t="s">
        <v>170</v>
      </c>
      <c r="M175" s="98">
        <v>1.55E-2</v>
      </c>
      <c r="N175" s="98">
        <v>5.5999999999999427E-3</v>
      </c>
      <c r="O175" s="94">
        <v>20624348.397142</v>
      </c>
      <c r="P175" s="96">
        <v>101.32</v>
      </c>
      <c r="Q175" s="84"/>
      <c r="R175" s="94">
        <v>20896.590764302</v>
      </c>
      <c r="S175" s="95">
        <v>2.5457595570989894E-2</v>
      </c>
      <c r="T175" s="95">
        <f t="shared" si="2"/>
        <v>3.9686055837644847E-3</v>
      </c>
      <c r="U175" s="95">
        <f>R175/'סכום נכסי הקרן'!$C$42</f>
        <v>3.5962839875281307E-4</v>
      </c>
    </row>
    <row r="176" spans="2:21" s="132" customFormat="1">
      <c r="B176" s="87" t="s">
        <v>753</v>
      </c>
      <c r="C176" s="84" t="s">
        <v>754</v>
      </c>
      <c r="D176" s="97" t="s">
        <v>128</v>
      </c>
      <c r="E176" s="97" t="s">
        <v>357</v>
      </c>
      <c r="F176" s="84" t="s">
        <v>483</v>
      </c>
      <c r="G176" s="97" t="s">
        <v>427</v>
      </c>
      <c r="H176" s="84" t="s">
        <v>457</v>
      </c>
      <c r="I176" s="84" t="s">
        <v>361</v>
      </c>
      <c r="J176" s="84"/>
      <c r="K176" s="94">
        <v>6.6800000000000637</v>
      </c>
      <c r="L176" s="97" t="s">
        <v>170</v>
      </c>
      <c r="M176" s="98">
        <v>2.5499999999999998E-2</v>
      </c>
      <c r="N176" s="98">
        <v>1.630000000000011E-2</v>
      </c>
      <c r="O176" s="94">
        <v>36677063.484266996</v>
      </c>
      <c r="P176" s="96">
        <v>106.19</v>
      </c>
      <c r="Q176" s="84"/>
      <c r="R176" s="94">
        <v>38947.374936539003</v>
      </c>
      <c r="S176" s="95">
        <v>2.8161231106944001E-2</v>
      </c>
      <c r="T176" s="95">
        <f t="shared" si="2"/>
        <v>7.3967457844925904E-3</v>
      </c>
      <c r="U176" s="95">
        <f>R176/'סכום נכסי הקרן'!$C$42</f>
        <v>6.7028072866223937E-4</v>
      </c>
    </row>
    <row r="177" spans="2:21" s="132" customFormat="1">
      <c r="B177" s="87" t="s">
        <v>756</v>
      </c>
      <c r="C177" s="84" t="s">
        <v>757</v>
      </c>
      <c r="D177" s="97" t="s">
        <v>128</v>
      </c>
      <c r="E177" s="97" t="s">
        <v>357</v>
      </c>
      <c r="F177" s="84" t="s">
        <v>490</v>
      </c>
      <c r="G177" s="97" t="s">
        <v>491</v>
      </c>
      <c r="H177" s="84" t="s">
        <v>465</v>
      </c>
      <c r="I177" s="84" t="s">
        <v>168</v>
      </c>
      <c r="J177" s="84"/>
      <c r="K177" s="94">
        <v>2.6200000000000281</v>
      </c>
      <c r="L177" s="97" t="s">
        <v>170</v>
      </c>
      <c r="M177" s="98">
        <v>4.8000000000000001E-2</v>
      </c>
      <c r="N177" s="98">
        <v>7.8999999999999643E-3</v>
      </c>
      <c r="O177" s="94">
        <v>17149306.267565999</v>
      </c>
      <c r="P177" s="96">
        <v>112</v>
      </c>
      <c r="Q177" s="84"/>
      <c r="R177" s="94">
        <v>19207.223591033002</v>
      </c>
      <c r="S177" s="95">
        <v>8.6252391175535171E-3</v>
      </c>
      <c r="T177" s="95">
        <f t="shared" si="2"/>
        <v>3.6477670282084717E-3</v>
      </c>
      <c r="U177" s="95">
        <f>R177/'סכום נכסי הקרן'!$C$42</f>
        <v>3.3055454559269976E-4</v>
      </c>
    </row>
    <row r="178" spans="2:21" s="132" customFormat="1">
      <c r="B178" s="87" t="s">
        <v>758</v>
      </c>
      <c r="C178" s="84" t="s">
        <v>759</v>
      </c>
      <c r="D178" s="97" t="s">
        <v>128</v>
      </c>
      <c r="E178" s="97" t="s">
        <v>357</v>
      </c>
      <c r="F178" s="84" t="s">
        <v>490</v>
      </c>
      <c r="G178" s="97" t="s">
        <v>491</v>
      </c>
      <c r="H178" s="84" t="s">
        <v>465</v>
      </c>
      <c r="I178" s="84" t="s">
        <v>168</v>
      </c>
      <c r="J178" s="84"/>
      <c r="K178" s="94">
        <v>1.1300000000005268</v>
      </c>
      <c r="L178" s="97" t="s">
        <v>170</v>
      </c>
      <c r="M178" s="98">
        <v>4.4999999999999998E-2</v>
      </c>
      <c r="N178" s="98">
        <v>5.100000000001755E-3</v>
      </c>
      <c r="O178" s="94">
        <v>536689.74072400003</v>
      </c>
      <c r="P178" s="96">
        <v>106.14</v>
      </c>
      <c r="Q178" s="84"/>
      <c r="R178" s="94">
        <v>569.64249179000001</v>
      </c>
      <c r="S178" s="95">
        <v>8.9372621301298243E-4</v>
      </c>
      <c r="T178" s="95">
        <f t="shared" si="2"/>
        <v>1.0818445932957051E-4</v>
      </c>
      <c r="U178" s="95">
        <f>R178/'סכום נכסי הקרן'!$C$42</f>
        <v>9.8034947180936962E-6</v>
      </c>
    </row>
    <row r="179" spans="2:21" s="132" customFormat="1">
      <c r="B179" s="87" t="s">
        <v>760</v>
      </c>
      <c r="C179" s="84" t="s">
        <v>761</v>
      </c>
      <c r="D179" s="97" t="s">
        <v>128</v>
      </c>
      <c r="E179" s="97" t="s">
        <v>357</v>
      </c>
      <c r="F179" s="84" t="s">
        <v>762</v>
      </c>
      <c r="G179" s="97" t="s">
        <v>165</v>
      </c>
      <c r="H179" s="84" t="s">
        <v>465</v>
      </c>
      <c r="I179" s="84" t="s">
        <v>168</v>
      </c>
      <c r="J179" s="84"/>
      <c r="K179" s="94">
        <v>2.3800000000000154</v>
      </c>
      <c r="L179" s="97" t="s">
        <v>170</v>
      </c>
      <c r="M179" s="98">
        <v>1.49E-2</v>
      </c>
      <c r="N179" s="98">
        <v>8.5000000000005193E-3</v>
      </c>
      <c r="O179" s="94">
        <v>7594796.7209289996</v>
      </c>
      <c r="P179" s="96">
        <v>101.65</v>
      </c>
      <c r="Q179" s="84"/>
      <c r="R179" s="94">
        <v>7720.1106148759991</v>
      </c>
      <c r="S179" s="95">
        <v>7.0443968609893211E-3</v>
      </c>
      <c r="T179" s="95">
        <f t="shared" si="2"/>
        <v>1.4661757240236478E-3</v>
      </c>
      <c r="U179" s="95">
        <f>R179/'סכום נכסי הקרן'!$C$42</f>
        <v>1.3286239128371946E-4</v>
      </c>
    </row>
    <row r="180" spans="2:21" s="132" customFormat="1">
      <c r="B180" s="87" t="s">
        <v>763</v>
      </c>
      <c r="C180" s="84" t="s">
        <v>764</v>
      </c>
      <c r="D180" s="97" t="s">
        <v>128</v>
      </c>
      <c r="E180" s="97" t="s">
        <v>357</v>
      </c>
      <c r="F180" s="84" t="s">
        <v>378</v>
      </c>
      <c r="G180" s="97" t="s">
        <v>365</v>
      </c>
      <c r="H180" s="84" t="s">
        <v>457</v>
      </c>
      <c r="I180" s="84" t="s">
        <v>361</v>
      </c>
      <c r="J180" s="84"/>
      <c r="K180" s="94">
        <v>1.0399999999998004</v>
      </c>
      <c r="L180" s="97" t="s">
        <v>170</v>
      </c>
      <c r="M180" s="98">
        <v>3.2500000000000001E-2</v>
      </c>
      <c r="N180" s="98">
        <v>9.8000000000009971E-3</v>
      </c>
      <c r="O180" s="94">
        <f>1566764.837/50000</f>
        <v>31.33529674</v>
      </c>
      <c r="P180" s="96">
        <v>5119199</v>
      </c>
      <c r="Q180" s="84"/>
      <c r="R180" s="94">
        <v>1604.116163958</v>
      </c>
      <c r="S180" s="95">
        <f>8462.13792600594%/50000</f>
        <v>1.6924275852011879E-3</v>
      </c>
      <c r="T180" s="95">
        <f t="shared" si="2"/>
        <v>3.0464798957377813E-4</v>
      </c>
      <c r="U180" s="95">
        <f>R180/'סכום נכסי הקרן'!$C$42</f>
        <v>2.7606691156684951E-5</v>
      </c>
    </row>
    <row r="181" spans="2:21" s="132" customFormat="1">
      <c r="B181" s="87" t="s">
        <v>765</v>
      </c>
      <c r="C181" s="84" t="s">
        <v>766</v>
      </c>
      <c r="D181" s="97" t="s">
        <v>128</v>
      </c>
      <c r="E181" s="97" t="s">
        <v>357</v>
      </c>
      <c r="F181" s="84" t="s">
        <v>767</v>
      </c>
      <c r="G181" s="97" t="s">
        <v>427</v>
      </c>
      <c r="H181" s="84" t="s">
        <v>457</v>
      </c>
      <c r="I181" s="84" t="s">
        <v>361</v>
      </c>
      <c r="J181" s="84"/>
      <c r="K181" s="94">
        <v>3.3300000000001866</v>
      </c>
      <c r="L181" s="97" t="s">
        <v>170</v>
      </c>
      <c r="M181" s="98">
        <v>3.3799999999999997E-2</v>
      </c>
      <c r="N181" s="98">
        <v>1.9700000000000953E-2</v>
      </c>
      <c r="O181" s="94">
        <v>5425582.9563059993</v>
      </c>
      <c r="P181" s="96">
        <v>104.77</v>
      </c>
      <c r="Q181" s="84"/>
      <c r="R181" s="94">
        <v>5684.3832632179992</v>
      </c>
      <c r="S181" s="95">
        <v>6.6284553831397535E-3</v>
      </c>
      <c r="T181" s="95">
        <f t="shared" si="2"/>
        <v>1.0795576854193069E-3</v>
      </c>
      <c r="U181" s="95">
        <f>R181/'סכום נכסי הקרן'!$C$42</f>
        <v>9.7827711415042541E-5</v>
      </c>
    </row>
    <row r="182" spans="2:21" s="132" customFormat="1">
      <c r="B182" s="87" t="s">
        <v>768</v>
      </c>
      <c r="C182" s="84" t="s">
        <v>769</v>
      </c>
      <c r="D182" s="97" t="s">
        <v>128</v>
      </c>
      <c r="E182" s="97" t="s">
        <v>357</v>
      </c>
      <c r="F182" s="84" t="s">
        <v>631</v>
      </c>
      <c r="G182" s="97" t="s">
        <v>487</v>
      </c>
      <c r="H182" s="84" t="s">
        <v>465</v>
      </c>
      <c r="I182" s="84" t="s">
        <v>168</v>
      </c>
      <c r="J182" s="84"/>
      <c r="K182" s="94">
        <v>3.7799999999998617</v>
      </c>
      <c r="L182" s="97" t="s">
        <v>170</v>
      </c>
      <c r="M182" s="98">
        <v>3.85E-2</v>
      </c>
      <c r="N182" s="98">
        <v>1.1200000000002147E-2</v>
      </c>
      <c r="O182" s="94">
        <v>1158375.4727139999</v>
      </c>
      <c r="P182" s="96">
        <v>112.5</v>
      </c>
      <c r="Q182" s="84"/>
      <c r="R182" s="94">
        <v>1303.1723685310001</v>
      </c>
      <c r="S182" s="95">
        <v>2.9044268693105601E-3</v>
      </c>
      <c r="T182" s="95">
        <f t="shared" si="2"/>
        <v>2.4749382311657983E-4</v>
      </c>
      <c r="U182" s="95">
        <f>R182/'סכום נכסי הקרן'!$C$42</f>
        <v>2.2427476207953039E-5</v>
      </c>
    </row>
    <row r="183" spans="2:21" s="132" customFormat="1">
      <c r="B183" s="87" t="s">
        <v>770</v>
      </c>
      <c r="C183" s="84" t="s">
        <v>771</v>
      </c>
      <c r="D183" s="97" t="s">
        <v>128</v>
      </c>
      <c r="E183" s="97" t="s">
        <v>357</v>
      </c>
      <c r="F183" s="84" t="s">
        <v>536</v>
      </c>
      <c r="G183" s="97" t="s">
        <v>159</v>
      </c>
      <c r="H183" s="84" t="s">
        <v>457</v>
      </c>
      <c r="I183" s="84" t="s">
        <v>361</v>
      </c>
      <c r="J183" s="84"/>
      <c r="K183" s="94">
        <v>4.8299999999997549</v>
      </c>
      <c r="L183" s="97" t="s">
        <v>170</v>
      </c>
      <c r="M183" s="98">
        <v>5.0900000000000001E-2</v>
      </c>
      <c r="N183" s="98">
        <v>1.369999999999918E-2</v>
      </c>
      <c r="O183" s="94">
        <v>7628077.5977809997</v>
      </c>
      <c r="P183" s="96">
        <v>119.75</v>
      </c>
      <c r="Q183" s="84"/>
      <c r="R183" s="94">
        <v>9134.6227539749998</v>
      </c>
      <c r="S183" s="95">
        <v>7.3884609718641242E-3</v>
      </c>
      <c r="T183" s="95">
        <f t="shared" si="2"/>
        <v>1.7348147971073212E-3</v>
      </c>
      <c r="U183" s="95">
        <f>R183/'סכום נכסי הקרן'!$C$42</f>
        <v>1.5720601466890862E-4</v>
      </c>
    </row>
    <row r="184" spans="2:21" s="132" customFormat="1">
      <c r="B184" s="87" t="s">
        <v>772</v>
      </c>
      <c r="C184" s="84" t="s">
        <v>773</v>
      </c>
      <c r="D184" s="97" t="s">
        <v>128</v>
      </c>
      <c r="E184" s="97" t="s">
        <v>357</v>
      </c>
      <c r="F184" s="84" t="s">
        <v>774</v>
      </c>
      <c r="G184" s="97" t="s">
        <v>738</v>
      </c>
      <c r="H184" s="84" t="s">
        <v>457</v>
      </c>
      <c r="I184" s="84" t="s">
        <v>361</v>
      </c>
      <c r="J184" s="84"/>
      <c r="K184" s="94">
        <v>0.98999999999035537</v>
      </c>
      <c r="L184" s="97" t="s">
        <v>170</v>
      </c>
      <c r="M184" s="98">
        <v>4.0999999999999995E-2</v>
      </c>
      <c r="N184" s="98">
        <v>3.9999999999010801E-3</v>
      </c>
      <c r="O184" s="94">
        <v>19460.482199999999</v>
      </c>
      <c r="P184" s="96">
        <v>103.69</v>
      </c>
      <c r="Q184" s="94">
        <v>20.258363267</v>
      </c>
      <c r="R184" s="94">
        <v>40.436937260999997</v>
      </c>
      <c r="S184" s="95">
        <v>1.2973655232333334E-4</v>
      </c>
      <c r="T184" s="95">
        <f t="shared" si="2"/>
        <v>7.679638119653779E-6</v>
      </c>
      <c r="U184" s="95">
        <f>R184/'סכום נכסי הקרן'!$C$42</f>
        <v>6.9591595881200861E-7</v>
      </c>
    </row>
    <row r="185" spans="2:21" s="132" customFormat="1">
      <c r="B185" s="87" t="s">
        <v>775</v>
      </c>
      <c r="C185" s="84" t="s">
        <v>776</v>
      </c>
      <c r="D185" s="97" t="s">
        <v>128</v>
      </c>
      <c r="E185" s="97" t="s">
        <v>357</v>
      </c>
      <c r="F185" s="84" t="s">
        <v>774</v>
      </c>
      <c r="G185" s="97" t="s">
        <v>738</v>
      </c>
      <c r="H185" s="84" t="s">
        <v>457</v>
      </c>
      <c r="I185" s="84" t="s">
        <v>361</v>
      </c>
      <c r="J185" s="84"/>
      <c r="K185" s="94">
        <v>2.8699999999995094</v>
      </c>
      <c r="L185" s="97" t="s">
        <v>170</v>
      </c>
      <c r="M185" s="98">
        <v>1.2E-2</v>
      </c>
      <c r="N185" s="98">
        <v>8.3999999999979369E-3</v>
      </c>
      <c r="O185" s="94">
        <v>1916425.6037320001</v>
      </c>
      <c r="P185" s="96">
        <v>101.13</v>
      </c>
      <c r="Q185" s="84"/>
      <c r="R185" s="94">
        <v>1938.081149185</v>
      </c>
      <c r="S185" s="95">
        <v>4.1360930019985242E-3</v>
      </c>
      <c r="T185" s="95">
        <f t="shared" si="2"/>
        <v>3.6807342198535872E-4</v>
      </c>
      <c r="U185" s="95">
        <f>R185/'סכום נכסי הקרן'!$C$42</f>
        <v>3.3354197734737261E-5</v>
      </c>
    </row>
    <row r="186" spans="2:21" s="132" customFormat="1">
      <c r="B186" s="87" t="s">
        <v>777</v>
      </c>
      <c r="C186" s="84" t="s">
        <v>778</v>
      </c>
      <c r="D186" s="97" t="s">
        <v>128</v>
      </c>
      <c r="E186" s="97" t="s">
        <v>357</v>
      </c>
      <c r="F186" s="84" t="s">
        <v>544</v>
      </c>
      <c r="G186" s="97" t="s">
        <v>197</v>
      </c>
      <c r="H186" s="84" t="s">
        <v>541</v>
      </c>
      <c r="I186" s="84" t="s">
        <v>361</v>
      </c>
      <c r="J186" s="84"/>
      <c r="K186" s="94">
        <v>4.3800000000000905</v>
      </c>
      <c r="L186" s="97" t="s">
        <v>170</v>
      </c>
      <c r="M186" s="98">
        <v>3.6499999999999998E-2</v>
      </c>
      <c r="N186" s="98">
        <v>1.7600000000000494E-2</v>
      </c>
      <c r="O186" s="94">
        <v>20805245.370972998</v>
      </c>
      <c r="P186" s="96">
        <v>108.86</v>
      </c>
      <c r="Q186" s="84"/>
      <c r="R186" s="94">
        <v>22648.589418463001</v>
      </c>
      <c r="S186" s="95">
        <v>9.699559793420227E-3</v>
      </c>
      <c r="T186" s="95">
        <f t="shared" si="2"/>
        <v>4.3013388855779617E-3</v>
      </c>
      <c r="U186" s="95">
        <f>R186/'סכום נכסי הקרן'!$C$42</f>
        <v>3.8978013391955426E-4</v>
      </c>
    </row>
    <row r="187" spans="2:21" s="132" customFormat="1">
      <c r="B187" s="87" t="s">
        <v>779</v>
      </c>
      <c r="C187" s="84" t="s">
        <v>780</v>
      </c>
      <c r="D187" s="97" t="s">
        <v>128</v>
      </c>
      <c r="E187" s="97" t="s">
        <v>357</v>
      </c>
      <c r="F187" s="84" t="s">
        <v>474</v>
      </c>
      <c r="G187" s="97" t="s">
        <v>427</v>
      </c>
      <c r="H187" s="84" t="s">
        <v>549</v>
      </c>
      <c r="I187" s="84" t="s">
        <v>168</v>
      </c>
      <c r="J187" s="84"/>
      <c r="K187" s="94">
        <v>2.9799999999997007</v>
      </c>
      <c r="L187" s="97" t="s">
        <v>170</v>
      </c>
      <c r="M187" s="98">
        <v>3.5000000000000003E-2</v>
      </c>
      <c r="N187" s="98">
        <v>6.5000000000004421E-3</v>
      </c>
      <c r="O187" s="94">
        <v>3080197.4979989999</v>
      </c>
      <c r="P187" s="96">
        <v>108.73</v>
      </c>
      <c r="Q187" s="94">
        <v>53.903456016999996</v>
      </c>
      <c r="R187" s="94">
        <v>3403.0020594489997</v>
      </c>
      <c r="S187" s="95">
        <v>2.1614093857387703E-2</v>
      </c>
      <c r="T187" s="95">
        <f t="shared" si="2"/>
        <v>6.4628594812520597E-4</v>
      </c>
      <c r="U187" s="95">
        <f>R187/'סכום נכסי הקרן'!$C$42</f>
        <v>5.8565351420042872E-5</v>
      </c>
    </row>
    <row r="188" spans="2:21" s="132" customFormat="1">
      <c r="B188" s="87" t="s">
        <v>781</v>
      </c>
      <c r="C188" s="84" t="s">
        <v>782</v>
      </c>
      <c r="D188" s="97" t="s">
        <v>128</v>
      </c>
      <c r="E188" s="97" t="s">
        <v>357</v>
      </c>
      <c r="F188" s="84" t="s">
        <v>755</v>
      </c>
      <c r="G188" s="97" t="s">
        <v>427</v>
      </c>
      <c r="H188" s="84" t="s">
        <v>549</v>
      </c>
      <c r="I188" s="84" t="s">
        <v>168</v>
      </c>
      <c r="J188" s="84"/>
      <c r="K188" s="94">
        <v>3.4899999999999389</v>
      </c>
      <c r="L188" s="97" t="s">
        <v>170</v>
      </c>
      <c r="M188" s="98">
        <v>4.3499999999999997E-2</v>
      </c>
      <c r="N188" s="98">
        <v>8.6799999999997379E-2</v>
      </c>
      <c r="O188" s="94">
        <v>8890213.9186460003</v>
      </c>
      <c r="P188" s="96">
        <v>87</v>
      </c>
      <c r="Q188" s="84"/>
      <c r="R188" s="94">
        <v>7734.4864052029989</v>
      </c>
      <c r="S188" s="95">
        <v>5.3313293798053531E-3</v>
      </c>
      <c r="T188" s="95">
        <f t="shared" si="2"/>
        <v>1.4689059225716436E-3</v>
      </c>
      <c r="U188" s="95">
        <f>R188/'סכום נכסי הקרן'!$C$42</f>
        <v>1.3310979730867434E-4</v>
      </c>
    </row>
    <row r="189" spans="2:21" s="132" customFormat="1">
      <c r="B189" s="87" t="s">
        <v>783</v>
      </c>
      <c r="C189" s="84" t="s">
        <v>784</v>
      </c>
      <c r="D189" s="97" t="s">
        <v>128</v>
      </c>
      <c r="E189" s="97" t="s">
        <v>357</v>
      </c>
      <c r="F189" s="84" t="s">
        <v>421</v>
      </c>
      <c r="G189" s="97" t="s">
        <v>365</v>
      </c>
      <c r="H189" s="84" t="s">
        <v>549</v>
      </c>
      <c r="I189" s="84" t="s">
        <v>168</v>
      </c>
      <c r="J189" s="84"/>
      <c r="K189" s="94">
        <v>1.9300000000000097</v>
      </c>
      <c r="L189" s="97" t="s">
        <v>170</v>
      </c>
      <c r="M189" s="98">
        <v>3.6000000000000004E-2</v>
      </c>
      <c r="N189" s="98">
        <v>1.2999999999999949E-2</v>
      </c>
      <c r="O189" s="94">
        <f>17759319.193/50000</f>
        <v>355.18638385999998</v>
      </c>
      <c r="P189" s="96">
        <v>5403933</v>
      </c>
      <c r="Q189" s="84"/>
      <c r="R189" s="94">
        <v>19194.034208917001</v>
      </c>
      <c r="S189" s="95">
        <f>113253.741425929%/50000</f>
        <v>2.26507482851858E-2</v>
      </c>
      <c r="T189" s="95">
        <f t="shared" si="2"/>
        <v>3.6452621480535046E-3</v>
      </c>
      <c r="U189" s="95">
        <f>R189/'סכום נכסי הקרן'!$C$42</f>
        <v>3.3032755754357646E-4</v>
      </c>
    </row>
    <row r="190" spans="2:21" s="132" customFormat="1">
      <c r="B190" s="87" t="s">
        <v>785</v>
      </c>
      <c r="C190" s="84" t="s">
        <v>786</v>
      </c>
      <c r="D190" s="97" t="s">
        <v>128</v>
      </c>
      <c r="E190" s="97" t="s">
        <v>357</v>
      </c>
      <c r="F190" s="84" t="s">
        <v>486</v>
      </c>
      <c r="G190" s="97" t="s">
        <v>487</v>
      </c>
      <c r="H190" s="84" t="s">
        <v>541</v>
      </c>
      <c r="I190" s="84" t="s">
        <v>361</v>
      </c>
      <c r="J190" s="84"/>
      <c r="K190" s="94">
        <v>10.230000000000175</v>
      </c>
      <c r="L190" s="97" t="s">
        <v>170</v>
      </c>
      <c r="M190" s="98">
        <v>3.0499999999999999E-2</v>
      </c>
      <c r="N190" s="98">
        <v>2.2699999999999963E-2</v>
      </c>
      <c r="O190" s="94">
        <v>8082932.9477739986</v>
      </c>
      <c r="P190" s="96">
        <v>108.25</v>
      </c>
      <c r="Q190" s="84"/>
      <c r="R190" s="94">
        <v>8749.7749162889995</v>
      </c>
      <c r="S190" s="95">
        <v>2.5576675915146622E-2</v>
      </c>
      <c r="T190" s="95">
        <f t="shared" si="2"/>
        <v>1.6617258758202433E-3</v>
      </c>
      <c r="U190" s="95">
        <f>R190/'סכום נכסי הקרן'!$C$42</f>
        <v>1.5058281889541748E-4</v>
      </c>
    </row>
    <row r="191" spans="2:21" s="132" customFormat="1">
      <c r="B191" s="87" t="s">
        <v>787</v>
      </c>
      <c r="C191" s="84" t="s">
        <v>788</v>
      </c>
      <c r="D191" s="97" t="s">
        <v>128</v>
      </c>
      <c r="E191" s="97" t="s">
        <v>357</v>
      </c>
      <c r="F191" s="84" t="s">
        <v>486</v>
      </c>
      <c r="G191" s="97" t="s">
        <v>487</v>
      </c>
      <c r="H191" s="84" t="s">
        <v>541</v>
      </c>
      <c r="I191" s="84" t="s">
        <v>361</v>
      </c>
      <c r="J191" s="84"/>
      <c r="K191" s="94">
        <v>9.5099999999998435</v>
      </c>
      <c r="L191" s="97" t="s">
        <v>170</v>
      </c>
      <c r="M191" s="98">
        <v>3.0499999999999999E-2</v>
      </c>
      <c r="N191" s="98">
        <v>2.2199999999999536E-2</v>
      </c>
      <c r="O191" s="94">
        <v>13851022.985531</v>
      </c>
      <c r="P191" s="96">
        <v>108.2</v>
      </c>
      <c r="Q191" s="84"/>
      <c r="R191" s="94">
        <v>14986.806870085</v>
      </c>
      <c r="S191" s="95">
        <v>1.900338123459485E-2</v>
      </c>
      <c r="T191" s="95">
        <f t="shared" si="2"/>
        <v>2.8462406187819097E-3</v>
      </c>
      <c r="U191" s="95">
        <f>R191/'סכום נכסי הקרן'!$C$42</f>
        <v>2.5792156327785344E-4</v>
      </c>
    </row>
    <row r="192" spans="2:21" s="132" customFormat="1">
      <c r="B192" s="87" t="s">
        <v>789</v>
      </c>
      <c r="C192" s="84" t="s">
        <v>790</v>
      </c>
      <c r="D192" s="97" t="s">
        <v>128</v>
      </c>
      <c r="E192" s="97" t="s">
        <v>357</v>
      </c>
      <c r="F192" s="84" t="s">
        <v>486</v>
      </c>
      <c r="G192" s="97" t="s">
        <v>487</v>
      </c>
      <c r="H192" s="84" t="s">
        <v>541</v>
      </c>
      <c r="I192" s="84" t="s">
        <v>361</v>
      </c>
      <c r="J192" s="84"/>
      <c r="K192" s="94">
        <v>5.9900000000001983</v>
      </c>
      <c r="L192" s="97" t="s">
        <v>170</v>
      </c>
      <c r="M192" s="98">
        <v>2.9100000000000001E-2</v>
      </c>
      <c r="N192" s="98">
        <v>1.6000000000000819E-2</v>
      </c>
      <c r="O192" s="94">
        <v>6736051.308708</v>
      </c>
      <c r="P192" s="96">
        <v>108.11</v>
      </c>
      <c r="Q192" s="84"/>
      <c r="R192" s="94">
        <v>7282.3450698440001</v>
      </c>
      <c r="S192" s="95">
        <v>1.1226752181179999E-2</v>
      </c>
      <c r="T192" s="95">
        <f t="shared" si="2"/>
        <v>1.3830368615178278E-3</v>
      </c>
      <c r="U192" s="95">
        <f>R192/'סכום נכסי הקרן'!$C$42</f>
        <v>1.2532848664995711E-4</v>
      </c>
    </row>
    <row r="193" spans="2:21" s="132" customFormat="1">
      <c r="B193" s="87" t="s">
        <v>791</v>
      </c>
      <c r="C193" s="84" t="s">
        <v>792</v>
      </c>
      <c r="D193" s="97" t="s">
        <v>128</v>
      </c>
      <c r="E193" s="97" t="s">
        <v>357</v>
      </c>
      <c r="F193" s="84" t="s">
        <v>486</v>
      </c>
      <c r="G193" s="97" t="s">
        <v>487</v>
      </c>
      <c r="H193" s="84" t="s">
        <v>541</v>
      </c>
      <c r="I193" s="84" t="s">
        <v>361</v>
      </c>
      <c r="J193" s="84"/>
      <c r="K193" s="94">
        <v>7.7899999999996536</v>
      </c>
      <c r="L193" s="97" t="s">
        <v>170</v>
      </c>
      <c r="M193" s="98">
        <v>3.95E-2</v>
      </c>
      <c r="N193" s="98">
        <v>1.8699999999999085E-2</v>
      </c>
      <c r="O193" s="94">
        <v>4950881.2084799996</v>
      </c>
      <c r="P193" s="96">
        <v>117.25</v>
      </c>
      <c r="Q193" s="84"/>
      <c r="R193" s="94">
        <v>5804.908216619001</v>
      </c>
      <c r="S193" s="95">
        <v>2.0627814530357034E-2</v>
      </c>
      <c r="T193" s="95">
        <f t="shared" si="2"/>
        <v>1.1024473523724102E-3</v>
      </c>
      <c r="U193" s="95">
        <f>R193/'סכום נכסי הקרן'!$C$42</f>
        <v>9.9901934741242015E-5</v>
      </c>
    </row>
    <row r="194" spans="2:21" s="132" customFormat="1">
      <c r="B194" s="87" t="s">
        <v>793</v>
      </c>
      <c r="C194" s="84" t="s">
        <v>794</v>
      </c>
      <c r="D194" s="97" t="s">
        <v>128</v>
      </c>
      <c r="E194" s="97" t="s">
        <v>357</v>
      </c>
      <c r="F194" s="84" t="s">
        <v>486</v>
      </c>
      <c r="G194" s="97" t="s">
        <v>487</v>
      </c>
      <c r="H194" s="84" t="s">
        <v>541</v>
      </c>
      <c r="I194" s="84" t="s">
        <v>361</v>
      </c>
      <c r="J194" s="84"/>
      <c r="K194" s="94">
        <v>8.5099999999979072</v>
      </c>
      <c r="L194" s="97" t="s">
        <v>170</v>
      </c>
      <c r="M194" s="98">
        <v>3.95E-2</v>
      </c>
      <c r="N194" s="98">
        <v>2.0399999999993278E-2</v>
      </c>
      <c r="O194" s="94">
        <v>1217302.461498</v>
      </c>
      <c r="P194" s="96">
        <v>117.32</v>
      </c>
      <c r="Q194" s="84"/>
      <c r="R194" s="94">
        <v>1428.1392483489999</v>
      </c>
      <c r="S194" s="95">
        <v>5.0718828317104971E-3</v>
      </c>
      <c r="T194" s="95">
        <f t="shared" si="2"/>
        <v>2.7122708480626029E-4</v>
      </c>
      <c r="U194" s="95">
        <f>R194/'סכום נכסי הקרן'!$C$42</f>
        <v>2.4578144677895855E-5</v>
      </c>
    </row>
    <row r="195" spans="2:21" s="132" customFormat="1">
      <c r="B195" s="87" t="s">
        <v>795</v>
      </c>
      <c r="C195" s="84" t="s">
        <v>796</v>
      </c>
      <c r="D195" s="97" t="s">
        <v>128</v>
      </c>
      <c r="E195" s="97" t="s">
        <v>357</v>
      </c>
      <c r="F195" s="84" t="s">
        <v>797</v>
      </c>
      <c r="G195" s="97" t="s">
        <v>427</v>
      </c>
      <c r="H195" s="84" t="s">
        <v>541</v>
      </c>
      <c r="I195" s="84" t="s">
        <v>361</v>
      </c>
      <c r="J195" s="84"/>
      <c r="K195" s="94">
        <v>2.8799359658484525</v>
      </c>
      <c r="L195" s="97" t="s">
        <v>170</v>
      </c>
      <c r="M195" s="98">
        <v>3.9E-2</v>
      </c>
      <c r="N195" s="98">
        <v>3.6099252934898615E-2</v>
      </c>
      <c r="O195" s="94">
        <v>1.6865999999999999E-2</v>
      </c>
      <c r="P195" s="96">
        <v>101.3</v>
      </c>
      <c r="Q195" s="84"/>
      <c r="R195" s="94">
        <v>1.6865999999999997E-5</v>
      </c>
      <c r="S195" s="95">
        <v>2.5608489038291276E-11</v>
      </c>
      <c r="T195" s="95">
        <f t="shared" si="2"/>
        <v>3.2031302393171773E-12</v>
      </c>
      <c r="U195" s="95">
        <f>R195/'סכום נכסי הקרן'!$C$42</f>
        <v>2.9026230363503731E-13</v>
      </c>
    </row>
    <row r="196" spans="2:21" s="132" customFormat="1">
      <c r="B196" s="87" t="s">
        <v>798</v>
      </c>
      <c r="C196" s="84" t="s">
        <v>799</v>
      </c>
      <c r="D196" s="97" t="s">
        <v>128</v>
      </c>
      <c r="E196" s="97" t="s">
        <v>357</v>
      </c>
      <c r="F196" s="84" t="s">
        <v>498</v>
      </c>
      <c r="G196" s="97" t="s">
        <v>427</v>
      </c>
      <c r="H196" s="84" t="s">
        <v>549</v>
      </c>
      <c r="I196" s="84" t="s">
        <v>168</v>
      </c>
      <c r="J196" s="84"/>
      <c r="K196" s="94">
        <v>3.4100000000004171</v>
      </c>
      <c r="L196" s="97" t="s">
        <v>170</v>
      </c>
      <c r="M196" s="98">
        <v>5.0499999999999996E-2</v>
      </c>
      <c r="N196" s="98">
        <v>1.460000000000284E-2</v>
      </c>
      <c r="O196" s="94">
        <v>1970959.858306</v>
      </c>
      <c r="P196" s="96">
        <v>114.35</v>
      </c>
      <c r="Q196" s="84"/>
      <c r="R196" s="94">
        <v>2253.7926632660001</v>
      </c>
      <c r="S196" s="95">
        <v>2.6583330463048455E-3</v>
      </c>
      <c r="T196" s="95">
        <f t="shared" si="2"/>
        <v>4.280322206129801E-4</v>
      </c>
      <c r="U196" s="95">
        <f>R196/'סכום נכסי הקרן'!$C$42</f>
        <v>3.8787563758765284E-5</v>
      </c>
    </row>
    <row r="197" spans="2:21" s="132" customFormat="1">
      <c r="B197" s="87" t="s">
        <v>800</v>
      </c>
      <c r="C197" s="84" t="s">
        <v>801</v>
      </c>
      <c r="D197" s="97" t="s">
        <v>128</v>
      </c>
      <c r="E197" s="97" t="s">
        <v>357</v>
      </c>
      <c r="F197" s="84" t="s">
        <v>503</v>
      </c>
      <c r="G197" s="97" t="s">
        <v>487</v>
      </c>
      <c r="H197" s="84" t="s">
        <v>549</v>
      </c>
      <c r="I197" s="84" t="s">
        <v>168</v>
      </c>
      <c r="J197" s="84"/>
      <c r="K197" s="94">
        <v>4.2000000000001831</v>
      </c>
      <c r="L197" s="97" t="s">
        <v>170</v>
      </c>
      <c r="M197" s="98">
        <v>3.9199999999999999E-2</v>
      </c>
      <c r="N197" s="98">
        <v>1.2600000000000344E-2</v>
      </c>
      <c r="O197" s="94">
        <v>8631488.9756940007</v>
      </c>
      <c r="P197" s="96">
        <v>113.47</v>
      </c>
      <c r="Q197" s="84"/>
      <c r="R197" s="94">
        <v>9794.1508271910006</v>
      </c>
      <c r="S197" s="95">
        <v>8.9925019593542366E-3</v>
      </c>
      <c r="T197" s="95">
        <f t="shared" si="2"/>
        <v>1.8600700037358499E-3</v>
      </c>
      <c r="U197" s="95">
        <f>R197/'סכום נכסי הקרן'!$C$42</f>
        <v>1.6855643194885965E-4</v>
      </c>
    </row>
    <row r="198" spans="2:21" s="132" customFormat="1">
      <c r="B198" s="87" t="s">
        <v>802</v>
      </c>
      <c r="C198" s="84" t="s">
        <v>803</v>
      </c>
      <c r="D198" s="97" t="s">
        <v>128</v>
      </c>
      <c r="E198" s="97" t="s">
        <v>357</v>
      </c>
      <c r="F198" s="84" t="s">
        <v>503</v>
      </c>
      <c r="G198" s="97" t="s">
        <v>487</v>
      </c>
      <c r="H198" s="84" t="s">
        <v>549</v>
      </c>
      <c r="I198" s="84" t="s">
        <v>168</v>
      </c>
      <c r="J198" s="84"/>
      <c r="K198" s="94">
        <v>9.0099999999998701</v>
      </c>
      <c r="L198" s="97" t="s">
        <v>170</v>
      </c>
      <c r="M198" s="98">
        <v>2.64E-2</v>
      </c>
      <c r="N198" s="98">
        <v>2.2999999999999573E-2</v>
      </c>
      <c r="O198" s="94">
        <v>26945294.497699998</v>
      </c>
      <c r="P198" s="96">
        <v>103.89</v>
      </c>
      <c r="Q198" s="84"/>
      <c r="R198" s="94">
        <v>27993.465826664</v>
      </c>
      <c r="S198" s="95">
        <v>1.6468494927040247E-2</v>
      </c>
      <c r="T198" s="95">
        <f t="shared" si="2"/>
        <v>5.3164186465480554E-3</v>
      </c>
      <c r="U198" s="95">
        <f>R198/'סכום נכסי הקרן'!$C$42</f>
        <v>4.8176496368885265E-4</v>
      </c>
    </row>
    <row r="199" spans="2:21" s="132" customFormat="1">
      <c r="B199" s="87" t="s">
        <v>804</v>
      </c>
      <c r="C199" s="84" t="s">
        <v>805</v>
      </c>
      <c r="D199" s="97" t="s">
        <v>128</v>
      </c>
      <c r="E199" s="97" t="s">
        <v>357</v>
      </c>
      <c r="F199" s="84" t="s">
        <v>614</v>
      </c>
      <c r="G199" s="97" t="s">
        <v>487</v>
      </c>
      <c r="H199" s="84" t="s">
        <v>549</v>
      </c>
      <c r="I199" s="84" t="s">
        <v>168</v>
      </c>
      <c r="J199" s="84"/>
      <c r="K199" s="94">
        <v>4.1799999999997706</v>
      </c>
      <c r="L199" s="97" t="s">
        <v>170</v>
      </c>
      <c r="M199" s="98">
        <v>4.0999999999999995E-2</v>
      </c>
      <c r="N199" s="98">
        <v>1.2599999999997924E-2</v>
      </c>
      <c r="O199" s="94">
        <v>3113677.1519999998</v>
      </c>
      <c r="P199" s="96">
        <v>112.39</v>
      </c>
      <c r="Q199" s="94">
        <v>63.830381615999997</v>
      </c>
      <c r="R199" s="94">
        <v>3563.2921327490003</v>
      </c>
      <c r="S199" s="95">
        <v>1.037892384E-2</v>
      </c>
      <c r="T199" s="95">
        <f t="shared" si="2"/>
        <v>6.767276640536774E-4</v>
      </c>
      <c r="U199" s="95">
        <f>R199/'סכום נכסי הקרן'!$C$42</f>
        <v>6.1323928790248442E-5</v>
      </c>
    </row>
    <row r="200" spans="2:21" s="132" customFormat="1">
      <c r="B200" s="87" t="s">
        <v>806</v>
      </c>
      <c r="C200" s="84" t="s">
        <v>807</v>
      </c>
      <c r="D200" s="97" t="s">
        <v>128</v>
      </c>
      <c r="E200" s="97" t="s">
        <v>357</v>
      </c>
      <c r="F200" s="84" t="s">
        <v>626</v>
      </c>
      <c r="G200" s="97" t="s">
        <v>491</v>
      </c>
      <c r="H200" s="84" t="s">
        <v>541</v>
      </c>
      <c r="I200" s="84" t="s">
        <v>361</v>
      </c>
      <c r="J200" s="84"/>
      <c r="K200" s="94">
        <v>4.2399999999999274</v>
      </c>
      <c r="L200" s="97" t="s">
        <v>170</v>
      </c>
      <c r="M200" s="98">
        <v>1.9E-2</v>
      </c>
      <c r="N200" s="98">
        <v>1.3299999999999859E-2</v>
      </c>
      <c r="O200" s="94">
        <v>24332302.994020995</v>
      </c>
      <c r="P200" s="96">
        <v>102.62</v>
      </c>
      <c r="Q200" s="84"/>
      <c r="R200" s="94">
        <v>24969.809332595003</v>
      </c>
      <c r="S200" s="95">
        <v>1.6843649924768687E-2</v>
      </c>
      <c r="T200" s="95">
        <f t="shared" si="2"/>
        <v>4.7421766478844621E-3</v>
      </c>
      <c r="U200" s="95">
        <f>R200/'סכום נכסי הקרן'!$C$42</f>
        <v>4.2972811444365474E-4</v>
      </c>
    </row>
    <row r="201" spans="2:21" s="132" customFormat="1">
      <c r="B201" s="87" t="s">
        <v>808</v>
      </c>
      <c r="C201" s="84" t="s">
        <v>809</v>
      </c>
      <c r="D201" s="97" t="s">
        <v>128</v>
      </c>
      <c r="E201" s="97" t="s">
        <v>357</v>
      </c>
      <c r="F201" s="84" t="s">
        <v>626</v>
      </c>
      <c r="G201" s="97" t="s">
        <v>491</v>
      </c>
      <c r="H201" s="84" t="s">
        <v>541</v>
      </c>
      <c r="I201" s="84" t="s">
        <v>361</v>
      </c>
      <c r="J201" s="84"/>
      <c r="K201" s="94">
        <v>2.8099999999995533</v>
      </c>
      <c r="L201" s="97" t="s">
        <v>170</v>
      </c>
      <c r="M201" s="98">
        <v>2.9600000000000001E-2</v>
      </c>
      <c r="N201" s="98">
        <v>9.5999999999984032E-3</v>
      </c>
      <c r="O201" s="94">
        <v>3781824.2662960007</v>
      </c>
      <c r="P201" s="96">
        <v>106</v>
      </c>
      <c r="Q201" s="84"/>
      <c r="R201" s="94">
        <v>4008.733680759</v>
      </c>
      <c r="S201" s="95">
        <v>9.2602346417822029E-3</v>
      </c>
      <c r="T201" s="95">
        <f t="shared" si="2"/>
        <v>7.6132432551929367E-4</v>
      </c>
      <c r="U201" s="95">
        <f>R201/'סכום נכסי הקרן'!$C$42</f>
        <v>6.8989936726934057E-5</v>
      </c>
    </row>
    <row r="202" spans="2:21" s="132" customFormat="1">
      <c r="B202" s="87" t="s">
        <v>810</v>
      </c>
      <c r="C202" s="84" t="s">
        <v>811</v>
      </c>
      <c r="D202" s="97" t="s">
        <v>128</v>
      </c>
      <c r="E202" s="97" t="s">
        <v>357</v>
      </c>
      <c r="F202" s="84" t="s">
        <v>631</v>
      </c>
      <c r="G202" s="97" t="s">
        <v>487</v>
      </c>
      <c r="H202" s="84" t="s">
        <v>549</v>
      </c>
      <c r="I202" s="84" t="s">
        <v>168</v>
      </c>
      <c r="J202" s="84"/>
      <c r="K202" s="94">
        <v>5.0699999999999168</v>
      </c>
      <c r="L202" s="97" t="s">
        <v>170</v>
      </c>
      <c r="M202" s="98">
        <v>3.61E-2</v>
      </c>
      <c r="N202" s="98">
        <v>1.3399999999999896E-2</v>
      </c>
      <c r="O202" s="94">
        <v>17020254.105804</v>
      </c>
      <c r="P202" s="96">
        <v>113.7</v>
      </c>
      <c r="Q202" s="84"/>
      <c r="R202" s="94">
        <v>19352.028351479999</v>
      </c>
      <c r="S202" s="95">
        <v>2.2176226847953093E-2</v>
      </c>
      <c r="T202" s="95">
        <f t="shared" si="2"/>
        <v>3.6752678290495043E-3</v>
      </c>
      <c r="U202" s="95">
        <f>R202/'סכום נכסי הקרן'!$C$42</f>
        <v>3.3304662215766272E-4</v>
      </c>
    </row>
    <row r="203" spans="2:21" s="132" customFormat="1">
      <c r="B203" s="87" t="s">
        <v>812</v>
      </c>
      <c r="C203" s="84" t="s">
        <v>813</v>
      </c>
      <c r="D203" s="97" t="s">
        <v>128</v>
      </c>
      <c r="E203" s="97" t="s">
        <v>357</v>
      </c>
      <c r="F203" s="84" t="s">
        <v>631</v>
      </c>
      <c r="G203" s="97" t="s">
        <v>487</v>
      </c>
      <c r="H203" s="84" t="s">
        <v>549</v>
      </c>
      <c r="I203" s="84" t="s">
        <v>168</v>
      </c>
      <c r="J203" s="84"/>
      <c r="K203" s="94">
        <v>6.0200000000002216</v>
      </c>
      <c r="L203" s="97" t="s">
        <v>170</v>
      </c>
      <c r="M203" s="98">
        <v>3.3000000000000002E-2</v>
      </c>
      <c r="N203" s="98">
        <v>1.6400000000001094E-2</v>
      </c>
      <c r="O203" s="94">
        <v>5911488.4929439994</v>
      </c>
      <c r="P203" s="96">
        <v>111.61</v>
      </c>
      <c r="Q203" s="84"/>
      <c r="R203" s="94">
        <v>6597.8123073769993</v>
      </c>
      <c r="S203" s="95">
        <v>1.9171669697721706E-2</v>
      </c>
      <c r="T203" s="95">
        <f t="shared" si="2"/>
        <v>1.2530328539723887E-3</v>
      </c>
      <c r="U203" s="95">
        <f>R203/'סכום נכסי הקרן'!$C$42</f>
        <v>1.1354774097538534E-4</v>
      </c>
    </row>
    <row r="204" spans="2:21" s="132" customFormat="1">
      <c r="B204" s="87" t="s">
        <v>814</v>
      </c>
      <c r="C204" s="84" t="s">
        <v>815</v>
      </c>
      <c r="D204" s="97" t="s">
        <v>128</v>
      </c>
      <c r="E204" s="97" t="s">
        <v>357</v>
      </c>
      <c r="F204" s="84" t="s">
        <v>631</v>
      </c>
      <c r="G204" s="97" t="s">
        <v>487</v>
      </c>
      <c r="H204" s="84" t="s">
        <v>549</v>
      </c>
      <c r="I204" s="84" t="s">
        <v>168</v>
      </c>
      <c r="J204" s="84"/>
      <c r="K204" s="94">
        <v>8.329999999999929</v>
      </c>
      <c r="L204" s="97" t="s">
        <v>170</v>
      </c>
      <c r="M204" s="98">
        <v>2.6200000000000001E-2</v>
      </c>
      <c r="N204" s="98">
        <v>2.12999999999995E-2</v>
      </c>
      <c r="O204" s="94">
        <v>18288182.752271999</v>
      </c>
      <c r="P204" s="96">
        <v>104.69</v>
      </c>
      <c r="Q204" s="84"/>
      <c r="R204" s="94">
        <v>19145.897913591998</v>
      </c>
      <c r="S204" s="95">
        <v>2.2860228440339997E-2</v>
      </c>
      <c r="T204" s="95">
        <f t="shared" ref="T204:T267" si="3">R204/$R$11</f>
        <v>3.6361202754598716E-3</v>
      </c>
      <c r="U204" s="95">
        <f>R204/'סכום נכסי הקרן'!$C$42</f>
        <v>3.2949913634296629E-4</v>
      </c>
    </row>
    <row r="205" spans="2:21" s="132" customFormat="1">
      <c r="B205" s="87" t="s">
        <v>816</v>
      </c>
      <c r="C205" s="84" t="s">
        <v>817</v>
      </c>
      <c r="D205" s="97" t="s">
        <v>128</v>
      </c>
      <c r="E205" s="97" t="s">
        <v>357</v>
      </c>
      <c r="F205" s="84" t="s">
        <v>818</v>
      </c>
      <c r="G205" s="97" t="s">
        <v>159</v>
      </c>
      <c r="H205" s="84" t="s">
        <v>549</v>
      </c>
      <c r="I205" s="84" t="s">
        <v>168</v>
      </c>
      <c r="J205" s="84"/>
      <c r="K205" s="94">
        <v>3.2599999999998821</v>
      </c>
      <c r="L205" s="97" t="s">
        <v>170</v>
      </c>
      <c r="M205" s="98">
        <v>2.75E-2</v>
      </c>
      <c r="N205" s="98">
        <v>1.6599999999999556E-2</v>
      </c>
      <c r="O205" s="94">
        <v>5187675.9121909998</v>
      </c>
      <c r="P205" s="96">
        <v>104.53</v>
      </c>
      <c r="Q205" s="84"/>
      <c r="R205" s="94">
        <v>5422.6774570139996</v>
      </c>
      <c r="S205" s="95">
        <v>1.1932156841612213E-2</v>
      </c>
      <c r="T205" s="95">
        <f t="shared" si="3"/>
        <v>1.0298554571697568E-3</v>
      </c>
      <c r="U205" s="95">
        <f>R205/'סכום נכסי הקרן'!$C$42</f>
        <v>9.332377864002549E-5</v>
      </c>
    </row>
    <row r="206" spans="2:21" s="132" customFormat="1">
      <c r="B206" s="87" t="s">
        <v>819</v>
      </c>
      <c r="C206" s="84" t="s">
        <v>820</v>
      </c>
      <c r="D206" s="97" t="s">
        <v>128</v>
      </c>
      <c r="E206" s="97" t="s">
        <v>357</v>
      </c>
      <c r="F206" s="84" t="s">
        <v>818</v>
      </c>
      <c r="G206" s="97" t="s">
        <v>159</v>
      </c>
      <c r="H206" s="84" t="s">
        <v>549</v>
      </c>
      <c r="I206" s="84" t="s">
        <v>168</v>
      </c>
      <c r="J206" s="84"/>
      <c r="K206" s="94">
        <v>4.3099999999998415</v>
      </c>
      <c r="L206" s="97" t="s">
        <v>170</v>
      </c>
      <c r="M206" s="98">
        <v>2.3E-2</v>
      </c>
      <c r="N206" s="98">
        <v>1.6099999999999014E-2</v>
      </c>
      <c r="O206" s="94">
        <v>9604558.7257150002</v>
      </c>
      <c r="P206" s="96">
        <v>103.78</v>
      </c>
      <c r="Q206" s="84"/>
      <c r="R206" s="94">
        <v>9967.6108324180004</v>
      </c>
      <c r="S206" s="95">
        <v>3.1811374971048002E-2</v>
      </c>
      <c r="T206" s="95">
        <f t="shared" si="3"/>
        <v>1.8930129059091406E-3</v>
      </c>
      <c r="U206" s="95">
        <f>R206/'סכום נכסי הקרן'!$C$42</f>
        <v>1.715416626322306E-4</v>
      </c>
    </row>
    <row r="207" spans="2:21" s="132" customFormat="1">
      <c r="B207" s="87" t="s">
        <v>821</v>
      </c>
      <c r="C207" s="84" t="s">
        <v>822</v>
      </c>
      <c r="D207" s="97" t="s">
        <v>128</v>
      </c>
      <c r="E207" s="97" t="s">
        <v>357</v>
      </c>
      <c r="F207" s="84" t="s">
        <v>823</v>
      </c>
      <c r="G207" s="97" t="s">
        <v>164</v>
      </c>
      <c r="H207" s="84" t="s">
        <v>644</v>
      </c>
      <c r="I207" s="84" t="s">
        <v>361</v>
      </c>
      <c r="J207" s="84"/>
      <c r="K207" s="94">
        <v>0.97999999999996401</v>
      </c>
      <c r="L207" s="97" t="s">
        <v>170</v>
      </c>
      <c r="M207" s="98">
        <v>3.3000000000000002E-2</v>
      </c>
      <c r="N207" s="98">
        <v>1.8399999999997134E-2</v>
      </c>
      <c r="O207" s="94">
        <v>1644895.8282580001</v>
      </c>
      <c r="P207" s="96">
        <v>101.87</v>
      </c>
      <c r="Q207" s="84"/>
      <c r="R207" s="94">
        <v>1675.655325897</v>
      </c>
      <c r="S207" s="95">
        <v>5.4143069995758438E-3</v>
      </c>
      <c r="T207" s="95">
        <f t="shared" si="3"/>
        <v>3.1823445067316266E-4</v>
      </c>
      <c r="U207" s="95">
        <f>R207/'סכום נכסי הקרן'!$C$42</f>
        <v>2.8837873532146481E-5</v>
      </c>
    </row>
    <row r="208" spans="2:21" s="132" customFormat="1">
      <c r="B208" s="87" t="s">
        <v>824</v>
      </c>
      <c r="C208" s="84" t="s">
        <v>825</v>
      </c>
      <c r="D208" s="97" t="s">
        <v>128</v>
      </c>
      <c r="E208" s="97" t="s">
        <v>357</v>
      </c>
      <c r="F208" s="84" t="s">
        <v>643</v>
      </c>
      <c r="G208" s="97" t="s">
        <v>164</v>
      </c>
      <c r="H208" s="84" t="s">
        <v>644</v>
      </c>
      <c r="I208" s="84" t="s">
        <v>361</v>
      </c>
      <c r="J208" s="84"/>
      <c r="K208" s="94">
        <v>3.7500000000002705</v>
      </c>
      <c r="L208" s="97" t="s">
        <v>170</v>
      </c>
      <c r="M208" s="98">
        <v>2.7999999999999997E-2</v>
      </c>
      <c r="N208" s="98">
        <v>2.9500000000001463E-2</v>
      </c>
      <c r="O208" s="94">
        <v>6486827.4000000004</v>
      </c>
      <c r="P208" s="96">
        <v>99.68</v>
      </c>
      <c r="Q208" s="84"/>
      <c r="R208" s="94">
        <v>6466.0693654990009</v>
      </c>
      <c r="S208" s="95">
        <v>2.4359096507698085E-2</v>
      </c>
      <c r="T208" s="95">
        <f t="shared" si="3"/>
        <v>1.2280127068749133E-3</v>
      </c>
      <c r="U208" s="95">
        <f>R208/'סכום נכסי הקרן'!$C$42</f>
        <v>1.112804571026731E-4</v>
      </c>
    </row>
    <row r="209" spans="2:21" s="132" customFormat="1">
      <c r="B209" s="87" t="s">
        <v>826</v>
      </c>
      <c r="C209" s="84" t="s">
        <v>827</v>
      </c>
      <c r="D209" s="97" t="s">
        <v>128</v>
      </c>
      <c r="E209" s="97" t="s">
        <v>357</v>
      </c>
      <c r="F209" s="84" t="s">
        <v>643</v>
      </c>
      <c r="G209" s="97" t="s">
        <v>164</v>
      </c>
      <c r="H209" s="84" t="s">
        <v>644</v>
      </c>
      <c r="I209" s="84" t="s">
        <v>361</v>
      </c>
      <c r="J209" s="84"/>
      <c r="K209" s="94">
        <v>0.66000000000014492</v>
      </c>
      <c r="L209" s="97" t="s">
        <v>170</v>
      </c>
      <c r="M209" s="98">
        <v>4.2999999999999997E-2</v>
      </c>
      <c r="N209" s="98">
        <v>2.2400000000000527E-2</v>
      </c>
      <c r="O209" s="94">
        <v>2983701.6072229999</v>
      </c>
      <c r="P209" s="96">
        <v>101.73</v>
      </c>
      <c r="Q209" s="84"/>
      <c r="R209" s="94">
        <v>3035.3197448659998</v>
      </c>
      <c r="S209" s="95">
        <v>1.3778156056671787E-2</v>
      </c>
      <c r="T209" s="95">
        <f t="shared" si="3"/>
        <v>5.7645704143109125E-4</v>
      </c>
      <c r="U209" s="95">
        <f>R209/'סכום נכסי הקרן'!$C$42</f>
        <v>5.2237572715149951E-5</v>
      </c>
    </row>
    <row r="210" spans="2:21" s="132" customFormat="1">
      <c r="B210" s="87" t="s">
        <v>828</v>
      </c>
      <c r="C210" s="84" t="s">
        <v>829</v>
      </c>
      <c r="D210" s="97" t="s">
        <v>128</v>
      </c>
      <c r="E210" s="97" t="s">
        <v>357</v>
      </c>
      <c r="F210" s="84" t="s">
        <v>643</v>
      </c>
      <c r="G210" s="97" t="s">
        <v>164</v>
      </c>
      <c r="H210" s="84" t="s">
        <v>644</v>
      </c>
      <c r="I210" s="84" t="s">
        <v>361</v>
      </c>
      <c r="J210" s="84"/>
      <c r="K210" s="94">
        <v>1.380000000000144</v>
      </c>
      <c r="L210" s="97" t="s">
        <v>170</v>
      </c>
      <c r="M210" s="98">
        <v>4.2500000000000003E-2</v>
      </c>
      <c r="N210" s="98">
        <v>2.5100000000001933E-2</v>
      </c>
      <c r="O210" s="94">
        <v>2554920.0275309999</v>
      </c>
      <c r="P210" s="96">
        <v>103.08</v>
      </c>
      <c r="Q210" s="84"/>
      <c r="R210" s="94">
        <v>2633.6115931990003</v>
      </c>
      <c r="S210" s="95">
        <v>6.8009436638801889E-3</v>
      </c>
      <c r="T210" s="95">
        <f t="shared" si="3"/>
        <v>5.0016606977303492E-4</v>
      </c>
      <c r="U210" s="95">
        <f>R210/'סכום נכסי הקרן'!$C$42</f>
        <v>4.5324212493886089E-5</v>
      </c>
    </row>
    <row r="211" spans="2:21" s="132" customFormat="1">
      <c r="B211" s="87" t="s">
        <v>830</v>
      </c>
      <c r="C211" s="84" t="s">
        <v>831</v>
      </c>
      <c r="D211" s="97" t="s">
        <v>128</v>
      </c>
      <c r="E211" s="97" t="s">
        <v>357</v>
      </c>
      <c r="F211" s="84" t="s">
        <v>643</v>
      </c>
      <c r="G211" s="97" t="s">
        <v>164</v>
      </c>
      <c r="H211" s="84" t="s">
        <v>644</v>
      </c>
      <c r="I211" s="84" t="s">
        <v>361</v>
      </c>
      <c r="J211" s="84"/>
      <c r="K211" s="94">
        <v>1.7799999999998866</v>
      </c>
      <c r="L211" s="97" t="s">
        <v>170</v>
      </c>
      <c r="M211" s="98">
        <v>3.7000000000000005E-2</v>
      </c>
      <c r="N211" s="98">
        <v>2.6899999999998592E-2</v>
      </c>
      <c r="O211" s="94">
        <v>4636907.319557</v>
      </c>
      <c r="P211" s="96">
        <v>102.43</v>
      </c>
      <c r="Q211" s="84"/>
      <c r="R211" s="94">
        <v>4749.5843742429997</v>
      </c>
      <c r="S211" s="95">
        <v>2.3438742653167057E-2</v>
      </c>
      <c r="T211" s="95">
        <f t="shared" si="3"/>
        <v>9.0202403257002889E-4</v>
      </c>
      <c r="U211" s="95">
        <f>R211/'סכום נכסי הקרן'!$C$42</f>
        <v>8.1739908797388267E-5</v>
      </c>
    </row>
    <row r="212" spans="2:21" s="132" customFormat="1">
      <c r="B212" s="87" t="s">
        <v>832</v>
      </c>
      <c r="C212" s="84" t="s">
        <v>833</v>
      </c>
      <c r="D212" s="97" t="s">
        <v>128</v>
      </c>
      <c r="E212" s="97" t="s">
        <v>357</v>
      </c>
      <c r="F212" s="84" t="s">
        <v>834</v>
      </c>
      <c r="G212" s="97" t="s">
        <v>715</v>
      </c>
      <c r="H212" s="84" t="s">
        <v>640</v>
      </c>
      <c r="I212" s="84" t="s">
        <v>168</v>
      </c>
      <c r="J212" s="84"/>
      <c r="K212" s="94">
        <v>3.34</v>
      </c>
      <c r="L212" s="97" t="s">
        <v>170</v>
      </c>
      <c r="M212" s="98">
        <v>3.7499999999999999E-2</v>
      </c>
      <c r="N212" s="98">
        <v>1.2800000000000001E-2</v>
      </c>
      <c r="O212" s="94">
        <v>181631.18795799999</v>
      </c>
      <c r="P212" s="96">
        <v>108.4</v>
      </c>
      <c r="Q212" s="84"/>
      <c r="R212" s="94">
        <v>196.8882073</v>
      </c>
      <c r="S212" s="95">
        <v>3.9386458182436111E-4</v>
      </c>
      <c r="T212" s="95">
        <f t="shared" si="3"/>
        <v>3.7392302298563925E-5</v>
      </c>
      <c r="U212" s="95">
        <f>R212/'סכום נכסי הקרן'!$C$42</f>
        <v>3.3884278791338067E-6</v>
      </c>
    </row>
    <row r="213" spans="2:21" s="132" customFormat="1">
      <c r="B213" s="87" t="s">
        <v>835</v>
      </c>
      <c r="C213" s="84" t="s">
        <v>836</v>
      </c>
      <c r="D213" s="97" t="s">
        <v>128</v>
      </c>
      <c r="E213" s="97" t="s">
        <v>357</v>
      </c>
      <c r="F213" s="84" t="s">
        <v>834</v>
      </c>
      <c r="G213" s="97" t="s">
        <v>715</v>
      </c>
      <c r="H213" s="84" t="s">
        <v>644</v>
      </c>
      <c r="I213" s="84" t="s">
        <v>361</v>
      </c>
      <c r="J213" s="84"/>
      <c r="K213" s="94">
        <v>6.1900000000004276</v>
      </c>
      <c r="L213" s="97" t="s">
        <v>170</v>
      </c>
      <c r="M213" s="98">
        <v>3.7499999999999999E-2</v>
      </c>
      <c r="N213" s="98">
        <v>1.9700000000000609E-2</v>
      </c>
      <c r="O213" s="94">
        <v>5061282.2105759997</v>
      </c>
      <c r="P213" s="96">
        <v>113.35</v>
      </c>
      <c r="Q213" s="84"/>
      <c r="R213" s="94">
        <v>5736.9635543449995</v>
      </c>
      <c r="S213" s="95">
        <v>1.3679141109664865E-2</v>
      </c>
      <c r="T213" s="95">
        <f t="shared" si="3"/>
        <v>1.0895435457596956E-3</v>
      </c>
      <c r="U213" s="95">
        <f>R213/'סכום נכסי הקרן'!$C$42</f>
        <v>9.8732613373320969E-5</v>
      </c>
    </row>
    <row r="214" spans="2:21" s="132" customFormat="1">
      <c r="B214" s="87" t="s">
        <v>837</v>
      </c>
      <c r="C214" s="84" t="s">
        <v>838</v>
      </c>
      <c r="D214" s="97" t="s">
        <v>128</v>
      </c>
      <c r="E214" s="97" t="s">
        <v>357</v>
      </c>
      <c r="F214" s="84" t="s">
        <v>839</v>
      </c>
      <c r="G214" s="97" t="s">
        <v>748</v>
      </c>
      <c r="H214" s="84" t="s">
        <v>640</v>
      </c>
      <c r="I214" s="84" t="s">
        <v>168</v>
      </c>
      <c r="J214" s="84"/>
      <c r="K214" s="94">
        <v>0.15999999999793924</v>
      </c>
      <c r="L214" s="97" t="s">
        <v>170</v>
      </c>
      <c r="M214" s="98">
        <v>5.5500000000000001E-2</v>
      </c>
      <c r="N214" s="98">
        <v>1.1800000000092729E-2</v>
      </c>
      <c r="O214" s="94">
        <v>94611.541366000005</v>
      </c>
      <c r="P214" s="96">
        <v>102.58</v>
      </c>
      <c r="Q214" s="84"/>
      <c r="R214" s="94">
        <v>97.052520245000011</v>
      </c>
      <c r="S214" s="95">
        <v>7.8842951138333329E-3</v>
      </c>
      <c r="T214" s="95">
        <f t="shared" si="3"/>
        <v>1.8431866619157011E-5</v>
      </c>
      <c r="U214" s="95">
        <f>R214/'סכום נכסי הקרן'!$C$42</f>
        <v>1.6702649175797346E-6</v>
      </c>
    </row>
    <row r="215" spans="2:21" s="132" customFormat="1">
      <c r="B215" s="87" t="s">
        <v>840</v>
      </c>
      <c r="C215" s="84" t="s">
        <v>841</v>
      </c>
      <c r="D215" s="97" t="s">
        <v>128</v>
      </c>
      <c r="E215" s="97" t="s">
        <v>357</v>
      </c>
      <c r="F215" s="84" t="s">
        <v>842</v>
      </c>
      <c r="G215" s="97" t="s">
        <v>159</v>
      </c>
      <c r="H215" s="84" t="s">
        <v>644</v>
      </c>
      <c r="I215" s="84" t="s">
        <v>361</v>
      </c>
      <c r="J215" s="84"/>
      <c r="K215" s="94">
        <v>1.8000000000000003</v>
      </c>
      <c r="L215" s="97" t="s">
        <v>170</v>
      </c>
      <c r="M215" s="98">
        <v>3.4000000000000002E-2</v>
      </c>
      <c r="N215" s="98">
        <v>1.5800000000008613E-2</v>
      </c>
      <c r="O215" s="94">
        <v>447296.59512299998</v>
      </c>
      <c r="P215" s="96">
        <v>103.8</v>
      </c>
      <c r="Q215" s="84"/>
      <c r="R215" s="94">
        <v>464.29385122000002</v>
      </c>
      <c r="S215" s="95">
        <v>8.4623843551037377E-4</v>
      </c>
      <c r="T215" s="95">
        <f t="shared" si="3"/>
        <v>8.8177023287786839E-5</v>
      </c>
      <c r="U215" s="95">
        <f>R215/'סכום נכסי הקרן'!$C$42</f>
        <v>7.9904543352721763E-6</v>
      </c>
    </row>
    <row r="216" spans="2:21" s="132" customFormat="1">
      <c r="B216" s="87" t="s">
        <v>843</v>
      </c>
      <c r="C216" s="84" t="s">
        <v>844</v>
      </c>
      <c r="D216" s="97" t="s">
        <v>128</v>
      </c>
      <c r="E216" s="97" t="s">
        <v>357</v>
      </c>
      <c r="F216" s="84" t="s">
        <v>845</v>
      </c>
      <c r="G216" s="97" t="s">
        <v>427</v>
      </c>
      <c r="H216" s="84" t="s">
        <v>640</v>
      </c>
      <c r="I216" s="84" t="s">
        <v>168</v>
      </c>
      <c r="J216" s="84"/>
      <c r="K216" s="94">
        <v>2.2799999999469631</v>
      </c>
      <c r="L216" s="97" t="s">
        <v>170</v>
      </c>
      <c r="M216" s="98">
        <v>6.7500000000000004E-2</v>
      </c>
      <c r="N216" s="98">
        <v>2.6900000000013961E-2</v>
      </c>
      <c r="O216" s="94">
        <v>13207.041768000001</v>
      </c>
      <c r="P216" s="96">
        <v>108.5</v>
      </c>
      <c r="Q216" s="84"/>
      <c r="R216" s="94">
        <v>14.329640441999999</v>
      </c>
      <c r="S216" s="95">
        <v>1.9818043339092144E-5</v>
      </c>
      <c r="T216" s="95">
        <f t="shared" si="3"/>
        <v>2.7214339273279121E-6</v>
      </c>
      <c r="U216" s="95">
        <f>R216/'סכום נכסי הקרן'!$C$42</f>
        <v>2.4661178969267844E-7</v>
      </c>
    </row>
    <row r="217" spans="2:21" s="132" customFormat="1">
      <c r="B217" s="87" t="s">
        <v>846</v>
      </c>
      <c r="C217" s="84" t="s">
        <v>847</v>
      </c>
      <c r="D217" s="97" t="s">
        <v>128</v>
      </c>
      <c r="E217" s="97" t="s">
        <v>357</v>
      </c>
      <c r="F217" s="84" t="s">
        <v>594</v>
      </c>
      <c r="G217" s="97" t="s">
        <v>427</v>
      </c>
      <c r="H217" s="84" t="s">
        <v>644</v>
      </c>
      <c r="I217" s="84" t="s">
        <v>361</v>
      </c>
      <c r="J217" s="84"/>
      <c r="K217" s="94">
        <v>2.1500000004434239</v>
      </c>
      <c r="L217" s="97" t="s">
        <v>170</v>
      </c>
      <c r="M217" s="98">
        <v>5.74E-2</v>
      </c>
      <c r="N217" s="98">
        <v>1.1100000000564358E-2</v>
      </c>
      <c r="O217" s="94">
        <v>2221.8499579999998</v>
      </c>
      <c r="P217" s="96">
        <v>111.65</v>
      </c>
      <c r="Q217" s="84"/>
      <c r="R217" s="94">
        <v>2.4806964260000002</v>
      </c>
      <c r="S217" s="95">
        <v>1.4395568858713888E-5</v>
      </c>
      <c r="T217" s="95">
        <f t="shared" si="3"/>
        <v>4.7112496956519912E-7</v>
      </c>
      <c r="U217" s="95">
        <f>R217/'סכום נכסי הקרן'!$C$42</f>
        <v>4.2692556577135303E-8</v>
      </c>
    </row>
    <row r="218" spans="2:21" s="132" customFormat="1">
      <c r="B218" s="87" t="s">
        <v>848</v>
      </c>
      <c r="C218" s="84" t="s">
        <v>849</v>
      </c>
      <c r="D218" s="97" t="s">
        <v>128</v>
      </c>
      <c r="E218" s="97" t="s">
        <v>357</v>
      </c>
      <c r="F218" s="84" t="s">
        <v>594</v>
      </c>
      <c r="G218" s="97" t="s">
        <v>427</v>
      </c>
      <c r="H218" s="84" t="s">
        <v>644</v>
      </c>
      <c r="I218" s="84" t="s">
        <v>361</v>
      </c>
      <c r="J218" s="84"/>
      <c r="K218" s="94">
        <v>4.3300000000011245</v>
      </c>
      <c r="L218" s="97" t="s">
        <v>170</v>
      </c>
      <c r="M218" s="98">
        <v>5.6500000000000002E-2</v>
      </c>
      <c r="N218" s="98">
        <v>1.5900000000003064E-2</v>
      </c>
      <c r="O218" s="94">
        <v>330828.1974</v>
      </c>
      <c r="P218" s="96">
        <v>118.32</v>
      </c>
      <c r="Q218" s="84"/>
      <c r="R218" s="94">
        <v>391.43593873200001</v>
      </c>
      <c r="S218" s="95">
        <v>3.7707901217822644E-3</v>
      </c>
      <c r="T218" s="95">
        <f t="shared" si="3"/>
        <v>7.4340109813113677E-5</v>
      </c>
      <c r="U218" s="95">
        <f>R218/'סכום נכסי הקרן'!$C$42</f>
        <v>6.7365763845543508E-6</v>
      </c>
    </row>
    <row r="219" spans="2:21" s="132" customFormat="1">
      <c r="B219" s="87" t="s">
        <v>850</v>
      </c>
      <c r="C219" s="84" t="s">
        <v>851</v>
      </c>
      <c r="D219" s="97" t="s">
        <v>128</v>
      </c>
      <c r="E219" s="97" t="s">
        <v>357</v>
      </c>
      <c r="F219" s="84" t="s">
        <v>597</v>
      </c>
      <c r="G219" s="97" t="s">
        <v>427</v>
      </c>
      <c r="H219" s="84" t="s">
        <v>644</v>
      </c>
      <c r="I219" s="84" t="s">
        <v>361</v>
      </c>
      <c r="J219" s="84"/>
      <c r="K219" s="94">
        <v>2.7800000000000566</v>
      </c>
      <c r="L219" s="97" t="s">
        <v>170</v>
      </c>
      <c r="M219" s="98">
        <v>3.7000000000000005E-2</v>
      </c>
      <c r="N219" s="98">
        <v>9.8000000000005635E-3</v>
      </c>
      <c r="O219" s="94">
        <v>1646521.8812830001</v>
      </c>
      <c r="P219" s="96">
        <v>107.73</v>
      </c>
      <c r="Q219" s="84"/>
      <c r="R219" s="94">
        <v>1773.7980223550001</v>
      </c>
      <c r="S219" s="95">
        <v>7.6662953041964875E-3</v>
      </c>
      <c r="T219" s="95">
        <f t="shared" si="3"/>
        <v>3.3687335964937198E-4</v>
      </c>
      <c r="U219" s="95">
        <f>R219/'סכום נכסי הקרן'!$C$42</f>
        <v>3.0526900281752392E-5</v>
      </c>
    </row>
    <row r="220" spans="2:21" s="132" customFormat="1">
      <c r="B220" s="87" t="s">
        <v>852</v>
      </c>
      <c r="C220" s="84" t="s">
        <v>853</v>
      </c>
      <c r="D220" s="97" t="s">
        <v>128</v>
      </c>
      <c r="E220" s="97" t="s">
        <v>357</v>
      </c>
      <c r="F220" s="84" t="s">
        <v>854</v>
      </c>
      <c r="G220" s="97" t="s">
        <v>164</v>
      </c>
      <c r="H220" s="84" t="s">
        <v>644</v>
      </c>
      <c r="I220" s="84" t="s">
        <v>361</v>
      </c>
      <c r="J220" s="84"/>
      <c r="K220" s="94">
        <v>2.6699999999999191</v>
      </c>
      <c r="L220" s="97" t="s">
        <v>170</v>
      </c>
      <c r="M220" s="98">
        <v>2.9500000000000002E-2</v>
      </c>
      <c r="N220" s="98">
        <v>1.1499999999999786E-2</v>
      </c>
      <c r="O220" s="94">
        <v>4469730.0933849998</v>
      </c>
      <c r="P220" s="96">
        <v>104.84</v>
      </c>
      <c r="Q220" s="84"/>
      <c r="R220" s="94">
        <v>4686.0650295139994</v>
      </c>
      <c r="S220" s="95">
        <v>2.4998602445556815E-2</v>
      </c>
      <c r="T220" s="95">
        <f t="shared" si="3"/>
        <v>8.8996066639648018E-4</v>
      </c>
      <c r="U220" s="95">
        <f>R220/'סכום נכסי הקרן'!$C$42</f>
        <v>8.0646746736056141E-5</v>
      </c>
    </row>
    <row r="221" spans="2:21" s="132" customFormat="1">
      <c r="B221" s="87" t="s">
        <v>855</v>
      </c>
      <c r="C221" s="84" t="s">
        <v>856</v>
      </c>
      <c r="D221" s="97" t="s">
        <v>128</v>
      </c>
      <c r="E221" s="97" t="s">
        <v>357</v>
      </c>
      <c r="F221" s="84" t="s">
        <v>614</v>
      </c>
      <c r="G221" s="97" t="s">
        <v>487</v>
      </c>
      <c r="H221" s="84" t="s">
        <v>640</v>
      </c>
      <c r="I221" s="84" t="s">
        <v>168</v>
      </c>
      <c r="J221" s="84"/>
      <c r="K221" s="94">
        <v>8.2800000000003973</v>
      </c>
      <c r="L221" s="97" t="s">
        <v>170</v>
      </c>
      <c r="M221" s="98">
        <v>3.4300000000000004E-2</v>
      </c>
      <c r="N221" s="98">
        <v>2.0400000000001205E-2</v>
      </c>
      <c r="O221" s="94">
        <v>7988633.4189139996</v>
      </c>
      <c r="P221" s="96">
        <v>112.04</v>
      </c>
      <c r="Q221" s="84"/>
      <c r="R221" s="94">
        <v>8950.4648831729992</v>
      </c>
      <c r="S221" s="95">
        <v>3.1466178584031827E-2</v>
      </c>
      <c r="T221" s="95">
        <f t="shared" si="3"/>
        <v>1.6998401946660693E-3</v>
      </c>
      <c r="U221" s="95">
        <f>R221/'סכום נכסי הקרן'!$C$42</f>
        <v>1.540366747061722E-4</v>
      </c>
    </row>
    <row r="222" spans="2:21" s="132" customFormat="1">
      <c r="B222" s="87" t="s">
        <v>857</v>
      </c>
      <c r="C222" s="84" t="s">
        <v>858</v>
      </c>
      <c r="D222" s="97" t="s">
        <v>128</v>
      </c>
      <c r="E222" s="97" t="s">
        <v>357</v>
      </c>
      <c r="F222" s="84" t="s">
        <v>859</v>
      </c>
      <c r="G222" s="97" t="s">
        <v>427</v>
      </c>
      <c r="H222" s="84" t="s">
        <v>644</v>
      </c>
      <c r="I222" s="84" t="s">
        <v>361</v>
      </c>
      <c r="J222" s="84"/>
      <c r="K222" s="94">
        <v>4.3699999999999228</v>
      </c>
      <c r="L222" s="97" t="s">
        <v>170</v>
      </c>
      <c r="M222" s="98">
        <v>3.9E-2</v>
      </c>
      <c r="N222" s="98">
        <v>3.7099999999998731E-2</v>
      </c>
      <c r="O222" s="94">
        <v>7599707.5087440005</v>
      </c>
      <c r="P222" s="96">
        <v>101.29</v>
      </c>
      <c r="Q222" s="84"/>
      <c r="R222" s="94">
        <v>7697.7437356070013</v>
      </c>
      <c r="S222" s="95">
        <v>1.8056279571251398E-2</v>
      </c>
      <c r="T222" s="95">
        <f t="shared" si="3"/>
        <v>1.4619278865194568E-3</v>
      </c>
      <c r="U222" s="95">
        <f>R222/'סכום נכסי הקרן'!$C$42</f>
        <v>1.3247745935547647E-4</v>
      </c>
    </row>
    <row r="223" spans="2:21" s="132" customFormat="1">
      <c r="B223" s="87" t="s">
        <v>860</v>
      </c>
      <c r="C223" s="84" t="s">
        <v>861</v>
      </c>
      <c r="D223" s="97" t="s">
        <v>128</v>
      </c>
      <c r="E223" s="97" t="s">
        <v>357</v>
      </c>
      <c r="F223" s="84" t="s">
        <v>862</v>
      </c>
      <c r="G223" s="97" t="s">
        <v>197</v>
      </c>
      <c r="H223" s="84" t="s">
        <v>644</v>
      </c>
      <c r="I223" s="84" t="s">
        <v>361</v>
      </c>
      <c r="J223" s="84"/>
      <c r="K223" s="94">
        <v>1.4799999999999156</v>
      </c>
      <c r="L223" s="97" t="s">
        <v>170</v>
      </c>
      <c r="M223" s="98">
        <v>1.3300000000000001E-2</v>
      </c>
      <c r="N223" s="98">
        <v>1.3399999999999275E-2</v>
      </c>
      <c r="O223" s="94">
        <v>3297988.8099099998</v>
      </c>
      <c r="P223" s="96">
        <v>100.02</v>
      </c>
      <c r="Q223" s="84"/>
      <c r="R223" s="94">
        <v>3298.6484073859992</v>
      </c>
      <c r="S223" s="95">
        <v>1.5096755101740938E-2</v>
      </c>
      <c r="T223" s="95">
        <f t="shared" si="3"/>
        <v>6.2646747673268958E-4</v>
      </c>
      <c r="U223" s="95">
        <f>R223/'סכום נכסי הקרן'!$C$42</f>
        <v>5.6769434697611015E-5</v>
      </c>
    </row>
    <row r="224" spans="2:21" s="132" customFormat="1">
      <c r="B224" s="87" t="s">
        <v>863</v>
      </c>
      <c r="C224" s="84" t="s">
        <v>864</v>
      </c>
      <c r="D224" s="97" t="s">
        <v>128</v>
      </c>
      <c r="E224" s="97" t="s">
        <v>357</v>
      </c>
      <c r="F224" s="84" t="s">
        <v>862</v>
      </c>
      <c r="G224" s="97" t="s">
        <v>197</v>
      </c>
      <c r="H224" s="84" t="s">
        <v>644</v>
      </c>
      <c r="I224" s="84" t="s">
        <v>361</v>
      </c>
      <c r="J224" s="84"/>
      <c r="K224" s="94">
        <v>2.4300000000000557</v>
      </c>
      <c r="L224" s="97" t="s">
        <v>170</v>
      </c>
      <c r="M224" s="98">
        <v>2.1600000000000001E-2</v>
      </c>
      <c r="N224" s="98">
        <v>1.3900000000000539E-2</v>
      </c>
      <c r="O224" s="94">
        <v>16326898.920758</v>
      </c>
      <c r="P224" s="96">
        <v>101.91</v>
      </c>
      <c r="Q224" s="84"/>
      <c r="R224" s="94">
        <v>16638.742689949002</v>
      </c>
      <c r="S224" s="95">
        <v>1.5994485528028974E-2</v>
      </c>
      <c r="T224" s="95">
        <f t="shared" si="3"/>
        <v>3.1599703459263186E-3</v>
      </c>
      <c r="U224" s="95">
        <f>R224/'סכום נכסי הקרן'!$C$42</f>
        <v>2.8635122629996657E-4</v>
      </c>
    </row>
    <row r="225" spans="2:21" s="132" customFormat="1">
      <c r="B225" s="87" t="s">
        <v>865</v>
      </c>
      <c r="C225" s="84" t="s">
        <v>866</v>
      </c>
      <c r="D225" s="97" t="s">
        <v>128</v>
      </c>
      <c r="E225" s="97" t="s">
        <v>357</v>
      </c>
      <c r="F225" s="84" t="s">
        <v>867</v>
      </c>
      <c r="G225" s="97" t="s">
        <v>868</v>
      </c>
      <c r="H225" s="84" t="s">
        <v>640</v>
      </c>
      <c r="I225" s="84" t="s">
        <v>168</v>
      </c>
      <c r="J225" s="84"/>
      <c r="K225" s="94">
        <v>5.9700000000002271</v>
      </c>
      <c r="L225" s="97" t="s">
        <v>170</v>
      </c>
      <c r="M225" s="98">
        <v>2.1600000000000001E-2</v>
      </c>
      <c r="N225" s="98">
        <v>2.2200000000000341E-2</v>
      </c>
      <c r="O225" s="94">
        <v>6486827.4000000004</v>
      </c>
      <c r="P225" s="96">
        <v>99.8</v>
      </c>
      <c r="Q225" s="84"/>
      <c r="R225" s="94">
        <v>6473.8540656490004</v>
      </c>
      <c r="S225" s="95">
        <v>2.8324159793206738E-2</v>
      </c>
      <c r="T225" s="95">
        <f t="shared" si="3"/>
        <v>1.2294911492118324E-3</v>
      </c>
      <c r="U225" s="95">
        <f>R225/'סכום נכסי הקרן'!$C$42</f>
        <v>1.1141443107389609E-4</v>
      </c>
    </row>
    <row r="226" spans="2:21" s="132" customFormat="1">
      <c r="B226" s="87" t="s">
        <v>869</v>
      </c>
      <c r="C226" s="84" t="s">
        <v>870</v>
      </c>
      <c r="D226" s="97" t="s">
        <v>128</v>
      </c>
      <c r="E226" s="97" t="s">
        <v>357</v>
      </c>
      <c r="F226" s="84" t="s">
        <v>818</v>
      </c>
      <c r="G226" s="97" t="s">
        <v>159</v>
      </c>
      <c r="H226" s="84" t="s">
        <v>640</v>
      </c>
      <c r="I226" s="84" t="s">
        <v>168</v>
      </c>
      <c r="J226" s="84"/>
      <c r="K226" s="94">
        <v>2.2300000000003766</v>
      </c>
      <c r="L226" s="97" t="s">
        <v>170</v>
      </c>
      <c r="M226" s="98">
        <v>2.4E-2</v>
      </c>
      <c r="N226" s="98">
        <v>1.5100000000001139E-2</v>
      </c>
      <c r="O226" s="94">
        <v>2833439.8629049999</v>
      </c>
      <c r="P226" s="96">
        <v>102.22</v>
      </c>
      <c r="Q226" s="84"/>
      <c r="R226" s="94">
        <v>2896.3422273169999</v>
      </c>
      <c r="S226" s="95">
        <v>8.9481176021817682E-3</v>
      </c>
      <c r="T226" s="95">
        <f t="shared" si="3"/>
        <v>5.5006292966502729E-4</v>
      </c>
      <c r="U226" s="95">
        <f>R226/'סכום נכסי הקרן'!$C$42</f>
        <v>4.9845782462733754E-5</v>
      </c>
    </row>
    <row r="227" spans="2:21" s="132" customFormat="1">
      <c r="B227" s="87" t="s">
        <v>871</v>
      </c>
      <c r="C227" s="84" t="s">
        <v>872</v>
      </c>
      <c r="D227" s="97" t="s">
        <v>128</v>
      </c>
      <c r="E227" s="97" t="s">
        <v>357</v>
      </c>
      <c r="F227" s="84" t="s">
        <v>873</v>
      </c>
      <c r="G227" s="97" t="s">
        <v>427</v>
      </c>
      <c r="H227" s="84" t="s">
        <v>644</v>
      </c>
      <c r="I227" s="84" t="s">
        <v>361</v>
      </c>
      <c r="J227" s="84"/>
      <c r="K227" s="94">
        <v>0.71000000000000918</v>
      </c>
      <c r="L227" s="97" t="s">
        <v>170</v>
      </c>
      <c r="M227" s="98">
        <v>5.0999999999999997E-2</v>
      </c>
      <c r="N227" s="98">
        <v>1.9899999999999977E-2</v>
      </c>
      <c r="O227" s="94">
        <v>13742046.986326002</v>
      </c>
      <c r="P227" s="96">
        <v>103.5</v>
      </c>
      <c r="Q227" s="84"/>
      <c r="R227" s="94">
        <v>14223.018172397</v>
      </c>
      <c r="S227" s="95">
        <v>1.9087501890861867E-2</v>
      </c>
      <c r="T227" s="95">
        <f t="shared" si="3"/>
        <v>2.7011846082273549E-3</v>
      </c>
      <c r="U227" s="95">
        <f>R227/'סכום נכסי הקרן'!$C$42</f>
        <v>2.4477683027172728E-4</v>
      </c>
    </row>
    <row r="228" spans="2:21" s="132" customFormat="1">
      <c r="B228" s="87" t="s">
        <v>874</v>
      </c>
      <c r="C228" s="84" t="s">
        <v>875</v>
      </c>
      <c r="D228" s="97" t="s">
        <v>128</v>
      </c>
      <c r="E228" s="97" t="s">
        <v>357</v>
      </c>
      <c r="F228" s="84" t="s">
        <v>876</v>
      </c>
      <c r="G228" s="97" t="s">
        <v>877</v>
      </c>
      <c r="H228" s="84" t="s">
        <v>644</v>
      </c>
      <c r="I228" s="84" t="s">
        <v>361</v>
      </c>
      <c r="J228" s="84"/>
      <c r="K228" s="94">
        <v>5.1799999999994997</v>
      </c>
      <c r="L228" s="97" t="s">
        <v>170</v>
      </c>
      <c r="M228" s="98">
        <v>2.6200000000000001E-2</v>
      </c>
      <c r="N228" s="98">
        <v>1.559999999999833E-2</v>
      </c>
      <c r="O228" s="94">
        <v>3365753.4731020005</v>
      </c>
      <c r="P228" s="96">
        <v>105.52</v>
      </c>
      <c r="Q228" s="94">
        <v>44.091370615999999</v>
      </c>
      <c r="R228" s="94">
        <v>3595.6343981099999</v>
      </c>
      <c r="S228" s="95">
        <v>6.9815748658096349E-3</v>
      </c>
      <c r="T228" s="95">
        <f t="shared" si="3"/>
        <v>6.8286999111319586E-4</v>
      </c>
      <c r="U228" s="95">
        <f>R228/'סכום נכסי הקרן'!$C$42</f>
        <v>6.1880536192623597E-5</v>
      </c>
    </row>
    <row r="229" spans="2:21" s="132" customFormat="1">
      <c r="B229" s="87" t="s">
        <v>878</v>
      </c>
      <c r="C229" s="84" t="s">
        <v>879</v>
      </c>
      <c r="D229" s="97" t="s">
        <v>128</v>
      </c>
      <c r="E229" s="97" t="s">
        <v>357</v>
      </c>
      <c r="F229" s="84" t="s">
        <v>876</v>
      </c>
      <c r="G229" s="97" t="s">
        <v>877</v>
      </c>
      <c r="H229" s="84" t="s">
        <v>644</v>
      </c>
      <c r="I229" s="84" t="s">
        <v>361</v>
      </c>
      <c r="J229" s="84"/>
      <c r="K229" s="94">
        <v>3.0999999999999188</v>
      </c>
      <c r="L229" s="97" t="s">
        <v>170</v>
      </c>
      <c r="M229" s="98">
        <v>3.3500000000000002E-2</v>
      </c>
      <c r="N229" s="98">
        <v>1.3000000000000272E-2</v>
      </c>
      <c r="O229" s="94">
        <v>3432795.9214740004</v>
      </c>
      <c r="P229" s="96">
        <v>107.3</v>
      </c>
      <c r="Q229" s="84"/>
      <c r="R229" s="94">
        <v>3683.3900232730002</v>
      </c>
      <c r="S229" s="95">
        <v>8.3259017186235774E-3</v>
      </c>
      <c r="T229" s="95">
        <f t="shared" si="3"/>
        <v>6.9953622475660802E-4</v>
      </c>
      <c r="U229" s="95">
        <f>R229/'סכום נכסי הקרן'!$C$42</f>
        <v>6.3390802403743332E-5</v>
      </c>
    </row>
    <row r="230" spans="2:21" s="132" customFormat="1">
      <c r="B230" s="87" t="s">
        <v>880</v>
      </c>
      <c r="C230" s="84" t="s">
        <v>881</v>
      </c>
      <c r="D230" s="97" t="s">
        <v>128</v>
      </c>
      <c r="E230" s="97" t="s">
        <v>357</v>
      </c>
      <c r="F230" s="84" t="s">
        <v>639</v>
      </c>
      <c r="G230" s="97" t="s">
        <v>365</v>
      </c>
      <c r="H230" s="84" t="s">
        <v>669</v>
      </c>
      <c r="I230" s="84" t="s">
        <v>168</v>
      </c>
      <c r="J230" s="84"/>
      <c r="K230" s="94">
        <v>0.68999999999945982</v>
      </c>
      <c r="L230" s="97" t="s">
        <v>170</v>
      </c>
      <c r="M230" s="98">
        <v>2.63E-2</v>
      </c>
      <c r="N230" s="98">
        <v>7.90000000000597E-3</v>
      </c>
      <c r="O230" s="94">
        <v>693501.65307999996</v>
      </c>
      <c r="P230" s="96">
        <v>101.43</v>
      </c>
      <c r="Q230" s="84"/>
      <c r="R230" s="94">
        <v>703.41869710200001</v>
      </c>
      <c r="S230" s="95">
        <v>7.1844610173213983E-3</v>
      </c>
      <c r="T230" s="95">
        <f t="shared" si="3"/>
        <v>1.3359075652724455E-4</v>
      </c>
      <c r="U230" s="95">
        <f>R230/'סכום נכסי הקרן'!$C$42</f>
        <v>1.2105770866879112E-5</v>
      </c>
    </row>
    <row r="231" spans="2:21" s="132" customFormat="1">
      <c r="B231" s="87" t="s">
        <v>882</v>
      </c>
      <c r="C231" s="84" t="s">
        <v>883</v>
      </c>
      <c r="D231" s="97" t="s">
        <v>128</v>
      </c>
      <c r="E231" s="97" t="s">
        <v>357</v>
      </c>
      <c r="F231" s="84" t="s">
        <v>884</v>
      </c>
      <c r="G231" s="97" t="s">
        <v>487</v>
      </c>
      <c r="H231" s="84" t="s">
        <v>669</v>
      </c>
      <c r="I231" s="84" t="s">
        <v>168</v>
      </c>
      <c r="J231" s="84"/>
      <c r="K231" s="94">
        <v>5.4000000000006008</v>
      </c>
      <c r="L231" s="97" t="s">
        <v>170</v>
      </c>
      <c r="M231" s="98">
        <v>3.27E-2</v>
      </c>
      <c r="N231" s="98">
        <v>1.6400000000001424E-2</v>
      </c>
      <c r="O231" s="94">
        <v>3345758.3219380002</v>
      </c>
      <c r="P231" s="96">
        <v>109.55</v>
      </c>
      <c r="Q231" s="84"/>
      <c r="R231" s="94">
        <v>3665.2782420069998</v>
      </c>
      <c r="S231" s="95">
        <v>1.5003400546807176E-2</v>
      </c>
      <c r="T231" s="95">
        <f t="shared" si="3"/>
        <v>6.9609650020656508E-4</v>
      </c>
      <c r="U231" s="95">
        <f>R231/'סכום נכסי הקרן'!$C$42</f>
        <v>6.3079100319478944E-5</v>
      </c>
    </row>
    <row r="232" spans="2:21" s="132" customFormat="1">
      <c r="B232" s="87" t="s">
        <v>885</v>
      </c>
      <c r="C232" s="84" t="s">
        <v>886</v>
      </c>
      <c r="D232" s="97" t="s">
        <v>128</v>
      </c>
      <c r="E232" s="97" t="s">
        <v>357</v>
      </c>
      <c r="F232" s="84" t="s">
        <v>683</v>
      </c>
      <c r="G232" s="97" t="s">
        <v>491</v>
      </c>
      <c r="H232" s="84" t="s">
        <v>677</v>
      </c>
      <c r="I232" s="84" t="s">
        <v>361</v>
      </c>
      <c r="J232" s="84"/>
      <c r="K232" s="94">
        <v>1.4599999999999718</v>
      </c>
      <c r="L232" s="97" t="s">
        <v>170</v>
      </c>
      <c r="M232" s="98">
        <v>0.06</v>
      </c>
      <c r="N232" s="98">
        <v>1.400000000000047E-2</v>
      </c>
      <c r="O232" s="94">
        <v>3984998.4519540002</v>
      </c>
      <c r="P232" s="96">
        <v>106.8</v>
      </c>
      <c r="Q232" s="84"/>
      <c r="R232" s="94">
        <v>4255.9782145220006</v>
      </c>
      <c r="S232" s="95">
        <v>1.4567766174408801E-2</v>
      </c>
      <c r="T232" s="95">
        <f t="shared" si="3"/>
        <v>8.082801207642921E-4</v>
      </c>
      <c r="U232" s="95">
        <f>R232/'סכום נכסי הקרן'!$C$42</f>
        <v>7.3244992337702426E-5</v>
      </c>
    </row>
    <row r="233" spans="2:21" s="132" customFormat="1">
      <c r="B233" s="87" t="s">
        <v>887</v>
      </c>
      <c r="C233" s="84" t="s">
        <v>888</v>
      </c>
      <c r="D233" s="97" t="s">
        <v>128</v>
      </c>
      <c r="E233" s="97" t="s">
        <v>357</v>
      </c>
      <c r="F233" s="84" t="s">
        <v>683</v>
      </c>
      <c r="G233" s="97" t="s">
        <v>491</v>
      </c>
      <c r="H233" s="84" t="s">
        <v>677</v>
      </c>
      <c r="I233" s="84" t="s">
        <v>361</v>
      </c>
      <c r="J233" s="84"/>
      <c r="K233" s="94">
        <v>2.7999999999980436</v>
      </c>
      <c r="L233" s="97" t="s">
        <v>170</v>
      </c>
      <c r="M233" s="98">
        <v>5.9000000000000004E-2</v>
      </c>
      <c r="N233" s="98">
        <v>1.6999999999921744E-2</v>
      </c>
      <c r="O233" s="94">
        <v>91186.552284999998</v>
      </c>
      <c r="P233" s="96">
        <v>112.11</v>
      </c>
      <c r="Q233" s="84"/>
      <c r="R233" s="94">
        <v>102.229243334</v>
      </c>
      <c r="S233" s="95">
        <v>1.079282087352955E-4</v>
      </c>
      <c r="T233" s="95">
        <f t="shared" si="3"/>
        <v>1.9415011304734343E-5</v>
      </c>
      <c r="U233" s="95">
        <f>R233/'סכום נכסי הקרן'!$C$42</f>
        <v>1.7593558442424778E-6</v>
      </c>
    </row>
    <row r="234" spans="2:21" s="132" customFormat="1">
      <c r="B234" s="87" t="s">
        <v>889</v>
      </c>
      <c r="C234" s="84" t="s">
        <v>890</v>
      </c>
      <c r="D234" s="97" t="s">
        <v>128</v>
      </c>
      <c r="E234" s="97" t="s">
        <v>357</v>
      </c>
      <c r="F234" s="84" t="s">
        <v>694</v>
      </c>
      <c r="G234" s="97" t="s">
        <v>197</v>
      </c>
      <c r="H234" s="84" t="s">
        <v>677</v>
      </c>
      <c r="I234" s="84" t="s">
        <v>361</v>
      </c>
      <c r="J234" s="84"/>
      <c r="K234" s="94">
        <v>2.9499999999999162</v>
      </c>
      <c r="L234" s="97" t="s">
        <v>170</v>
      </c>
      <c r="M234" s="98">
        <v>4.1399999999999999E-2</v>
      </c>
      <c r="N234" s="98">
        <v>3.0499999999998435E-2</v>
      </c>
      <c r="O234" s="94">
        <v>3958336.8648160007</v>
      </c>
      <c r="P234" s="96">
        <v>103.21</v>
      </c>
      <c r="Q234" s="94">
        <v>81.937574099999992</v>
      </c>
      <c r="R234" s="94">
        <v>4167.3370517929998</v>
      </c>
      <c r="S234" s="95">
        <v>6.154054767160088E-3</v>
      </c>
      <c r="T234" s="95">
        <f t="shared" si="3"/>
        <v>7.9144570900184117E-4</v>
      </c>
      <c r="U234" s="95">
        <f>R234/'סכום נכסי הקרן'!$C$42</f>
        <v>7.1719486106787685E-5</v>
      </c>
    </row>
    <row r="235" spans="2:21" s="132" customFormat="1">
      <c r="B235" s="87" t="s">
        <v>891</v>
      </c>
      <c r="C235" s="84" t="s">
        <v>892</v>
      </c>
      <c r="D235" s="97" t="s">
        <v>128</v>
      </c>
      <c r="E235" s="97" t="s">
        <v>357</v>
      </c>
      <c r="F235" s="84" t="s">
        <v>694</v>
      </c>
      <c r="G235" s="97" t="s">
        <v>197</v>
      </c>
      <c r="H235" s="84" t="s">
        <v>677</v>
      </c>
      <c r="I235" s="84" t="s">
        <v>361</v>
      </c>
      <c r="J235" s="84"/>
      <c r="K235" s="94">
        <v>5.290000000000008</v>
      </c>
      <c r="L235" s="97" t="s">
        <v>170</v>
      </c>
      <c r="M235" s="98">
        <v>2.5000000000000001E-2</v>
      </c>
      <c r="N235" s="98">
        <v>4.709999999999992E-2</v>
      </c>
      <c r="O235" s="94">
        <v>13118778.751275999</v>
      </c>
      <c r="P235" s="96">
        <v>89.22</v>
      </c>
      <c r="Q235" s="94">
        <v>327.96947072799998</v>
      </c>
      <c r="R235" s="94">
        <v>12032.543580579</v>
      </c>
      <c r="S235" s="95">
        <v>2.1543152588187571E-2</v>
      </c>
      <c r="T235" s="95">
        <f t="shared" si="3"/>
        <v>2.2851775286881529E-3</v>
      </c>
      <c r="U235" s="95">
        <f>R235/'סכום נכסי הקרן'!$C$42</f>
        <v>2.0707896467970127E-4</v>
      </c>
    </row>
    <row r="236" spans="2:21" s="132" customFormat="1">
      <c r="B236" s="87" t="s">
        <v>893</v>
      </c>
      <c r="C236" s="84" t="s">
        <v>894</v>
      </c>
      <c r="D236" s="97" t="s">
        <v>128</v>
      </c>
      <c r="E236" s="97" t="s">
        <v>357</v>
      </c>
      <c r="F236" s="84" t="s">
        <v>694</v>
      </c>
      <c r="G236" s="97" t="s">
        <v>197</v>
      </c>
      <c r="H236" s="84" t="s">
        <v>677</v>
      </c>
      <c r="I236" s="84" t="s">
        <v>361</v>
      </c>
      <c r="J236" s="84"/>
      <c r="K236" s="94">
        <v>3.8800000000001025</v>
      </c>
      <c r="L236" s="97" t="s">
        <v>170</v>
      </c>
      <c r="M236" s="98">
        <v>3.5499999999999997E-2</v>
      </c>
      <c r="N236" s="98">
        <v>4.4100000000000764E-2</v>
      </c>
      <c r="O236" s="94">
        <v>5151212.9909189995</v>
      </c>
      <c r="P236" s="96">
        <v>96.92</v>
      </c>
      <c r="Q236" s="94">
        <v>91.434031236999999</v>
      </c>
      <c r="R236" s="94">
        <v>5083.9894329210001</v>
      </c>
      <c r="S236" s="95">
        <v>7.2487567311991822E-3</v>
      </c>
      <c r="T236" s="95">
        <f t="shared" si="3"/>
        <v>9.655330421533408E-4</v>
      </c>
      <c r="U236" s="95">
        <f>R236/'סכום נכסי הקרן'!$C$42</f>
        <v>8.7494988998923094E-5</v>
      </c>
    </row>
    <row r="237" spans="2:21" s="132" customFormat="1">
      <c r="B237" s="87" t="s">
        <v>895</v>
      </c>
      <c r="C237" s="84" t="s">
        <v>896</v>
      </c>
      <c r="D237" s="97" t="s">
        <v>128</v>
      </c>
      <c r="E237" s="97" t="s">
        <v>357</v>
      </c>
      <c r="F237" s="84" t="s">
        <v>897</v>
      </c>
      <c r="G237" s="97" t="s">
        <v>491</v>
      </c>
      <c r="H237" s="84" t="s">
        <v>700</v>
      </c>
      <c r="I237" s="84" t="s">
        <v>168</v>
      </c>
      <c r="J237" s="84"/>
      <c r="K237" s="94">
        <v>5.4600000000002495</v>
      </c>
      <c r="L237" s="97" t="s">
        <v>170</v>
      </c>
      <c r="M237" s="98">
        <v>4.4500000000000005E-2</v>
      </c>
      <c r="N237" s="98">
        <v>2.0500000000000861E-2</v>
      </c>
      <c r="O237" s="94">
        <v>7190866.4818869997</v>
      </c>
      <c r="P237" s="96">
        <v>113.46</v>
      </c>
      <c r="Q237" s="84"/>
      <c r="R237" s="94">
        <v>8158.7571904260003</v>
      </c>
      <c r="S237" s="95">
        <v>2.5133047484506066E-2</v>
      </c>
      <c r="T237" s="95">
        <f t="shared" si="3"/>
        <v>1.5494819086861128E-3</v>
      </c>
      <c r="U237" s="95">
        <f>R237/'סכום נכסי הקרן'!$C$42</f>
        <v>1.4041145837139667E-4</v>
      </c>
    </row>
    <row r="238" spans="2:21" s="132" customFormat="1">
      <c r="B238" s="87" t="s">
        <v>898</v>
      </c>
      <c r="C238" s="84" t="s">
        <v>899</v>
      </c>
      <c r="D238" s="97" t="s">
        <v>128</v>
      </c>
      <c r="E238" s="97" t="s">
        <v>357</v>
      </c>
      <c r="F238" s="84" t="s">
        <v>900</v>
      </c>
      <c r="G238" s="97" t="s">
        <v>427</v>
      </c>
      <c r="H238" s="84" t="s">
        <v>700</v>
      </c>
      <c r="I238" s="84" t="s">
        <v>168</v>
      </c>
      <c r="J238" s="84"/>
      <c r="K238" s="94">
        <v>3.5599999999998699</v>
      </c>
      <c r="L238" s="97" t="s">
        <v>170</v>
      </c>
      <c r="M238" s="98">
        <v>4.2000000000000003E-2</v>
      </c>
      <c r="N238" s="98">
        <v>7.119999999999567E-2</v>
      </c>
      <c r="O238" s="94">
        <v>6344895.4140990004</v>
      </c>
      <c r="P238" s="96">
        <v>92</v>
      </c>
      <c r="Q238" s="84"/>
      <c r="R238" s="94">
        <v>5837.3037816460001</v>
      </c>
      <c r="S238" s="95">
        <v>1.0667344905952439E-2</v>
      </c>
      <c r="T238" s="95">
        <f t="shared" si="3"/>
        <v>1.1085998019133654E-3</v>
      </c>
      <c r="U238" s="95">
        <f>R238/'סכום נכסי הקרן'!$C$42</f>
        <v>1.0045945942595062E-4</v>
      </c>
    </row>
    <row r="239" spans="2:21" s="132" customFormat="1">
      <c r="B239" s="87" t="s">
        <v>901</v>
      </c>
      <c r="C239" s="84" t="s">
        <v>902</v>
      </c>
      <c r="D239" s="97" t="s">
        <v>128</v>
      </c>
      <c r="E239" s="97" t="s">
        <v>357</v>
      </c>
      <c r="F239" s="84" t="s">
        <v>900</v>
      </c>
      <c r="G239" s="97" t="s">
        <v>427</v>
      </c>
      <c r="H239" s="84" t="s">
        <v>700</v>
      </c>
      <c r="I239" s="84" t="s">
        <v>168</v>
      </c>
      <c r="J239" s="84"/>
      <c r="K239" s="94">
        <v>4.0700000000001317</v>
      </c>
      <c r="L239" s="97" t="s">
        <v>170</v>
      </c>
      <c r="M239" s="98">
        <v>3.2500000000000001E-2</v>
      </c>
      <c r="N239" s="98">
        <v>4.9600000000001955E-2</v>
      </c>
      <c r="O239" s="94">
        <v>10597906.937788</v>
      </c>
      <c r="P239" s="96">
        <v>94.88</v>
      </c>
      <c r="Q239" s="84"/>
      <c r="R239" s="94">
        <v>10055.293750624</v>
      </c>
      <c r="S239" s="95">
        <v>1.2920510897175093E-2</v>
      </c>
      <c r="T239" s="95">
        <f t="shared" si="3"/>
        <v>1.9096653313080028E-3</v>
      </c>
      <c r="U239" s="95">
        <f>R239/'סכום נכסי הקרן'!$C$42</f>
        <v>1.7305067756332961E-4</v>
      </c>
    </row>
    <row r="240" spans="2:21" s="132" customFormat="1">
      <c r="B240" s="87" t="s">
        <v>903</v>
      </c>
      <c r="C240" s="84" t="s">
        <v>904</v>
      </c>
      <c r="D240" s="97" t="s">
        <v>128</v>
      </c>
      <c r="E240" s="97" t="s">
        <v>357</v>
      </c>
      <c r="F240" s="84" t="s">
        <v>905</v>
      </c>
      <c r="G240" s="97" t="s">
        <v>427</v>
      </c>
      <c r="H240" s="84" t="s">
        <v>700</v>
      </c>
      <c r="I240" s="84" t="s">
        <v>168</v>
      </c>
      <c r="J240" s="84"/>
      <c r="K240" s="94">
        <v>3.1199999999999206</v>
      </c>
      <c r="L240" s="97" t="s">
        <v>170</v>
      </c>
      <c r="M240" s="98">
        <v>4.5999999999999999E-2</v>
      </c>
      <c r="N240" s="98">
        <v>5.7200000000000903E-2</v>
      </c>
      <c r="O240" s="94">
        <v>3623259.5308059994</v>
      </c>
      <c r="P240" s="96">
        <v>97.99</v>
      </c>
      <c r="Q240" s="84"/>
      <c r="R240" s="94">
        <v>3550.4320142940001</v>
      </c>
      <c r="S240" s="95">
        <v>1.516360652774165E-2</v>
      </c>
      <c r="T240" s="95">
        <f t="shared" si="3"/>
        <v>6.7428531647248369E-4</v>
      </c>
      <c r="U240" s="95">
        <f>R240/'סכום נכסי הקרן'!$C$42</f>
        <v>6.1102607338347107E-5</v>
      </c>
    </row>
    <row r="241" spans="2:21" s="132" customFormat="1">
      <c r="B241" s="87" t="s">
        <v>906</v>
      </c>
      <c r="C241" s="84" t="s">
        <v>907</v>
      </c>
      <c r="D241" s="97" t="s">
        <v>128</v>
      </c>
      <c r="E241" s="97" t="s">
        <v>357</v>
      </c>
      <c r="F241" s="84" t="s">
        <v>908</v>
      </c>
      <c r="G241" s="97" t="s">
        <v>491</v>
      </c>
      <c r="H241" s="84" t="s">
        <v>909</v>
      </c>
      <c r="I241" s="84" t="s">
        <v>361</v>
      </c>
      <c r="J241" s="84"/>
      <c r="K241" s="94">
        <v>0.90999999999973846</v>
      </c>
      <c r="L241" s="97" t="s">
        <v>170</v>
      </c>
      <c r="M241" s="98">
        <v>4.7E-2</v>
      </c>
      <c r="N241" s="98">
        <v>1.1900000000005522E-2</v>
      </c>
      <c r="O241" s="94">
        <v>332177.45749900001</v>
      </c>
      <c r="P241" s="96">
        <v>103.58</v>
      </c>
      <c r="Q241" s="84"/>
      <c r="R241" s="94">
        <v>344.06940009900001</v>
      </c>
      <c r="S241" s="95">
        <v>1.5079235251080405E-2</v>
      </c>
      <c r="T241" s="95">
        <f t="shared" si="3"/>
        <v>6.5344426650114289E-5</v>
      </c>
      <c r="U241" s="95">
        <f>R241/'סכום נכסי הקרן'!$C$42</f>
        <v>5.9214026255817086E-6</v>
      </c>
    </row>
    <row r="242" spans="2:21" s="132" customFormat="1">
      <c r="B242" s="83"/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94"/>
      <c r="P242" s="96"/>
      <c r="Q242" s="84"/>
      <c r="R242" s="84"/>
      <c r="S242" s="84"/>
      <c r="T242" s="95"/>
      <c r="U242" s="84"/>
    </row>
    <row r="243" spans="2:21" s="132" customFormat="1">
      <c r="B243" s="102" t="s">
        <v>51</v>
      </c>
      <c r="C243" s="82"/>
      <c r="D243" s="82"/>
      <c r="E243" s="82"/>
      <c r="F243" s="82"/>
      <c r="G243" s="82"/>
      <c r="H243" s="82"/>
      <c r="I243" s="82"/>
      <c r="J243" s="82"/>
      <c r="K243" s="91">
        <v>3.9922233318587228</v>
      </c>
      <c r="L243" s="82"/>
      <c r="M243" s="82"/>
      <c r="N243" s="104">
        <v>5.7877019273481496E-2</v>
      </c>
      <c r="O243" s="91"/>
      <c r="P243" s="93"/>
      <c r="Q243" s="82"/>
      <c r="R243" s="91">
        <f>SUM(R244:R247)</f>
        <v>93915.572711979999</v>
      </c>
      <c r="S243" s="82"/>
      <c r="T243" s="92">
        <f t="shared" si="3"/>
        <v>1.7836108792632178E-2</v>
      </c>
      <c r="U243" s="92">
        <f>R243/'סכום נכסי הקרן'!$C$42</f>
        <v>1.6162783400084887E-3</v>
      </c>
    </row>
    <row r="244" spans="2:21" s="132" customFormat="1">
      <c r="B244" s="87" t="s">
        <v>910</v>
      </c>
      <c r="C244" s="84" t="s">
        <v>911</v>
      </c>
      <c r="D244" s="97" t="s">
        <v>128</v>
      </c>
      <c r="E244" s="97" t="s">
        <v>357</v>
      </c>
      <c r="F244" s="84" t="s">
        <v>912</v>
      </c>
      <c r="G244" s="97" t="s">
        <v>154</v>
      </c>
      <c r="H244" s="84" t="s">
        <v>457</v>
      </c>
      <c r="I244" s="84" t="s">
        <v>361</v>
      </c>
      <c r="J244" s="84"/>
      <c r="K244" s="94">
        <v>2.8199999999999852</v>
      </c>
      <c r="L244" s="97" t="s">
        <v>170</v>
      </c>
      <c r="M244" s="98">
        <v>3.49E-2</v>
      </c>
      <c r="N244" s="98">
        <v>3.8699999999999742E-2</v>
      </c>
      <c r="O244" s="94">
        <v>42250267.585574999</v>
      </c>
      <c r="P244" s="96">
        <v>95.52</v>
      </c>
      <c r="Q244" s="84"/>
      <c r="R244" s="94">
        <v>40357.456451869002</v>
      </c>
      <c r="S244" s="95">
        <v>2.0968118149774072E-2</v>
      </c>
      <c r="T244" s="95">
        <f t="shared" si="3"/>
        <v>7.6645434093980634E-3</v>
      </c>
      <c r="U244" s="95">
        <f>R244/'סכום נכסי הקרן'!$C$42</f>
        <v>6.9454810142121422E-4</v>
      </c>
    </row>
    <row r="245" spans="2:21" s="132" customFormat="1">
      <c r="B245" s="87" t="s">
        <v>913</v>
      </c>
      <c r="C245" s="84" t="s">
        <v>914</v>
      </c>
      <c r="D245" s="97" t="s">
        <v>128</v>
      </c>
      <c r="E245" s="97" t="s">
        <v>357</v>
      </c>
      <c r="F245" s="84" t="s">
        <v>915</v>
      </c>
      <c r="G245" s="97" t="s">
        <v>154</v>
      </c>
      <c r="H245" s="84" t="s">
        <v>640</v>
      </c>
      <c r="I245" s="84" t="s">
        <v>168</v>
      </c>
      <c r="J245" s="84"/>
      <c r="K245" s="94">
        <v>4.8400000000000656</v>
      </c>
      <c r="L245" s="97" t="s">
        <v>170</v>
      </c>
      <c r="M245" s="98">
        <v>4.6900000000000004E-2</v>
      </c>
      <c r="N245" s="98">
        <v>7.3600000000000859E-2</v>
      </c>
      <c r="O245" s="94">
        <v>19418610.207860999</v>
      </c>
      <c r="P245" s="96">
        <v>88.16</v>
      </c>
      <c r="Q245" s="84"/>
      <c r="R245" s="94">
        <v>17119.446520132002</v>
      </c>
      <c r="S245" s="95">
        <v>9.4120584300416855E-3</v>
      </c>
      <c r="T245" s="95">
        <f t="shared" si="3"/>
        <v>3.2512638935733454E-3</v>
      </c>
      <c r="U245" s="95">
        <f>R245/'סכום נכסי הקרן'!$C$42</f>
        <v>2.9462409485890779E-4</v>
      </c>
    </row>
    <row r="246" spans="2:21" s="132" customFormat="1">
      <c r="B246" s="87" t="s">
        <v>916</v>
      </c>
      <c r="C246" s="84" t="s">
        <v>917</v>
      </c>
      <c r="D246" s="97" t="s">
        <v>128</v>
      </c>
      <c r="E246" s="97" t="s">
        <v>357</v>
      </c>
      <c r="F246" s="84" t="s">
        <v>915</v>
      </c>
      <c r="G246" s="97" t="s">
        <v>154</v>
      </c>
      <c r="H246" s="84" t="s">
        <v>640</v>
      </c>
      <c r="I246" s="84" t="s">
        <v>168</v>
      </c>
      <c r="J246" s="84"/>
      <c r="K246" s="94">
        <v>5.0400000000000693</v>
      </c>
      <c r="L246" s="97" t="s">
        <v>170</v>
      </c>
      <c r="M246" s="98">
        <v>4.6900000000000004E-2</v>
      </c>
      <c r="N246" s="98">
        <v>7.3700000000000931E-2</v>
      </c>
      <c r="O246" s="94">
        <v>38588599.700227998</v>
      </c>
      <c r="P246" s="96">
        <v>89.26</v>
      </c>
      <c r="Q246" s="84"/>
      <c r="R246" s="94">
        <v>34444.187060140001</v>
      </c>
      <c r="S246" s="95">
        <v>2.2693170146304835E-2</v>
      </c>
      <c r="T246" s="95">
        <f t="shared" si="3"/>
        <v>6.5415164912268394E-3</v>
      </c>
      <c r="U246" s="95">
        <f>R246/'סכום נכסי הקרן'!$C$42</f>
        <v>5.9278128085570861E-4</v>
      </c>
    </row>
    <row r="247" spans="2:21" s="132" customFormat="1">
      <c r="B247" s="87" t="s">
        <v>918</v>
      </c>
      <c r="C247" s="84" t="s">
        <v>919</v>
      </c>
      <c r="D247" s="97" t="s">
        <v>128</v>
      </c>
      <c r="E247" s="97" t="s">
        <v>357</v>
      </c>
      <c r="F247" s="84" t="s">
        <v>683</v>
      </c>
      <c r="G247" s="97" t="s">
        <v>491</v>
      </c>
      <c r="H247" s="84" t="s">
        <v>677</v>
      </c>
      <c r="I247" s="84" t="s">
        <v>361</v>
      </c>
      <c r="J247" s="84"/>
      <c r="K247" s="94">
        <v>2.3399999999998697</v>
      </c>
      <c r="L247" s="97" t="s">
        <v>170</v>
      </c>
      <c r="M247" s="98">
        <v>6.7000000000000004E-2</v>
      </c>
      <c r="N247" s="98">
        <v>3.7699999999994828E-2</v>
      </c>
      <c r="O247" s="94">
        <v>2091968.4098779999</v>
      </c>
      <c r="P247" s="96">
        <v>95.34</v>
      </c>
      <c r="Q247" s="84"/>
      <c r="R247" s="94">
        <v>1994.4826798390002</v>
      </c>
      <c r="S247" s="95">
        <v>1.8285124104750693E-3</v>
      </c>
      <c r="T247" s="95">
        <f t="shared" si="3"/>
        <v>3.7878499843392994E-4</v>
      </c>
      <c r="U247" s="95">
        <f>R247/'סכום נכסי הקרן'!$C$42</f>
        <v>3.4324862872658062E-5</v>
      </c>
    </row>
    <row r="248" spans="2:21" s="132" customFormat="1">
      <c r="B248" s="83"/>
      <c r="C248" s="84"/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94"/>
      <c r="P248" s="96"/>
      <c r="Q248" s="84"/>
      <c r="R248" s="84"/>
      <c r="S248" s="84"/>
      <c r="T248" s="95"/>
      <c r="U248" s="84"/>
    </row>
    <row r="249" spans="2:21" s="132" customFormat="1">
      <c r="B249" s="81" t="s">
        <v>242</v>
      </c>
      <c r="C249" s="82"/>
      <c r="D249" s="82"/>
      <c r="E249" s="82"/>
      <c r="F249" s="82"/>
      <c r="G249" s="82"/>
      <c r="H249" s="82"/>
      <c r="I249" s="82"/>
      <c r="J249" s="82"/>
      <c r="K249" s="91">
        <v>6.1540101804967762</v>
      </c>
      <c r="L249" s="82"/>
      <c r="M249" s="82"/>
      <c r="N249" s="104">
        <v>3.5833249242467752E-2</v>
      </c>
      <c r="O249" s="91"/>
      <c r="P249" s="93"/>
      <c r="Q249" s="82"/>
      <c r="R249" s="91">
        <f>R250+R257</f>
        <v>1710545.2122078326</v>
      </c>
      <c r="S249" s="82"/>
      <c r="T249" s="92">
        <f t="shared" si="3"/>
        <v>0.32486061276782446</v>
      </c>
      <c r="U249" s="92">
        <f>R249/'סכום נכסי הקרן'!$C$42</f>
        <v>2.9438325255978261E-2</v>
      </c>
    </row>
    <row r="250" spans="2:21" s="132" customFormat="1">
      <c r="B250" s="102" t="s">
        <v>69</v>
      </c>
      <c r="C250" s="82"/>
      <c r="D250" s="82"/>
      <c r="E250" s="82"/>
      <c r="F250" s="82"/>
      <c r="G250" s="82"/>
      <c r="H250" s="82"/>
      <c r="I250" s="82"/>
      <c r="J250" s="82"/>
      <c r="K250" s="91">
        <v>7.3672739550943103</v>
      </c>
      <c r="L250" s="82"/>
      <c r="M250" s="82"/>
      <c r="N250" s="104">
        <v>4.3495896186846822E-2</v>
      </c>
      <c r="O250" s="91"/>
      <c r="P250" s="93"/>
      <c r="Q250" s="82"/>
      <c r="R250" s="91">
        <f>SUM(R251:R255)</f>
        <v>142647.022648674</v>
      </c>
      <c r="S250" s="82"/>
      <c r="T250" s="92">
        <f t="shared" si="3"/>
        <v>2.709101101592138E-2</v>
      </c>
      <c r="U250" s="92">
        <f>R250/'סכום נכסי הקרן'!$C$42</f>
        <v>2.4549420965660775E-3</v>
      </c>
    </row>
    <row r="251" spans="2:21" s="132" customFormat="1">
      <c r="B251" s="87" t="s">
        <v>920</v>
      </c>
      <c r="C251" s="84" t="s">
        <v>921</v>
      </c>
      <c r="D251" s="97" t="s">
        <v>30</v>
      </c>
      <c r="E251" s="97" t="s">
        <v>922</v>
      </c>
      <c r="F251" s="84" t="s">
        <v>923</v>
      </c>
      <c r="G251" s="97" t="s">
        <v>924</v>
      </c>
      <c r="H251" s="84" t="s">
        <v>925</v>
      </c>
      <c r="I251" s="84" t="s">
        <v>926</v>
      </c>
      <c r="J251" s="84"/>
      <c r="K251" s="94">
        <v>3.6699999999999982</v>
      </c>
      <c r="L251" s="97" t="s">
        <v>169</v>
      </c>
      <c r="M251" s="98">
        <v>5.0819999999999997E-2</v>
      </c>
      <c r="N251" s="98">
        <v>3.9600000000000211E-2</v>
      </c>
      <c r="O251" s="94">
        <v>6560266.8237089999</v>
      </c>
      <c r="P251" s="96">
        <v>103.6541</v>
      </c>
      <c r="Q251" s="84"/>
      <c r="R251" s="94">
        <v>23500.753782812</v>
      </c>
      <c r="S251" s="95">
        <v>2.0500833824090625E-2</v>
      </c>
      <c r="T251" s="95">
        <f t="shared" si="3"/>
        <v>4.4631788858337882E-3</v>
      </c>
      <c r="U251" s="95">
        <f>R251/'סכום נכסי הקרן'!$C$42</f>
        <v>4.0444580399376438E-4</v>
      </c>
    </row>
    <row r="252" spans="2:21" s="132" customFormat="1">
      <c r="B252" s="87" t="s">
        <v>927</v>
      </c>
      <c r="C252" s="84" t="s">
        <v>928</v>
      </c>
      <c r="D252" s="97" t="s">
        <v>30</v>
      </c>
      <c r="E252" s="97" t="s">
        <v>922</v>
      </c>
      <c r="F252" s="84" t="s">
        <v>923</v>
      </c>
      <c r="G252" s="97" t="s">
        <v>924</v>
      </c>
      <c r="H252" s="84" t="s">
        <v>925</v>
      </c>
      <c r="I252" s="84" t="s">
        <v>926</v>
      </c>
      <c r="J252" s="84"/>
      <c r="K252" s="94">
        <v>5.2199999999999447</v>
      </c>
      <c r="L252" s="97" t="s">
        <v>169</v>
      </c>
      <c r="M252" s="98">
        <v>5.4120000000000001E-2</v>
      </c>
      <c r="N252" s="98">
        <v>4.4299999999999597E-2</v>
      </c>
      <c r="O252" s="94">
        <v>9116080.1841630004</v>
      </c>
      <c r="P252" s="96">
        <v>104.676</v>
      </c>
      <c r="Q252" s="84"/>
      <c r="R252" s="94">
        <v>32978.355011530999</v>
      </c>
      <c r="S252" s="95">
        <v>2.8487750575509375E-2</v>
      </c>
      <c r="T252" s="95">
        <f t="shared" si="3"/>
        <v>6.2631309249598088E-3</v>
      </c>
      <c r="U252" s="95">
        <f>R252/'סכום נכסי הקרן'!$C$42</f>
        <v>5.6755444656356386E-4</v>
      </c>
    </row>
    <row r="253" spans="2:21" s="132" customFormat="1">
      <c r="B253" s="87" t="s">
        <v>929</v>
      </c>
      <c r="C253" s="84" t="s">
        <v>930</v>
      </c>
      <c r="D253" s="97" t="s">
        <v>30</v>
      </c>
      <c r="E253" s="97" t="s">
        <v>922</v>
      </c>
      <c r="F253" s="84" t="s">
        <v>931</v>
      </c>
      <c r="G253" s="97" t="s">
        <v>540</v>
      </c>
      <c r="H253" s="84" t="s">
        <v>925</v>
      </c>
      <c r="I253" s="84" t="s">
        <v>932</v>
      </c>
      <c r="J253" s="84"/>
      <c r="K253" s="94">
        <v>11.499999999999924</v>
      </c>
      <c r="L253" s="97" t="s">
        <v>169</v>
      </c>
      <c r="M253" s="98">
        <v>6.3750000000000001E-2</v>
      </c>
      <c r="N253" s="98">
        <v>4.7299999999999717E-2</v>
      </c>
      <c r="O253" s="94">
        <v>14138106.42</v>
      </c>
      <c r="P253" s="96">
        <v>119.52630000000001</v>
      </c>
      <c r="Q253" s="84"/>
      <c r="R253" s="94">
        <v>58402.074556230997</v>
      </c>
      <c r="S253" s="95">
        <v>2.3563510699999998E-2</v>
      </c>
      <c r="T253" s="95">
        <f t="shared" si="3"/>
        <v>1.1091512572626578E-2</v>
      </c>
      <c r="U253" s="95">
        <f>R253/'סכום נכסי הקרן'!$C$42</f>
        <v>1.0050943138715056E-3</v>
      </c>
    </row>
    <row r="254" spans="2:21" s="132" customFormat="1">
      <c r="B254" s="87" t="s">
        <v>933</v>
      </c>
      <c r="C254" s="84" t="s">
        <v>934</v>
      </c>
      <c r="D254" s="97" t="s">
        <v>30</v>
      </c>
      <c r="E254" s="97" t="s">
        <v>922</v>
      </c>
      <c r="F254" s="84" t="s">
        <v>935</v>
      </c>
      <c r="G254" s="97" t="s">
        <v>936</v>
      </c>
      <c r="H254" s="84" t="s">
        <v>937</v>
      </c>
      <c r="I254" s="84" t="s">
        <v>932</v>
      </c>
      <c r="J254" s="84"/>
      <c r="K254" s="94">
        <v>4.2600000000000886</v>
      </c>
      <c r="L254" s="97" t="s">
        <v>171</v>
      </c>
      <c r="M254" s="98">
        <v>0.06</v>
      </c>
      <c r="N254" s="98">
        <v>4.6000000000000769E-2</v>
      </c>
      <c r="O254" s="94">
        <v>5702369.589399999</v>
      </c>
      <c r="P254" s="96">
        <v>106.1413</v>
      </c>
      <c r="Q254" s="84"/>
      <c r="R254" s="94">
        <v>23473.081295391999</v>
      </c>
      <c r="S254" s="95">
        <v>5.702369589399999E-3</v>
      </c>
      <c r="T254" s="95">
        <f t="shared" si="3"/>
        <v>4.4579234262552203E-3</v>
      </c>
      <c r="U254" s="95">
        <f>R254/'סכום נכסי הקרן'!$C$42</f>
        <v>4.0396956303883486E-4</v>
      </c>
    </row>
    <row r="255" spans="2:21" s="132" customFormat="1">
      <c r="B255" s="87" t="s">
        <v>938</v>
      </c>
      <c r="C255" s="84" t="s">
        <v>939</v>
      </c>
      <c r="D255" s="97" t="s">
        <v>30</v>
      </c>
      <c r="E255" s="97" t="s">
        <v>922</v>
      </c>
      <c r="F255" s="84" t="s">
        <v>940</v>
      </c>
      <c r="G255" s="97" t="s">
        <v>941</v>
      </c>
      <c r="H255" s="84" t="s">
        <v>942</v>
      </c>
      <c r="I255" s="84"/>
      <c r="J255" s="84"/>
      <c r="K255" s="94">
        <v>4.8700000000004744</v>
      </c>
      <c r="L255" s="97" t="s">
        <v>169</v>
      </c>
      <c r="M255" s="98">
        <v>0</v>
      </c>
      <c r="N255" s="98">
        <v>-6.8000000000013041E-3</v>
      </c>
      <c r="O255" s="94">
        <v>1201739.0456999999</v>
      </c>
      <c r="P255" s="96">
        <v>103.36</v>
      </c>
      <c r="Q255" s="84"/>
      <c r="R255" s="94">
        <v>4292.7580027080003</v>
      </c>
      <c r="S255" s="95">
        <v>2.0899809490434779E-3</v>
      </c>
      <c r="T255" s="95">
        <f t="shared" si="3"/>
        <v>8.1526520624598646E-4</v>
      </c>
      <c r="U255" s="95">
        <f>R255/'סכום נכסי הקרן'!$C$42</f>
        <v>7.3877969098408994E-5</v>
      </c>
    </row>
    <row r="256" spans="2:21" s="132" customFormat="1">
      <c r="B256" s="83"/>
      <c r="C256" s="84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94"/>
      <c r="P256" s="96"/>
      <c r="Q256" s="84"/>
      <c r="R256" s="84"/>
      <c r="S256" s="84"/>
      <c r="T256" s="95"/>
      <c r="U256" s="84"/>
    </row>
    <row r="257" spans="2:21" s="132" customFormat="1">
      <c r="B257" s="102" t="s">
        <v>68</v>
      </c>
      <c r="C257" s="82"/>
      <c r="D257" s="82"/>
      <c r="E257" s="82"/>
      <c r="F257" s="82"/>
      <c r="G257" s="82"/>
      <c r="H257" s="82"/>
      <c r="I257" s="82"/>
      <c r="J257" s="82"/>
      <c r="K257" s="91">
        <v>6.0436277167077899</v>
      </c>
      <c r="L257" s="82"/>
      <c r="M257" s="82"/>
      <c r="N257" s="104">
        <v>3.5136103356655471E-2</v>
      </c>
      <c r="O257" s="91"/>
      <c r="P257" s="93"/>
      <c r="Q257" s="82"/>
      <c r="R257" s="91">
        <f>SUM(R258:R338)</f>
        <v>1567898.1895591586</v>
      </c>
      <c r="S257" s="82"/>
      <c r="T257" s="92">
        <f t="shared" si="3"/>
        <v>0.29776960175190309</v>
      </c>
      <c r="U257" s="92">
        <f>R257/'סכום נכסי הקרן'!$C$42</f>
        <v>2.6983383159412185E-2</v>
      </c>
    </row>
    <row r="258" spans="2:21" s="132" customFormat="1">
      <c r="B258" s="87" t="s">
        <v>943</v>
      </c>
      <c r="C258" s="84" t="s">
        <v>944</v>
      </c>
      <c r="D258" s="97" t="s">
        <v>30</v>
      </c>
      <c r="E258" s="97" t="s">
        <v>922</v>
      </c>
      <c r="F258" s="84"/>
      <c r="G258" s="97" t="s">
        <v>945</v>
      </c>
      <c r="H258" s="84" t="s">
        <v>946</v>
      </c>
      <c r="I258" s="84" t="s">
        <v>932</v>
      </c>
      <c r="J258" s="84"/>
      <c r="K258" s="94">
        <v>4.2900000001266747</v>
      </c>
      <c r="L258" s="97" t="s">
        <v>169</v>
      </c>
      <c r="M258" s="98">
        <v>4.4999999999999998E-2</v>
      </c>
      <c r="N258" s="98">
        <v>3.3400000001177543E-2</v>
      </c>
      <c r="O258" s="94">
        <v>3063.2563909999999</v>
      </c>
      <c r="P258" s="96">
        <v>105.886</v>
      </c>
      <c r="Q258" s="84"/>
      <c r="R258" s="94">
        <v>11.209741702000001</v>
      </c>
      <c r="S258" s="95">
        <v>6.1265127819999997E-6</v>
      </c>
      <c r="T258" s="95">
        <f t="shared" si="3"/>
        <v>2.1289139464372706E-6</v>
      </c>
      <c r="U258" s="95">
        <f>R258/'סכום נכסי הקרן'!$C$42</f>
        <v>1.9291862027607404E-7</v>
      </c>
    </row>
    <row r="259" spans="2:21" s="132" customFormat="1">
      <c r="B259" s="87" t="s">
        <v>947</v>
      </c>
      <c r="C259" s="84" t="s">
        <v>948</v>
      </c>
      <c r="D259" s="97" t="s">
        <v>30</v>
      </c>
      <c r="E259" s="97" t="s">
        <v>922</v>
      </c>
      <c r="F259" s="84"/>
      <c r="G259" s="97" t="s">
        <v>945</v>
      </c>
      <c r="H259" s="84" t="s">
        <v>946</v>
      </c>
      <c r="I259" s="84" t="s">
        <v>932</v>
      </c>
      <c r="J259" s="84"/>
      <c r="K259" s="94">
        <v>6.9400000000002988</v>
      </c>
      <c r="L259" s="97" t="s">
        <v>169</v>
      </c>
      <c r="M259" s="98">
        <v>5.1249999999999997E-2</v>
      </c>
      <c r="N259" s="98">
        <v>3.6000000000001441E-2</v>
      </c>
      <c r="O259" s="94">
        <v>2835868.512745</v>
      </c>
      <c r="P259" s="96">
        <v>113.5123</v>
      </c>
      <c r="Q259" s="84"/>
      <c r="R259" s="94">
        <v>11125.074513939</v>
      </c>
      <c r="S259" s="95">
        <v>5.6717370254899995E-3</v>
      </c>
      <c r="T259" s="95">
        <f t="shared" si="3"/>
        <v>2.1128342576932804E-3</v>
      </c>
      <c r="U259" s="95">
        <f>R259/'סכום נכסי הקרן'!$C$42</f>
        <v>1.9146150578248417E-4</v>
      </c>
    </row>
    <row r="260" spans="2:21" s="132" customFormat="1">
      <c r="B260" s="87" t="s">
        <v>949</v>
      </c>
      <c r="C260" s="84" t="s">
        <v>950</v>
      </c>
      <c r="D260" s="97" t="s">
        <v>30</v>
      </c>
      <c r="E260" s="97" t="s">
        <v>922</v>
      </c>
      <c r="F260" s="84"/>
      <c r="G260" s="97" t="s">
        <v>924</v>
      </c>
      <c r="H260" s="84" t="s">
        <v>951</v>
      </c>
      <c r="I260" s="84" t="s">
        <v>932</v>
      </c>
      <c r="J260" s="84"/>
      <c r="K260" s="94">
        <v>4.9200000000000941</v>
      </c>
      <c r="L260" s="97" t="s">
        <v>169</v>
      </c>
      <c r="M260" s="98">
        <v>6.7500000000000004E-2</v>
      </c>
      <c r="N260" s="98">
        <v>3.3900000000000534E-2</v>
      </c>
      <c r="O260" s="94">
        <v>3602153.8807089995</v>
      </c>
      <c r="P260" s="96">
        <v>118.4783</v>
      </c>
      <c r="Q260" s="84"/>
      <c r="R260" s="94">
        <v>14749.409250380002</v>
      </c>
      <c r="S260" s="95">
        <v>1.6009572803151108E-3</v>
      </c>
      <c r="T260" s="95">
        <f t="shared" si="3"/>
        <v>2.8011549141442366E-3</v>
      </c>
      <c r="U260" s="95">
        <f>R260/'סכום נכסי הקרן'!$C$42</f>
        <v>2.538359721493673E-4</v>
      </c>
    </row>
    <row r="261" spans="2:21" s="132" customFormat="1">
      <c r="B261" s="87" t="s">
        <v>952</v>
      </c>
      <c r="C261" s="84" t="s">
        <v>953</v>
      </c>
      <c r="D261" s="97" t="s">
        <v>30</v>
      </c>
      <c r="E261" s="97" t="s">
        <v>922</v>
      </c>
      <c r="F261" s="84"/>
      <c r="G261" s="97" t="s">
        <v>954</v>
      </c>
      <c r="H261" s="84" t="s">
        <v>951</v>
      </c>
      <c r="I261" s="84" t="s">
        <v>926</v>
      </c>
      <c r="J261" s="84"/>
      <c r="K261" s="94">
        <v>7.9800000000000377</v>
      </c>
      <c r="L261" s="97" t="s">
        <v>169</v>
      </c>
      <c r="M261" s="98">
        <v>3.9329999999999997E-2</v>
      </c>
      <c r="N261" s="98">
        <v>3.4600000000000276E-2</v>
      </c>
      <c r="O261" s="94">
        <v>8518209.1180499997</v>
      </c>
      <c r="P261" s="96">
        <v>105.2379</v>
      </c>
      <c r="Q261" s="84"/>
      <c r="R261" s="94">
        <v>30980.912464309</v>
      </c>
      <c r="S261" s="95">
        <v>5.6788060786999994E-3</v>
      </c>
      <c r="T261" s="95">
        <f t="shared" si="3"/>
        <v>5.8837837991264448E-3</v>
      </c>
      <c r="U261" s="95">
        <f>R261/'סכום נכסי הקרן'!$C$42</f>
        <v>5.3317864464637571E-4</v>
      </c>
    </row>
    <row r="262" spans="2:21" s="132" customFormat="1">
      <c r="B262" s="87" t="s">
        <v>955</v>
      </c>
      <c r="C262" s="84" t="s">
        <v>956</v>
      </c>
      <c r="D262" s="97" t="s">
        <v>30</v>
      </c>
      <c r="E262" s="97" t="s">
        <v>922</v>
      </c>
      <c r="F262" s="84"/>
      <c r="G262" s="97" t="s">
        <v>954</v>
      </c>
      <c r="H262" s="84" t="s">
        <v>951</v>
      </c>
      <c r="I262" s="84" t="s">
        <v>926</v>
      </c>
      <c r="J262" s="84"/>
      <c r="K262" s="94">
        <v>7.9099999999999469</v>
      </c>
      <c r="L262" s="97" t="s">
        <v>169</v>
      </c>
      <c r="M262" s="98">
        <v>4.1100000000000005E-2</v>
      </c>
      <c r="N262" s="98">
        <v>3.4599999999999659E-2</v>
      </c>
      <c r="O262" s="94">
        <v>7540323.4239999996</v>
      </c>
      <c r="P262" s="96">
        <v>106.797</v>
      </c>
      <c r="Q262" s="84"/>
      <c r="R262" s="94">
        <v>27830.612299839002</v>
      </c>
      <c r="S262" s="95">
        <v>6.0322587391999994E-3</v>
      </c>
      <c r="T262" s="95">
        <f t="shared" si="3"/>
        <v>5.2854900887185398E-3</v>
      </c>
      <c r="U262" s="95">
        <f>R262/'סכום נכסי הקרן'!$C$42</f>
        <v>4.7896226952003285E-4</v>
      </c>
    </row>
    <row r="263" spans="2:21" s="132" customFormat="1">
      <c r="B263" s="87" t="s">
        <v>957</v>
      </c>
      <c r="C263" s="84" t="s">
        <v>958</v>
      </c>
      <c r="D263" s="97" t="s">
        <v>30</v>
      </c>
      <c r="E263" s="97" t="s">
        <v>922</v>
      </c>
      <c r="F263" s="84"/>
      <c r="G263" s="97" t="s">
        <v>959</v>
      </c>
      <c r="H263" s="84" t="s">
        <v>960</v>
      </c>
      <c r="I263" s="84" t="s">
        <v>961</v>
      </c>
      <c r="J263" s="84"/>
      <c r="K263" s="94">
        <v>15.92999999999987</v>
      </c>
      <c r="L263" s="97" t="s">
        <v>169</v>
      </c>
      <c r="M263" s="98">
        <v>4.4500000000000005E-2</v>
      </c>
      <c r="N263" s="98">
        <v>3.9599999999999795E-2</v>
      </c>
      <c r="O263" s="94">
        <v>6091638.7861639997</v>
      </c>
      <c r="P263" s="96">
        <v>107.8646</v>
      </c>
      <c r="Q263" s="84"/>
      <c r="R263" s="94">
        <v>22708.416910812997</v>
      </c>
      <c r="S263" s="95">
        <v>3.0458193930819996E-3</v>
      </c>
      <c r="T263" s="95">
        <f t="shared" si="3"/>
        <v>4.3127011083864981E-3</v>
      </c>
      <c r="U263" s="95">
        <f>R263/'סכום נכסי הקרן'!$C$42</f>
        <v>3.9080975954212141E-4</v>
      </c>
    </row>
    <row r="264" spans="2:21" s="132" customFormat="1">
      <c r="B264" s="87" t="s">
        <v>962</v>
      </c>
      <c r="C264" s="84" t="s">
        <v>963</v>
      </c>
      <c r="D264" s="97" t="s">
        <v>30</v>
      </c>
      <c r="E264" s="97" t="s">
        <v>922</v>
      </c>
      <c r="F264" s="84"/>
      <c r="G264" s="97" t="s">
        <v>964</v>
      </c>
      <c r="H264" s="84" t="s">
        <v>965</v>
      </c>
      <c r="I264" s="84" t="s">
        <v>932</v>
      </c>
      <c r="J264" s="84"/>
      <c r="K264" s="94">
        <v>16.029999999999788</v>
      </c>
      <c r="L264" s="97" t="s">
        <v>169</v>
      </c>
      <c r="M264" s="98">
        <v>5.5500000000000001E-2</v>
      </c>
      <c r="N264" s="98">
        <v>3.8099999999999669E-2</v>
      </c>
      <c r="O264" s="94">
        <v>5890877.6749999998</v>
      </c>
      <c r="P264" s="96">
        <v>131.7834</v>
      </c>
      <c r="Q264" s="84"/>
      <c r="R264" s="94">
        <v>26829.618759190002</v>
      </c>
      <c r="S264" s="95">
        <v>1.4727194187499999E-3</v>
      </c>
      <c r="T264" s="95">
        <f t="shared" si="3"/>
        <v>5.0953849849942438E-3</v>
      </c>
      <c r="U264" s="95">
        <f>R264/'סכום נכסי הקרן'!$C$42</f>
        <v>4.6173526305539562E-4</v>
      </c>
    </row>
    <row r="265" spans="2:21" s="132" customFormat="1">
      <c r="B265" s="87" t="s">
        <v>966</v>
      </c>
      <c r="C265" s="84" t="s">
        <v>967</v>
      </c>
      <c r="D265" s="97" t="s">
        <v>30</v>
      </c>
      <c r="E265" s="97" t="s">
        <v>922</v>
      </c>
      <c r="F265" s="84"/>
      <c r="G265" s="97" t="s">
        <v>954</v>
      </c>
      <c r="H265" s="84" t="s">
        <v>965</v>
      </c>
      <c r="I265" s="84" t="s">
        <v>926</v>
      </c>
      <c r="J265" s="84"/>
      <c r="K265" s="94">
        <v>3.0200000000000049</v>
      </c>
      <c r="L265" s="97" t="s">
        <v>169</v>
      </c>
      <c r="M265" s="98">
        <v>4.4000000000000004E-2</v>
      </c>
      <c r="N265" s="98">
        <v>3.020000000000005E-2</v>
      </c>
      <c r="O265" s="94">
        <v>7587450.4453999996</v>
      </c>
      <c r="P265" s="96">
        <v>105.1437</v>
      </c>
      <c r="Q265" s="84"/>
      <c r="R265" s="94">
        <v>27571.012781993002</v>
      </c>
      <c r="S265" s="95">
        <v>5.0583002969333329E-3</v>
      </c>
      <c r="T265" s="95">
        <f t="shared" si="3"/>
        <v>5.2361878792008898E-3</v>
      </c>
      <c r="U265" s="95">
        <f>R265/'סכום נכסי הקרן'!$C$42</f>
        <v>4.7449458577329239E-4</v>
      </c>
    </row>
    <row r="266" spans="2:21" s="132" customFormat="1">
      <c r="B266" s="87" t="s">
        <v>968</v>
      </c>
      <c r="C266" s="84" t="s">
        <v>969</v>
      </c>
      <c r="D266" s="97" t="s">
        <v>30</v>
      </c>
      <c r="E266" s="97" t="s">
        <v>922</v>
      </c>
      <c r="F266" s="84"/>
      <c r="G266" s="97" t="s">
        <v>970</v>
      </c>
      <c r="H266" s="84" t="s">
        <v>965</v>
      </c>
      <c r="I266" s="84" t="s">
        <v>926</v>
      </c>
      <c r="J266" s="84"/>
      <c r="K266" s="94">
        <v>16.719999999999938</v>
      </c>
      <c r="L266" s="97" t="s">
        <v>169</v>
      </c>
      <c r="M266" s="98">
        <v>4.5499999999999999E-2</v>
      </c>
      <c r="N266" s="98">
        <v>3.919999999999977E-2</v>
      </c>
      <c r="O266" s="94">
        <v>7069053.21</v>
      </c>
      <c r="P266" s="96">
        <v>111.7439</v>
      </c>
      <c r="Q266" s="84"/>
      <c r="R266" s="94">
        <v>27299.762823530004</v>
      </c>
      <c r="S266" s="95">
        <v>2.8338807598222954E-3</v>
      </c>
      <c r="T266" s="95">
        <f t="shared" si="3"/>
        <v>5.1846730597791919E-3</v>
      </c>
      <c r="U266" s="95">
        <f>R266/'סכום נכסי הקרן'!$C$42</f>
        <v>4.6982639901861563E-4</v>
      </c>
    </row>
    <row r="267" spans="2:21" s="132" customFormat="1">
      <c r="B267" s="87" t="s">
        <v>971</v>
      </c>
      <c r="C267" s="84" t="s">
        <v>972</v>
      </c>
      <c r="D267" s="97" t="s">
        <v>30</v>
      </c>
      <c r="E267" s="97" t="s">
        <v>922</v>
      </c>
      <c r="F267" s="84"/>
      <c r="G267" s="97" t="s">
        <v>954</v>
      </c>
      <c r="H267" s="84" t="s">
        <v>965</v>
      </c>
      <c r="I267" s="84" t="s">
        <v>926</v>
      </c>
      <c r="J267" s="84"/>
      <c r="K267" s="94">
        <v>8.1899999999999533</v>
      </c>
      <c r="L267" s="97" t="s">
        <v>169</v>
      </c>
      <c r="M267" s="98">
        <v>3.61E-2</v>
      </c>
      <c r="N267" s="98">
        <v>3.4599999999999992E-2</v>
      </c>
      <c r="O267" s="94">
        <v>9425404.2799999993</v>
      </c>
      <c r="P267" s="96">
        <v>102.033</v>
      </c>
      <c r="Q267" s="84"/>
      <c r="R267" s="94">
        <v>33236.430620587002</v>
      </c>
      <c r="S267" s="95">
        <v>7.5403234239999999E-3</v>
      </c>
      <c r="T267" s="95">
        <f t="shared" si="3"/>
        <v>6.3121437191847275E-3</v>
      </c>
      <c r="U267" s="95">
        <f>R267/'סכום נכסי הקרן'!$C$42</f>
        <v>5.7199590398065211E-4</v>
      </c>
    </row>
    <row r="268" spans="2:21" s="132" customFormat="1">
      <c r="B268" s="87" t="s">
        <v>973</v>
      </c>
      <c r="C268" s="84" t="s">
        <v>974</v>
      </c>
      <c r="D268" s="97" t="s">
        <v>30</v>
      </c>
      <c r="E268" s="97" t="s">
        <v>922</v>
      </c>
      <c r="F268" s="84"/>
      <c r="G268" s="97" t="s">
        <v>954</v>
      </c>
      <c r="H268" s="84" t="s">
        <v>965</v>
      </c>
      <c r="I268" s="84" t="s">
        <v>932</v>
      </c>
      <c r="J268" s="84"/>
      <c r="K268" s="94">
        <v>3.2099999999654036</v>
      </c>
      <c r="L268" s="97" t="s">
        <v>169</v>
      </c>
      <c r="M268" s="98">
        <v>6.5000000000000002E-2</v>
      </c>
      <c r="N268" s="98">
        <v>3.009999999969986E-2</v>
      </c>
      <c r="O268" s="94">
        <v>11074.850028999999</v>
      </c>
      <c r="P268" s="96">
        <v>114.03489999999999</v>
      </c>
      <c r="Q268" s="84"/>
      <c r="R268" s="94">
        <v>43.646509430999998</v>
      </c>
      <c r="S268" s="95">
        <v>4.4299400115999993E-6</v>
      </c>
      <c r="T268" s="95">
        <f t="shared" ref="T268:T331" si="4">R268/$R$11</f>
        <v>8.289188556805318E-6</v>
      </c>
      <c r="U268" s="95">
        <f>R268/'סכום נכסי הקרן'!$C$42</f>
        <v>7.5115239968400591E-7</v>
      </c>
    </row>
    <row r="269" spans="2:21" s="132" customFormat="1">
      <c r="B269" s="87" t="s">
        <v>975</v>
      </c>
      <c r="C269" s="84" t="s">
        <v>976</v>
      </c>
      <c r="D269" s="97" t="s">
        <v>30</v>
      </c>
      <c r="E269" s="97" t="s">
        <v>922</v>
      </c>
      <c r="F269" s="84"/>
      <c r="G269" s="97" t="s">
        <v>977</v>
      </c>
      <c r="H269" s="84" t="s">
        <v>965</v>
      </c>
      <c r="I269" s="84" t="s">
        <v>932</v>
      </c>
      <c r="J269" s="84"/>
      <c r="K269" s="94">
        <v>6.9600000000002167</v>
      </c>
      <c r="L269" s="97" t="s">
        <v>171</v>
      </c>
      <c r="M269" s="98">
        <v>0.03</v>
      </c>
      <c r="N269" s="98">
        <v>2.5200000000000996E-2</v>
      </c>
      <c r="O269" s="94">
        <v>2403478.0913999998</v>
      </c>
      <c r="P269" s="96">
        <v>103.2495</v>
      </c>
      <c r="Q269" s="84"/>
      <c r="R269" s="94">
        <v>9624.0608798270005</v>
      </c>
      <c r="S269" s="95">
        <v>4.8069561827999993E-3</v>
      </c>
      <c r="T269" s="95">
        <f t="shared" si="4"/>
        <v>1.8277671308670313E-3</v>
      </c>
      <c r="U269" s="95">
        <f>R269/'סכום נכסי הקרן'!$C$42</f>
        <v>1.6562919965032786E-4</v>
      </c>
    </row>
    <row r="270" spans="2:21" s="132" customFormat="1">
      <c r="B270" s="87" t="s">
        <v>978</v>
      </c>
      <c r="C270" s="84" t="s">
        <v>979</v>
      </c>
      <c r="D270" s="97" t="s">
        <v>30</v>
      </c>
      <c r="E270" s="97" t="s">
        <v>922</v>
      </c>
      <c r="F270" s="84"/>
      <c r="G270" s="97" t="s">
        <v>980</v>
      </c>
      <c r="H270" s="84" t="s">
        <v>960</v>
      </c>
      <c r="I270" s="84" t="s">
        <v>961</v>
      </c>
      <c r="J270" s="84"/>
      <c r="K270" s="94">
        <v>7.7899999999998606</v>
      </c>
      <c r="L270" s="97" t="s">
        <v>169</v>
      </c>
      <c r="M270" s="98">
        <v>4.8750000000000002E-2</v>
      </c>
      <c r="N270" s="98">
        <v>3.2999999999999509E-2</v>
      </c>
      <c r="O270" s="94">
        <v>4712702.1399999997</v>
      </c>
      <c r="P270" s="96">
        <v>112.4607</v>
      </c>
      <c r="Q270" s="84"/>
      <c r="R270" s="94">
        <v>18316.579659183</v>
      </c>
      <c r="S270" s="95">
        <v>3.7701617119999999E-3</v>
      </c>
      <c r="T270" s="95">
        <f t="shared" si="4"/>
        <v>3.4786191264787737E-3</v>
      </c>
      <c r="U270" s="95">
        <f>R270/'סכום נכסי הקרן'!$C$42</f>
        <v>3.1522664571262453E-4</v>
      </c>
    </row>
    <row r="271" spans="2:21" s="132" customFormat="1">
      <c r="B271" s="87" t="s">
        <v>981</v>
      </c>
      <c r="C271" s="84" t="s">
        <v>982</v>
      </c>
      <c r="D271" s="97" t="s">
        <v>30</v>
      </c>
      <c r="E271" s="97" t="s">
        <v>922</v>
      </c>
      <c r="F271" s="84"/>
      <c r="G271" s="97" t="s">
        <v>983</v>
      </c>
      <c r="H271" s="84" t="s">
        <v>965</v>
      </c>
      <c r="I271" s="84" t="s">
        <v>926</v>
      </c>
      <c r="J271" s="84"/>
      <c r="K271" s="94">
        <v>14.330000000000188</v>
      </c>
      <c r="L271" s="97" t="s">
        <v>169</v>
      </c>
      <c r="M271" s="98">
        <v>5.0999999999999997E-2</v>
      </c>
      <c r="N271" s="98">
        <v>4.3700000000000586E-2</v>
      </c>
      <c r="O271" s="94">
        <v>8247228.7450000001</v>
      </c>
      <c r="P271" s="96">
        <v>112.09950000000001</v>
      </c>
      <c r="Q271" s="84"/>
      <c r="R271" s="94">
        <v>31951.073158275998</v>
      </c>
      <c r="S271" s="95">
        <v>1.0996304993333334E-2</v>
      </c>
      <c r="T271" s="95">
        <f t="shared" si="4"/>
        <v>6.0680332391740335E-3</v>
      </c>
      <c r="U271" s="95">
        <f>R271/'סכום נכסי הקרן'!$C$42</f>
        <v>5.4987502066481677E-4</v>
      </c>
    </row>
    <row r="272" spans="2:21" s="132" customFormat="1">
      <c r="B272" s="87" t="s">
        <v>984</v>
      </c>
      <c r="C272" s="84" t="s">
        <v>985</v>
      </c>
      <c r="D272" s="97" t="s">
        <v>30</v>
      </c>
      <c r="E272" s="97" t="s">
        <v>922</v>
      </c>
      <c r="F272" s="84"/>
      <c r="G272" s="97" t="s">
        <v>945</v>
      </c>
      <c r="H272" s="84" t="s">
        <v>965</v>
      </c>
      <c r="I272" s="84" t="s">
        <v>932</v>
      </c>
      <c r="J272" s="84"/>
      <c r="K272" s="94">
        <v>6.5400000000000098</v>
      </c>
      <c r="L272" s="97" t="s">
        <v>169</v>
      </c>
      <c r="M272" s="98">
        <v>4.4999999999999998E-2</v>
      </c>
      <c r="N272" s="98">
        <v>3.8699999999999977E-2</v>
      </c>
      <c r="O272" s="94">
        <v>4264995.4367000004</v>
      </c>
      <c r="P272" s="96">
        <v>105.065</v>
      </c>
      <c r="Q272" s="84"/>
      <c r="R272" s="94">
        <v>15486.396326446002</v>
      </c>
      <c r="S272" s="95">
        <v>5.6866605822666668E-3</v>
      </c>
      <c r="T272" s="95">
        <f t="shared" si="4"/>
        <v>2.9411208568296955E-3</v>
      </c>
      <c r="U272" s="95">
        <f>R272/'סכום נכסי הקרן'!$C$42</f>
        <v>2.6651945172058558E-4</v>
      </c>
    </row>
    <row r="273" spans="2:21" s="132" customFormat="1">
      <c r="B273" s="87" t="s">
        <v>986</v>
      </c>
      <c r="C273" s="84" t="s">
        <v>987</v>
      </c>
      <c r="D273" s="97" t="s">
        <v>30</v>
      </c>
      <c r="E273" s="97" t="s">
        <v>922</v>
      </c>
      <c r="F273" s="84"/>
      <c r="G273" s="97" t="s">
        <v>945</v>
      </c>
      <c r="H273" s="84" t="s">
        <v>965</v>
      </c>
      <c r="I273" s="84" t="s">
        <v>932</v>
      </c>
      <c r="J273" s="84"/>
      <c r="K273" s="94">
        <v>4.9000000000000901</v>
      </c>
      <c r="L273" s="97" t="s">
        <v>169</v>
      </c>
      <c r="M273" s="98">
        <v>5.7500000000000002E-2</v>
      </c>
      <c r="N273" s="98">
        <v>3.6600000000000479E-2</v>
      </c>
      <c r="O273" s="94">
        <v>1997007.531825</v>
      </c>
      <c r="P273" s="96">
        <v>112.2042</v>
      </c>
      <c r="Q273" s="84"/>
      <c r="R273" s="94">
        <v>7743.9517101570018</v>
      </c>
      <c r="S273" s="95">
        <v>2.8528679026071429E-3</v>
      </c>
      <c r="T273" s="95">
        <f t="shared" si="4"/>
        <v>1.4707035393463693E-3</v>
      </c>
      <c r="U273" s="95">
        <f>R273/'סכום נכסי הקרן'!$C$42</f>
        <v>1.3327269433349097E-4</v>
      </c>
    </row>
    <row r="274" spans="2:21" s="132" customFormat="1">
      <c r="B274" s="87" t="s">
        <v>988</v>
      </c>
      <c r="C274" s="84" t="s">
        <v>989</v>
      </c>
      <c r="D274" s="97" t="s">
        <v>30</v>
      </c>
      <c r="E274" s="97" t="s">
        <v>922</v>
      </c>
      <c r="F274" s="84"/>
      <c r="G274" s="97" t="s">
        <v>954</v>
      </c>
      <c r="H274" s="84" t="s">
        <v>925</v>
      </c>
      <c r="I274" s="84" t="s">
        <v>932</v>
      </c>
      <c r="J274" s="84"/>
      <c r="K274" s="94">
        <v>3.4800000000000701</v>
      </c>
      <c r="L274" s="97" t="s">
        <v>169</v>
      </c>
      <c r="M274" s="98">
        <v>7.8750000000000001E-2</v>
      </c>
      <c r="N274" s="98">
        <v>4.0200000000000659E-2</v>
      </c>
      <c r="O274" s="94">
        <v>4594884.5865000002</v>
      </c>
      <c r="P274" s="96">
        <v>114.09399999999999</v>
      </c>
      <c r="Q274" s="84"/>
      <c r="R274" s="94">
        <v>18118.037215139</v>
      </c>
      <c r="S274" s="95">
        <v>2.6256483351428574E-3</v>
      </c>
      <c r="T274" s="95">
        <f t="shared" si="4"/>
        <v>3.4409126574698043E-3</v>
      </c>
      <c r="U274" s="95">
        <f>R274/'סכום נכסי הקרן'!$C$42</f>
        <v>3.1180974857177658E-4</v>
      </c>
    </row>
    <row r="275" spans="2:21" s="132" customFormat="1">
      <c r="B275" s="87" t="s">
        <v>990</v>
      </c>
      <c r="C275" s="84" t="s">
        <v>991</v>
      </c>
      <c r="D275" s="97" t="s">
        <v>30</v>
      </c>
      <c r="E275" s="97" t="s">
        <v>922</v>
      </c>
      <c r="F275" s="84"/>
      <c r="G275" s="97" t="s">
        <v>992</v>
      </c>
      <c r="H275" s="84" t="s">
        <v>925</v>
      </c>
      <c r="I275" s="84" t="s">
        <v>932</v>
      </c>
      <c r="J275" s="84"/>
      <c r="K275" s="94">
        <v>6.7100000000000781</v>
      </c>
      <c r="L275" s="97" t="s">
        <v>169</v>
      </c>
      <c r="M275" s="98">
        <v>4.2500000000000003E-2</v>
      </c>
      <c r="N275" s="98">
        <v>3.9000000000000326E-2</v>
      </c>
      <c r="O275" s="94">
        <v>5183972.3540000003</v>
      </c>
      <c r="P275" s="96">
        <v>102.61109999999999</v>
      </c>
      <c r="Q275" s="84"/>
      <c r="R275" s="94">
        <v>18383.610115936001</v>
      </c>
      <c r="S275" s="95">
        <v>8.639953923333334E-3</v>
      </c>
      <c r="T275" s="95">
        <f t="shared" si="4"/>
        <v>3.491349310457238E-3</v>
      </c>
      <c r="U275" s="95">
        <f>R275/'סכום נכסי הקרן'!$C$42</f>
        <v>3.1638023368789044E-4</v>
      </c>
    </row>
    <row r="276" spans="2:21" s="132" customFormat="1">
      <c r="B276" s="87" t="s">
        <v>993</v>
      </c>
      <c r="C276" s="84" t="s">
        <v>994</v>
      </c>
      <c r="D276" s="97" t="s">
        <v>30</v>
      </c>
      <c r="E276" s="97" t="s">
        <v>922</v>
      </c>
      <c r="F276" s="84"/>
      <c r="G276" s="97" t="s">
        <v>992</v>
      </c>
      <c r="H276" s="84" t="s">
        <v>925</v>
      </c>
      <c r="I276" s="84" t="s">
        <v>932</v>
      </c>
      <c r="J276" s="84"/>
      <c r="K276" s="94">
        <v>1.5099999999999989</v>
      </c>
      <c r="L276" s="97" t="s">
        <v>169</v>
      </c>
      <c r="M276" s="98">
        <v>5.2499999999999998E-2</v>
      </c>
      <c r="N276" s="98">
        <v>2.839999999999979E-2</v>
      </c>
      <c r="O276" s="94">
        <v>6564558.445913</v>
      </c>
      <c r="P276" s="96">
        <v>109.45489999999999</v>
      </c>
      <c r="Q276" s="84"/>
      <c r="R276" s="94">
        <v>24832.161718052997</v>
      </c>
      <c r="S276" s="95">
        <v>1.0940930743188334E-2</v>
      </c>
      <c r="T276" s="95">
        <f t="shared" si="4"/>
        <v>4.7160351065285164E-3</v>
      </c>
      <c r="U276" s="95">
        <f>R276/'סכום נכסי הקרן'!$C$42</f>
        <v>4.273592116992678E-4</v>
      </c>
    </row>
    <row r="277" spans="2:21" s="132" customFormat="1">
      <c r="B277" s="87" t="s">
        <v>995</v>
      </c>
      <c r="C277" s="84" t="s">
        <v>996</v>
      </c>
      <c r="D277" s="97" t="s">
        <v>30</v>
      </c>
      <c r="E277" s="97" t="s">
        <v>922</v>
      </c>
      <c r="F277" s="84"/>
      <c r="G277" s="97" t="s">
        <v>997</v>
      </c>
      <c r="H277" s="84" t="s">
        <v>925</v>
      </c>
      <c r="I277" s="84" t="s">
        <v>932</v>
      </c>
      <c r="J277" s="84"/>
      <c r="K277" s="94">
        <v>7.4600000000000684</v>
      </c>
      <c r="L277" s="97" t="s">
        <v>169</v>
      </c>
      <c r="M277" s="98">
        <v>4.7500000000000001E-2</v>
      </c>
      <c r="N277" s="98">
        <v>3.5300000000000289E-2</v>
      </c>
      <c r="O277" s="94">
        <v>14138106.42</v>
      </c>
      <c r="P277" s="96">
        <v>110.1046</v>
      </c>
      <c r="Q277" s="84"/>
      <c r="R277" s="94">
        <v>53798.526138115994</v>
      </c>
      <c r="S277" s="95">
        <v>4.7127021400000003E-3</v>
      </c>
      <c r="T277" s="95">
        <f t="shared" si="4"/>
        <v>1.0217223165166307E-2</v>
      </c>
      <c r="U277" s="95">
        <f>R277/'סכום נכסי הקרן'!$C$42</f>
        <v>9.2586767040313766E-4</v>
      </c>
    </row>
    <row r="278" spans="2:21" s="132" customFormat="1">
      <c r="B278" s="87" t="s">
        <v>998</v>
      </c>
      <c r="C278" s="84" t="s">
        <v>999</v>
      </c>
      <c r="D278" s="97" t="s">
        <v>30</v>
      </c>
      <c r="E278" s="97" t="s">
        <v>922</v>
      </c>
      <c r="F278" s="84"/>
      <c r="G278" s="97" t="s">
        <v>924</v>
      </c>
      <c r="H278" s="84" t="s">
        <v>925</v>
      </c>
      <c r="I278" s="84" t="s">
        <v>932</v>
      </c>
      <c r="J278" s="84"/>
      <c r="K278" s="94">
        <v>7.9899999999998093</v>
      </c>
      <c r="L278" s="97" t="s">
        <v>169</v>
      </c>
      <c r="M278" s="98">
        <v>3.7000000000000005E-2</v>
      </c>
      <c r="N278" s="98">
        <v>3.4199999999999148E-2</v>
      </c>
      <c r="O278" s="94">
        <v>3652344.1584999994</v>
      </c>
      <c r="P278" s="96">
        <v>102.51309999999999</v>
      </c>
      <c r="Q278" s="84"/>
      <c r="R278" s="94">
        <v>12939.711884755001</v>
      </c>
      <c r="S278" s="95">
        <v>2.4348961056666662E-3</v>
      </c>
      <c r="T278" s="95">
        <f t="shared" si="4"/>
        <v>2.4574636799543827E-3</v>
      </c>
      <c r="U278" s="95">
        <f>R278/'סכום נכסי הקרן'!$C$42</f>
        <v>2.2269124748266678E-4</v>
      </c>
    </row>
    <row r="279" spans="2:21" s="132" customFormat="1">
      <c r="B279" s="87" t="s">
        <v>1000</v>
      </c>
      <c r="C279" s="84" t="s">
        <v>1001</v>
      </c>
      <c r="D279" s="97" t="s">
        <v>30</v>
      </c>
      <c r="E279" s="97" t="s">
        <v>922</v>
      </c>
      <c r="F279" s="84"/>
      <c r="G279" s="97" t="s">
        <v>1002</v>
      </c>
      <c r="H279" s="84" t="s">
        <v>925</v>
      </c>
      <c r="I279" s="84" t="s">
        <v>932</v>
      </c>
      <c r="J279" s="84"/>
      <c r="K279" s="94">
        <v>7.6199999999998997</v>
      </c>
      <c r="L279" s="97" t="s">
        <v>169</v>
      </c>
      <c r="M279" s="98">
        <v>5.2999999999999999E-2</v>
      </c>
      <c r="N279" s="98">
        <v>3.7099999999999494E-2</v>
      </c>
      <c r="O279" s="94">
        <v>5584552.0358999996</v>
      </c>
      <c r="P279" s="96">
        <v>113.4543</v>
      </c>
      <c r="Q279" s="84"/>
      <c r="R279" s="94">
        <v>21896.91594631</v>
      </c>
      <c r="S279" s="95">
        <v>3.1911725919428571E-3</v>
      </c>
      <c r="T279" s="95">
        <f t="shared" si="4"/>
        <v>4.1585837552123844E-3</v>
      </c>
      <c r="U279" s="95">
        <f>R279/'סכום נכסי הקרן'!$C$42</f>
        <v>3.7684390282691362E-4</v>
      </c>
    </row>
    <row r="280" spans="2:21" s="132" customFormat="1">
      <c r="B280" s="87" t="s">
        <v>1003</v>
      </c>
      <c r="C280" s="84" t="s">
        <v>1004</v>
      </c>
      <c r="D280" s="97" t="s">
        <v>30</v>
      </c>
      <c r="E280" s="97" t="s">
        <v>922</v>
      </c>
      <c r="F280" s="84"/>
      <c r="G280" s="97" t="s">
        <v>924</v>
      </c>
      <c r="H280" s="84" t="s">
        <v>925</v>
      </c>
      <c r="I280" s="84" t="s">
        <v>926</v>
      </c>
      <c r="J280" s="84"/>
      <c r="K280" s="94">
        <v>3.359999999999991</v>
      </c>
      <c r="L280" s="97" t="s">
        <v>169</v>
      </c>
      <c r="M280" s="98">
        <v>5.8749999999999997E-2</v>
      </c>
      <c r="N280" s="98">
        <v>2.7399999999999761E-2</v>
      </c>
      <c r="O280" s="94">
        <v>2403478.0913999998</v>
      </c>
      <c r="P280" s="96">
        <v>112.3496</v>
      </c>
      <c r="Q280" s="84"/>
      <c r="R280" s="94">
        <v>9332.2285788530007</v>
      </c>
      <c r="S280" s="95">
        <v>1.3352656063333331E-3</v>
      </c>
      <c r="T280" s="95">
        <f t="shared" si="4"/>
        <v>1.7723433867629561E-3</v>
      </c>
      <c r="U280" s="95">
        <f>R280/'סכום נכסי הקרן'!$C$42</f>
        <v>1.6060679268033932E-4</v>
      </c>
    </row>
    <row r="281" spans="2:21" s="132" customFormat="1">
      <c r="B281" s="87" t="s">
        <v>1005</v>
      </c>
      <c r="C281" s="84" t="s">
        <v>1006</v>
      </c>
      <c r="D281" s="97" t="s">
        <v>30</v>
      </c>
      <c r="E281" s="97" t="s">
        <v>922</v>
      </c>
      <c r="F281" s="84"/>
      <c r="G281" s="97" t="s">
        <v>924</v>
      </c>
      <c r="H281" s="84" t="s">
        <v>925</v>
      </c>
      <c r="I281" s="84" t="s">
        <v>932</v>
      </c>
      <c r="J281" s="84"/>
      <c r="K281" s="94">
        <v>7.350000000000029</v>
      </c>
      <c r="L281" s="97" t="s">
        <v>169</v>
      </c>
      <c r="M281" s="98">
        <v>5.2499999999999998E-2</v>
      </c>
      <c r="N281" s="98">
        <v>3.6200000000000079E-2</v>
      </c>
      <c r="O281" s="94">
        <v>7069053.21</v>
      </c>
      <c r="P281" s="96">
        <v>113.2067</v>
      </c>
      <c r="Q281" s="84"/>
      <c r="R281" s="94">
        <v>27657.142484469001</v>
      </c>
      <c r="S281" s="95">
        <v>4.7127021400000003E-3</v>
      </c>
      <c r="T281" s="95">
        <f t="shared" si="4"/>
        <v>5.2525453234380697E-3</v>
      </c>
      <c r="U281" s="95">
        <f>R281/'סכום נכסי הקרן'!$C$42</f>
        <v>4.759768700050061E-4</v>
      </c>
    </row>
    <row r="282" spans="2:21" s="132" customFormat="1">
      <c r="B282" s="87" t="s">
        <v>1007</v>
      </c>
      <c r="C282" s="84" t="s">
        <v>1008</v>
      </c>
      <c r="D282" s="97" t="s">
        <v>30</v>
      </c>
      <c r="E282" s="97" t="s">
        <v>922</v>
      </c>
      <c r="F282" s="84"/>
      <c r="G282" s="142" t="s">
        <v>980</v>
      </c>
      <c r="H282" s="84" t="s">
        <v>925</v>
      </c>
      <c r="I282" s="84" t="s">
        <v>932</v>
      </c>
      <c r="J282" s="84"/>
      <c r="K282" s="94">
        <v>4.5500000000000149</v>
      </c>
      <c r="L282" s="97" t="s">
        <v>169</v>
      </c>
      <c r="M282" s="98">
        <v>4.1250000000000002E-2</v>
      </c>
      <c r="N282" s="98">
        <v>3.7500000000000241E-2</v>
      </c>
      <c r="O282" s="94">
        <v>5890877.6749999998</v>
      </c>
      <c r="P282" s="96">
        <v>101.78530000000001</v>
      </c>
      <c r="Q282" s="84"/>
      <c r="R282" s="94">
        <v>20722.346992773997</v>
      </c>
      <c r="S282" s="95">
        <v>1.3860888647058823E-2</v>
      </c>
      <c r="T282" s="95">
        <f t="shared" si="4"/>
        <v>3.9355138315058562E-3</v>
      </c>
      <c r="U282" s="95">
        <f>R282/'סכום נכסי הקרן'!$C$42</f>
        <v>3.5662967952372642E-4</v>
      </c>
    </row>
    <row r="283" spans="2:21" s="132" customFormat="1">
      <c r="B283" s="87" t="s">
        <v>1009</v>
      </c>
      <c r="C283" s="84" t="s">
        <v>1010</v>
      </c>
      <c r="D283" s="97" t="s">
        <v>30</v>
      </c>
      <c r="E283" s="97" t="s">
        <v>922</v>
      </c>
      <c r="F283" s="84"/>
      <c r="G283" s="97" t="s">
        <v>1011</v>
      </c>
      <c r="H283" s="84" t="s">
        <v>1012</v>
      </c>
      <c r="I283" s="84" t="s">
        <v>961</v>
      </c>
      <c r="J283" s="84"/>
      <c r="K283" s="94">
        <v>5.1199999999998473</v>
      </c>
      <c r="L283" s="97" t="s">
        <v>169</v>
      </c>
      <c r="M283" s="98">
        <v>5.2499999999999998E-2</v>
      </c>
      <c r="N283" s="98">
        <v>3.1999999999999307E-2</v>
      </c>
      <c r="O283" s="94">
        <v>3687689.4245499996</v>
      </c>
      <c r="P283" s="96">
        <v>112.44</v>
      </c>
      <c r="Q283" s="84"/>
      <c r="R283" s="94">
        <v>14330.089689859997</v>
      </c>
      <c r="S283" s="95">
        <v>2.9501515396399996E-3</v>
      </c>
      <c r="T283" s="95">
        <f t="shared" si="4"/>
        <v>2.7215192468705014E-3</v>
      </c>
      <c r="U283" s="95">
        <f>R283/'סכום נכסי הקרן'!$C$42</f>
        <v>2.4661952120689319E-4</v>
      </c>
    </row>
    <row r="284" spans="2:21" s="132" customFormat="1">
      <c r="B284" s="87" t="s">
        <v>1013</v>
      </c>
      <c r="C284" s="84" t="s">
        <v>1014</v>
      </c>
      <c r="D284" s="97" t="s">
        <v>30</v>
      </c>
      <c r="E284" s="97" t="s">
        <v>922</v>
      </c>
      <c r="F284" s="84"/>
      <c r="G284" s="97" t="s">
        <v>1015</v>
      </c>
      <c r="H284" s="84" t="s">
        <v>925</v>
      </c>
      <c r="I284" s="84" t="s">
        <v>926</v>
      </c>
      <c r="J284" s="84"/>
      <c r="K284" s="94">
        <v>7.9999999999998447E-2</v>
      </c>
      <c r="L284" s="97" t="s">
        <v>169</v>
      </c>
      <c r="M284" s="98">
        <v>5.2499999999999998E-2</v>
      </c>
      <c r="N284" s="98">
        <v>9.9999999999988293E-4</v>
      </c>
      <c r="O284" s="94">
        <v>7022161.8237070004</v>
      </c>
      <c r="P284" s="96">
        <v>105.44580000000001</v>
      </c>
      <c r="Q284" s="84"/>
      <c r="R284" s="94">
        <v>25590.218293362999</v>
      </c>
      <c r="S284" s="95">
        <v>1.0803325882626155E-2</v>
      </c>
      <c r="T284" s="95">
        <f t="shared" si="4"/>
        <v>4.8600024929561633E-3</v>
      </c>
      <c r="U284" s="95">
        <f>R284/'סכום נכסי הקרן'!$C$42</f>
        <v>4.4040529540821882E-4</v>
      </c>
    </row>
    <row r="285" spans="2:21" s="132" customFormat="1">
      <c r="B285" s="87" t="s">
        <v>1016</v>
      </c>
      <c r="C285" s="84" t="s">
        <v>1017</v>
      </c>
      <c r="D285" s="97" t="s">
        <v>30</v>
      </c>
      <c r="E285" s="97" t="s">
        <v>922</v>
      </c>
      <c r="F285" s="84"/>
      <c r="G285" s="97" t="s">
        <v>954</v>
      </c>
      <c r="H285" s="84" t="s">
        <v>925</v>
      </c>
      <c r="I285" s="84" t="s">
        <v>926</v>
      </c>
      <c r="J285" s="84"/>
      <c r="K285" s="94">
        <v>4.8500000000001089</v>
      </c>
      <c r="L285" s="97" t="s">
        <v>169</v>
      </c>
      <c r="M285" s="98">
        <v>4.8750000000000002E-2</v>
      </c>
      <c r="N285" s="98">
        <v>3.3800000000000822E-2</v>
      </c>
      <c r="O285" s="94">
        <v>5343497.3214389998</v>
      </c>
      <c r="P285" s="96">
        <v>107.4684</v>
      </c>
      <c r="Q285" s="84"/>
      <c r="R285" s="94">
        <v>19846.321020700998</v>
      </c>
      <c r="S285" s="95">
        <v>7.1246630952519997E-3</v>
      </c>
      <c r="T285" s="95">
        <f t="shared" si="4"/>
        <v>3.7691421202776902E-3</v>
      </c>
      <c r="U285" s="95">
        <f>R285/'סכום נכסי הקרן'!$C$42</f>
        <v>3.4155335338249365E-4</v>
      </c>
    </row>
    <row r="286" spans="2:21" s="132" customFormat="1">
      <c r="B286" s="87" t="s">
        <v>1018</v>
      </c>
      <c r="C286" s="84" t="s">
        <v>1019</v>
      </c>
      <c r="D286" s="97" t="s">
        <v>30</v>
      </c>
      <c r="E286" s="97" t="s">
        <v>922</v>
      </c>
      <c r="F286" s="84"/>
      <c r="G286" s="97" t="s">
        <v>1020</v>
      </c>
      <c r="H286" s="84" t="s">
        <v>1012</v>
      </c>
      <c r="I286" s="84" t="s">
        <v>961</v>
      </c>
      <c r="J286" s="84"/>
      <c r="K286" s="94">
        <v>8.3600000000000492</v>
      </c>
      <c r="L286" s="97" t="s">
        <v>171</v>
      </c>
      <c r="M286" s="98">
        <v>2.8750000000000001E-2</v>
      </c>
      <c r="N286" s="98">
        <v>1.9900000000000063E-2</v>
      </c>
      <c r="O286" s="94">
        <v>6032258.7391999997</v>
      </c>
      <c r="P286" s="96">
        <v>108.71259999999999</v>
      </c>
      <c r="Q286" s="84"/>
      <c r="R286" s="94">
        <v>25432.565416216003</v>
      </c>
      <c r="S286" s="95">
        <v>6.0322587391999994E-3</v>
      </c>
      <c r="T286" s="95">
        <f t="shared" si="4"/>
        <v>4.8300616238642086E-3</v>
      </c>
      <c r="U286" s="95">
        <f>R286/'סכום נכסי הקרן'!$C$42</f>
        <v>4.3769210394045059E-4</v>
      </c>
    </row>
    <row r="287" spans="2:21" s="132" customFormat="1">
      <c r="B287" s="87" t="s">
        <v>1021</v>
      </c>
      <c r="C287" s="84" t="s">
        <v>1022</v>
      </c>
      <c r="D287" s="97" t="s">
        <v>30</v>
      </c>
      <c r="E287" s="97" t="s">
        <v>922</v>
      </c>
      <c r="F287" s="84"/>
      <c r="G287" s="97" t="s">
        <v>964</v>
      </c>
      <c r="H287" s="84" t="s">
        <v>925</v>
      </c>
      <c r="I287" s="84" t="s">
        <v>932</v>
      </c>
      <c r="J287" s="84"/>
      <c r="K287" s="94">
        <v>15.909999999999679</v>
      </c>
      <c r="L287" s="97" t="s">
        <v>169</v>
      </c>
      <c r="M287" s="98">
        <v>4.2000000000000003E-2</v>
      </c>
      <c r="N287" s="98">
        <v>4.2199999999999287E-2</v>
      </c>
      <c r="O287" s="94">
        <v>7069053.21</v>
      </c>
      <c r="P287" s="96">
        <v>100.79300000000001</v>
      </c>
      <c r="Q287" s="84"/>
      <c r="R287" s="94">
        <v>24624.382931558001</v>
      </c>
      <c r="S287" s="95">
        <v>3.9272517833333336E-3</v>
      </c>
      <c r="T287" s="95">
        <f t="shared" si="4"/>
        <v>4.6765745044823432E-3</v>
      </c>
      <c r="U287" s="95">
        <f>R287/'סכום נכסי הקרן'!$C$42</f>
        <v>4.2378335795715166E-4</v>
      </c>
    </row>
    <row r="288" spans="2:21" s="132" customFormat="1">
      <c r="B288" s="87" t="s">
        <v>1023</v>
      </c>
      <c r="C288" s="84" t="s">
        <v>1024</v>
      </c>
      <c r="D288" s="97" t="s">
        <v>30</v>
      </c>
      <c r="E288" s="97" t="s">
        <v>922</v>
      </c>
      <c r="F288" s="84"/>
      <c r="G288" s="97" t="s">
        <v>1002</v>
      </c>
      <c r="H288" s="84" t="s">
        <v>925</v>
      </c>
      <c r="I288" s="84" t="s">
        <v>932</v>
      </c>
      <c r="J288" s="84"/>
      <c r="K288" s="94">
        <v>7.6100000000000181</v>
      </c>
      <c r="L288" s="97" t="s">
        <v>169</v>
      </c>
      <c r="M288" s="98">
        <v>4.5999999999999999E-2</v>
      </c>
      <c r="N288" s="98">
        <v>3.3500000000000182E-2</v>
      </c>
      <c r="O288" s="94">
        <v>9293212.9849730004</v>
      </c>
      <c r="P288" s="96">
        <v>109.8048</v>
      </c>
      <c r="Q288" s="84"/>
      <c r="R288" s="94">
        <v>35266.378293280999</v>
      </c>
      <c r="S288" s="95">
        <v>1.161651623121625E-2</v>
      </c>
      <c r="T288" s="95">
        <f t="shared" si="4"/>
        <v>6.6976641018858824E-3</v>
      </c>
      <c r="U288" s="95">
        <f>R288/'סכום נכסי הקרן'!$C$42</f>
        <v>6.0693111610769714E-4</v>
      </c>
    </row>
    <row r="289" spans="2:21" s="132" customFormat="1">
      <c r="B289" s="87" t="s">
        <v>1025</v>
      </c>
      <c r="C289" s="84" t="s">
        <v>1026</v>
      </c>
      <c r="D289" s="97" t="s">
        <v>30</v>
      </c>
      <c r="E289" s="97" t="s">
        <v>922</v>
      </c>
      <c r="F289" s="84"/>
      <c r="G289" s="97" t="s">
        <v>997</v>
      </c>
      <c r="H289" s="84" t="s">
        <v>925</v>
      </c>
      <c r="I289" s="84" t="s">
        <v>932</v>
      </c>
      <c r="J289" s="84"/>
      <c r="K289" s="94">
        <v>7.7600000000000877</v>
      </c>
      <c r="L289" s="97" t="s">
        <v>169</v>
      </c>
      <c r="M289" s="98">
        <v>4.2999999999999997E-2</v>
      </c>
      <c r="N289" s="98">
        <v>3.2500000000000362E-2</v>
      </c>
      <c r="O289" s="94">
        <v>9425404.2799999993</v>
      </c>
      <c r="P289" s="96">
        <v>108.0483</v>
      </c>
      <c r="Q289" s="84"/>
      <c r="R289" s="94">
        <v>35195.877159967</v>
      </c>
      <c r="S289" s="95">
        <v>9.425404279999999E-3</v>
      </c>
      <c r="T289" s="95">
        <f t="shared" si="4"/>
        <v>6.6842747794606363E-3</v>
      </c>
      <c r="U289" s="95">
        <f>R289/'סכום נכסי הקרן'!$C$42</f>
        <v>6.0571779810908444E-4</v>
      </c>
    </row>
    <row r="290" spans="2:21" s="132" customFormat="1">
      <c r="B290" s="87" t="s">
        <v>1027</v>
      </c>
      <c r="C290" s="84" t="s">
        <v>1028</v>
      </c>
      <c r="D290" s="97" t="s">
        <v>30</v>
      </c>
      <c r="E290" s="97" t="s">
        <v>922</v>
      </c>
      <c r="F290" s="84"/>
      <c r="G290" s="97" t="s">
        <v>997</v>
      </c>
      <c r="H290" s="84" t="s">
        <v>925</v>
      </c>
      <c r="I290" s="84" t="s">
        <v>932</v>
      </c>
      <c r="J290" s="84"/>
      <c r="K290" s="94">
        <v>7.1100000000005972</v>
      </c>
      <c r="L290" s="97" t="s">
        <v>169</v>
      </c>
      <c r="M290" s="98">
        <v>5.5500000000000001E-2</v>
      </c>
      <c r="N290" s="98">
        <v>3.2700000000003032E-2</v>
      </c>
      <c r="O290" s="94">
        <v>1178175.5349999999</v>
      </c>
      <c r="P290" s="96">
        <v>117.2621</v>
      </c>
      <c r="Q290" s="84"/>
      <c r="R290" s="94">
        <v>4774.647784365</v>
      </c>
      <c r="S290" s="95">
        <v>2.3563510699999997E-3</v>
      </c>
      <c r="T290" s="95">
        <f t="shared" si="4"/>
        <v>9.0678398554418921E-4</v>
      </c>
      <c r="U290" s="95">
        <f>R290/'סכום נכסי הקרן'!$C$42</f>
        <v>8.2171247772780276E-5</v>
      </c>
    </row>
    <row r="291" spans="2:21" s="132" customFormat="1">
      <c r="B291" s="87" t="s">
        <v>1029</v>
      </c>
      <c r="C291" s="84" t="s">
        <v>1030</v>
      </c>
      <c r="D291" s="97" t="s">
        <v>30</v>
      </c>
      <c r="E291" s="97" t="s">
        <v>922</v>
      </c>
      <c r="F291" s="84"/>
      <c r="G291" s="97" t="s">
        <v>977</v>
      </c>
      <c r="H291" s="84" t="s">
        <v>925</v>
      </c>
      <c r="I291" s="84" t="s">
        <v>932</v>
      </c>
      <c r="J291" s="84"/>
      <c r="K291" s="94">
        <v>2.5400000000000094</v>
      </c>
      <c r="L291" s="97" t="s">
        <v>169</v>
      </c>
      <c r="M291" s="98">
        <v>4.7500000000000001E-2</v>
      </c>
      <c r="N291" s="98">
        <v>3.5400000000000091E-2</v>
      </c>
      <c r="O291" s="94">
        <v>9495152.2716719992</v>
      </c>
      <c r="P291" s="96">
        <v>103.9772</v>
      </c>
      <c r="Q291" s="84"/>
      <c r="R291" s="94">
        <v>34120.381519704999</v>
      </c>
      <c r="S291" s="95">
        <v>1.0550169190746667E-2</v>
      </c>
      <c r="T291" s="95">
        <f t="shared" si="4"/>
        <v>6.4800205041388639E-3</v>
      </c>
      <c r="U291" s="95">
        <f>R291/'סכום נכסי הקרן'!$C$42</f>
        <v>5.8720861738503088E-4</v>
      </c>
    </row>
    <row r="292" spans="2:21" s="132" customFormat="1">
      <c r="B292" s="87" t="s">
        <v>1031</v>
      </c>
      <c r="C292" s="84" t="s">
        <v>1032</v>
      </c>
      <c r="D292" s="97" t="s">
        <v>30</v>
      </c>
      <c r="E292" s="97" t="s">
        <v>922</v>
      </c>
      <c r="F292" s="84"/>
      <c r="G292" s="97" t="s">
        <v>954</v>
      </c>
      <c r="H292" s="84" t="s">
        <v>925</v>
      </c>
      <c r="I292" s="84" t="s">
        <v>926</v>
      </c>
      <c r="J292" s="84"/>
      <c r="K292" s="94">
        <v>4.7099999999999804</v>
      </c>
      <c r="L292" s="97" t="s">
        <v>169</v>
      </c>
      <c r="M292" s="98">
        <v>3.5159999999999997E-2</v>
      </c>
      <c r="N292" s="98">
        <v>3.2600000000000191E-2</v>
      </c>
      <c r="O292" s="94">
        <v>6307244.9090689989</v>
      </c>
      <c r="P292" s="96">
        <v>101.39279999999999</v>
      </c>
      <c r="Q292" s="84"/>
      <c r="R292" s="94">
        <v>22101.438703333002</v>
      </c>
      <c r="S292" s="95">
        <v>6.3072449090689989E-3</v>
      </c>
      <c r="T292" s="95">
        <f t="shared" si="4"/>
        <v>4.1974259838172051E-3</v>
      </c>
      <c r="U292" s="95">
        <f>R292/'סכום נכסי הקרן'!$C$42</f>
        <v>3.8036372060227738E-4</v>
      </c>
    </row>
    <row r="293" spans="2:21" s="132" customFormat="1">
      <c r="B293" s="87" t="s">
        <v>1033</v>
      </c>
      <c r="C293" s="84" t="s">
        <v>1034</v>
      </c>
      <c r="D293" s="97" t="s">
        <v>30</v>
      </c>
      <c r="E293" s="97" t="s">
        <v>922</v>
      </c>
      <c r="F293" s="84"/>
      <c r="G293" s="97" t="s">
        <v>954</v>
      </c>
      <c r="H293" s="84" t="s">
        <v>925</v>
      </c>
      <c r="I293" s="84" t="s">
        <v>926</v>
      </c>
      <c r="J293" s="84"/>
      <c r="K293" s="94">
        <v>6.1499999999999213</v>
      </c>
      <c r="L293" s="97" t="s">
        <v>169</v>
      </c>
      <c r="M293" s="98">
        <v>4.2999999999999997E-2</v>
      </c>
      <c r="N293" s="98">
        <v>3.4399999999999965E-2</v>
      </c>
      <c r="O293" s="94">
        <v>3086819.9016999993</v>
      </c>
      <c r="P293" s="96">
        <v>106.57769999999999</v>
      </c>
      <c r="Q293" s="84"/>
      <c r="R293" s="94">
        <v>11369.764248665999</v>
      </c>
      <c r="S293" s="95">
        <v>2.4694559213599993E-3</v>
      </c>
      <c r="T293" s="95">
        <f t="shared" si="4"/>
        <v>2.1593048546667505E-3</v>
      </c>
      <c r="U293" s="95">
        <f>R293/'סכום נכסי הקרן'!$C$42</f>
        <v>1.9567259353759533E-4</v>
      </c>
    </row>
    <row r="294" spans="2:21" s="132" customFormat="1">
      <c r="B294" s="87" t="s">
        <v>1035</v>
      </c>
      <c r="C294" s="84" t="s">
        <v>1036</v>
      </c>
      <c r="D294" s="97" t="s">
        <v>30</v>
      </c>
      <c r="E294" s="97" t="s">
        <v>922</v>
      </c>
      <c r="F294" s="84"/>
      <c r="G294" s="97" t="s">
        <v>954</v>
      </c>
      <c r="H294" s="84" t="s">
        <v>1012</v>
      </c>
      <c r="I294" s="84" t="s">
        <v>961</v>
      </c>
      <c r="J294" s="84"/>
      <c r="K294" s="94">
        <v>3.629999999999943</v>
      </c>
      <c r="L294" s="97" t="s">
        <v>169</v>
      </c>
      <c r="M294" s="98">
        <v>6.25E-2</v>
      </c>
      <c r="N294" s="98">
        <v>4.1599999999999214E-2</v>
      </c>
      <c r="O294" s="94">
        <v>4382812.9901999999</v>
      </c>
      <c r="P294" s="96">
        <v>112.8502</v>
      </c>
      <c r="Q294" s="84"/>
      <c r="R294" s="94">
        <v>17093.425069945999</v>
      </c>
      <c r="S294" s="95">
        <v>8.7656259803999999E-3</v>
      </c>
      <c r="T294" s="95">
        <f t="shared" si="4"/>
        <v>3.2463219930657164E-3</v>
      </c>
      <c r="U294" s="95">
        <f>R294/'סכום נכסי הקרן'!$C$42</f>
        <v>2.9417626810242058E-4</v>
      </c>
    </row>
    <row r="295" spans="2:21" s="132" customFormat="1">
      <c r="B295" s="87" t="s">
        <v>1037</v>
      </c>
      <c r="C295" s="84" t="s">
        <v>1038</v>
      </c>
      <c r="D295" s="97" t="s">
        <v>30</v>
      </c>
      <c r="E295" s="97" t="s">
        <v>922</v>
      </c>
      <c r="F295" s="84"/>
      <c r="G295" s="97" t="s">
        <v>977</v>
      </c>
      <c r="H295" s="84" t="s">
        <v>925</v>
      </c>
      <c r="I295" s="84" t="s">
        <v>926</v>
      </c>
      <c r="J295" s="84"/>
      <c r="K295" s="94">
        <v>6.0000000000001155</v>
      </c>
      <c r="L295" s="97" t="s">
        <v>169</v>
      </c>
      <c r="M295" s="98">
        <v>5.2999999999999999E-2</v>
      </c>
      <c r="N295" s="98">
        <v>4.9100000000000671E-2</v>
      </c>
      <c r="O295" s="94">
        <v>7292906.5616499996</v>
      </c>
      <c r="P295" s="96">
        <v>103.4688</v>
      </c>
      <c r="Q295" s="84"/>
      <c r="R295" s="94">
        <v>26078.579720186</v>
      </c>
      <c r="S295" s="95">
        <v>4.8619377077666667E-3</v>
      </c>
      <c r="T295" s="95">
        <f t="shared" si="4"/>
        <v>4.9527503438972775E-3</v>
      </c>
      <c r="U295" s="95">
        <f>R295/'סכום נכסי הקרן'!$C$42</f>
        <v>4.4880995049870491E-4</v>
      </c>
    </row>
    <row r="296" spans="2:21" s="132" customFormat="1">
      <c r="B296" s="87" t="s">
        <v>1039</v>
      </c>
      <c r="C296" s="84" t="s">
        <v>1040</v>
      </c>
      <c r="D296" s="97" t="s">
        <v>30</v>
      </c>
      <c r="E296" s="97" t="s">
        <v>922</v>
      </c>
      <c r="F296" s="84"/>
      <c r="G296" s="97" t="s">
        <v>977</v>
      </c>
      <c r="H296" s="84" t="s">
        <v>925</v>
      </c>
      <c r="I296" s="84" t="s">
        <v>926</v>
      </c>
      <c r="J296" s="84"/>
      <c r="K296" s="94">
        <v>5.5099999999996809</v>
      </c>
      <c r="L296" s="97" t="s">
        <v>169</v>
      </c>
      <c r="M296" s="98">
        <v>5.8749999999999997E-2</v>
      </c>
      <c r="N296" s="98">
        <v>4.3899999999996997E-2</v>
      </c>
      <c r="O296" s="94">
        <v>1649445.7490000001</v>
      </c>
      <c r="P296" s="96">
        <v>110.19410000000001</v>
      </c>
      <c r="Q296" s="84"/>
      <c r="R296" s="94">
        <v>6281.5990249509996</v>
      </c>
      <c r="S296" s="95">
        <v>1.3745381241666668E-3</v>
      </c>
      <c r="T296" s="95">
        <f t="shared" si="4"/>
        <v>1.1929787613000028E-3</v>
      </c>
      <c r="U296" s="95">
        <f>R296/'סכום נכסי הקרן'!$C$42</f>
        <v>1.0810573956444218E-4</v>
      </c>
    </row>
    <row r="297" spans="2:21" s="132" customFormat="1">
      <c r="B297" s="87" t="s">
        <v>1041</v>
      </c>
      <c r="C297" s="84" t="s">
        <v>1042</v>
      </c>
      <c r="D297" s="97" t="s">
        <v>30</v>
      </c>
      <c r="E297" s="97" t="s">
        <v>922</v>
      </c>
      <c r="F297" s="84"/>
      <c r="G297" s="97" t="s">
        <v>1015</v>
      </c>
      <c r="H297" s="84" t="s">
        <v>925</v>
      </c>
      <c r="I297" s="84" t="s">
        <v>932</v>
      </c>
      <c r="J297" s="84"/>
      <c r="K297" s="94">
        <v>7.1500000000001345</v>
      </c>
      <c r="L297" s="97" t="s">
        <v>171</v>
      </c>
      <c r="M297" s="98">
        <v>4.6249999999999999E-2</v>
      </c>
      <c r="N297" s="98">
        <v>2.8300000000000606E-2</v>
      </c>
      <c r="O297" s="94">
        <v>5325353.4182000002</v>
      </c>
      <c r="P297" s="96">
        <v>115.33710000000001</v>
      </c>
      <c r="Q297" s="84"/>
      <c r="R297" s="94">
        <v>23820.312953432</v>
      </c>
      <c r="S297" s="95">
        <v>3.5502356121333333E-3</v>
      </c>
      <c r="T297" s="95">
        <f t="shared" si="4"/>
        <v>4.5238684175937811E-3</v>
      </c>
      <c r="U297" s="95">
        <f>R297/'סכום נכסי הקרן'!$C$42</f>
        <v>4.0994538783177358E-4</v>
      </c>
    </row>
    <row r="298" spans="2:21" s="132" customFormat="1">
      <c r="B298" s="87" t="s">
        <v>1043</v>
      </c>
      <c r="C298" s="84" t="s">
        <v>1044</v>
      </c>
      <c r="D298" s="97" t="s">
        <v>30</v>
      </c>
      <c r="E298" s="97" t="s">
        <v>922</v>
      </c>
      <c r="F298" s="84"/>
      <c r="G298" s="97" t="s">
        <v>1020</v>
      </c>
      <c r="H298" s="84" t="s">
        <v>1045</v>
      </c>
      <c r="I298" s="84" t="s">
        <v>926</v>
      </c>
      <c r="J298" s="84"/>
      <c r="K298" s="94">
        <v>7.0700000000000607</v>
      </c>
      <c r="L298" s="97" t="s">
        <v>171</v>
      </c>
      <c r="M298" s="98">
        <v>3.125E-2</v>
      </c>
      <c r="N298" s="98">
        <v>2.7500000000000111E-2</v>
      </c>
      <c r="O298" s="94">
        <v>5301789.9074999997</v>
      </c>
      <c r="P298" s="96">
        <v>102.7824</v>
      </c>
      <c r="Q298" s="84"/>
      <c r="R298" s="94">
        <v>21133.496775453001</v>
      </c>
      <c r="S298" s="95">
        <v>7.0690532099999996E-3</v>
      </c>
      <c r="T298" s="95">
        <f t="shared" si="4"/>
        <v>4.0135979238684677E-3</v>
      </c>
      <c r="U298" s="95">
        <f>R298/'סכום נכסי הקרן'!$C$42</f>
        <v>3.6370552934344969E-4</v>
      </c>
    </row>
    <row r="299" spans="2:21" s="132" customFormat="1">
      <c r="B299" s="87" t="s">
        <v>1046</v>
      </c>
      <c r="C299" s="84" t="s">
        <v>1047</v>
      </c>
      <c r="D299" s="97" t="s">
        <v>30</v>
      </c>
      <c r="E299" s="97" t="s">
        <v>922</v>
      </c>
      <c r="F299" s="84"/>
      <c r="G299" s="97" t="s">
        <v>954</v>
      </c>
      <c r="H299" s="84" t="s">
        <v>1048</v>
      </c>
      <c r="I299" s="84" t="s">
        <v>961</v>
      </c>
      <c r="J299" s="84"/>
      <c r="K299" s="94">
        <v>6.630000000000293</v>
      </c>
      <c r="L299" s="97" t="s">
        <v>169</v>
      </c>
      <c r="M299" s="98">
        <v>7.0000000000000007E-2</v>
      </c>
      <c r="N299" s="98">
        <v>4.6700000000002101E-2</v>
      </c>
      <c r="O299" s="94">
        <v>2615549.6877000001</v>
      </c>
      <c r="P299" s="96">
        <v>118.5286</v>
      </c>
      <c r="Q299" s="84"/>
      <c r="R299" s="94">
        <v>10714.198805522001</v>
      </c>
      <c r="S299" s="95">
        <v>3.4873995836000003E-3</v>
      </c>
      <c r="T299" s="95">
        <f t="shared" si="4"/>
        <v>2.0348022165316915E-3</v>
      </c>
      <c r="U299" s="95">
        <f>R299/'סכום נכסי הקרן'!$C$42</f>
        <v>1.843903727555189E-4</v>
      </c>
    </row>
    <row r="300" spans="2:21" s="132" customFormat="1">
      <c r="B300" s="87" t="s">
        <v>1049</v>
      </c>
      <c r="C300" s="84" t="s">
        <v>1050</v>
      </c>
      <c r="D300" s="97" t="s">
        <v>30</v>
      </c>
      <c r="E300" s="97" t="s">
        <v>922</v>
      </c>
      <c r="F300" s="84"/>
      <c r="G300" s="97" t="s">
        <v>924</v>
      </c>
      <c r="H300" s="84" t="s">
        <v>1048</v>
      </c>
      <c r="I300" s="84" t="s">
        <v>961</v>
      </c>
      <c r="J300" s="84"/>
      <c r="K300" s="94">
        <v>3.5900000000000474</v>
      </c>
      <c r="L300" s="97" t="s">
        <v>169</v>
      </c>
      <c r="M300" s="98">
        <v>7.0000000000000007E-2</v>
      </c>
      <c r="N300" s="98">
        <v>2.870000000000042E-2</v>
      </c>
      <c r="O300" s="94">
        <v>6807026.971016001</v>
      </c>
      <c r="P300" s="96">
        <v>115.316</v>
      </c>
      <c r="Q300" s="84"/>
      <c r="R300" s="94">
        <v>27128.187264646996</v>
      </c>
      <c r="S300" s="95">
        <v>5.4459265486995279E-3</v>
      </c>
      <c r="T300" s="95">
        <f t="shared" si="4"/>
        <v>5.1520880448980167E-3</v>
      </c>
      <c r="U300" s="95">
        <f>R300/'סכום נכסי הקרן'!$C$42</f>
        <v>4.6687359948293137E-4</v>
      </c>
    </row>
    <row r="301" spans="2:21" s="132" customFormat="1">
      <c r="B301" s="87" t="s">
        <v>1051</v>
      </c>
      <c r="C301" s="84" t="s">
        <v>1052</v>
      </c>
      <c r="D301" s="97" t="s">
        <v>30</v>
      </c>
      <c r="E301" s="97" t="s">
        <v>922</v>
      </c>
      <c r="F301" s="84"/>
      <c r="G301" s="97" t="s">
        <v>924</v>
      </c>
      <c r="H301" s="84" t="s">
        <v>1048</v>
      </c>
      <c r="I301" s="84" t="s">
        <v>961</v>
      </c>
      <c r="J301" s="84"/>
      <c r="K301" s="94">
        <v>6.0199999999998006</v>
      </c>
      <c r="L301" s="97" t="s">
        <v>169</v>
      </c>
      <c r="M301" s="98">
        <v>5.1249999999999997E-2</v>
      </c>
      <c r="N301" s="98">
        <v>3.3999999999998524E-2</v>
      </c>
      <c r="O301" s="94">
        <v>3181073.9445000007</v>
      </c>
      <c r="P301" s="96">
        <v>110.384</v>
      </c>
      <c r="Q301" s="84"/>
      <c r="R301" s="94">
        <v>12135.386866971998</v>
      </c>
      <c r="S301" s="95">
        <v>2.1207159630000005E-3</v>
      </c>
      <c r="T301" s="95">
        <f t="shared" si="4"/>
        <v>2.3047091568487222E-3</v>
      </c>
      <c r="U301" s="95">
        <f>R301/'סכום נכסי הקרן'!$C$42</f>
        <v>2.0884888814832626E-4</v>
      </c>
    </row>
    <row r="302" spans="2:21" s="132" customFormat="1">
      <c r="B302" s="87" t="s">
        <v>1053</v>
      </c>
      <c r="C302" s="84" t="s">
        <v>1054</v>
      </c>
      <c r="D302" s="97" t="s">
        <v>30</v>
      </c>
      <c r="E302" s="97" t="s">
        <v>922</v>
      </c>
      <c r="F302" s="84"/>
      <c r="G302" s="97" t="s">
        <v>959</v>
      </c>
      <c r="H302" s="84" t="s">
        <v>1045</v>
      </c>
      <c r="I302" s="84" t="s">
        <v>932</v>
      </c>
      <c r="J302" s="84"/>
      <c r="K302" s="94">
        <v>6.7599999999986569</v>
      </c>
      <c r="L302" s="97" t="s">
        <v>169</v>
      </c>
      <c r="M302" s="98">
        <v>4.6249999999999999E-2</v>
      </c>
      <c r="N302" s="98">
        <v>3.8399999999991045E-2</v>
      </c>
      <c r="O302" s="94">
        <v>589087.76749999996</v>
      </c>
      <c r="P302" s="96">
        <v>105.3143</v>
      </c>
      <c r="Q302" s="84"/>
      <c r="R302" s="94">
        <v>2144.081160838</v>
      </c>
      <c r="S302" s="95">
        <v>1.6831079071428571E-4</v>
      </c>
      <c r="T302" s="95">
        <f t="shared" si="4"/>
        <v>4.0719620549214248E-4</v>
      </c>
      <c r="U302" s="95">
        <f>R302/'סכום נכסי הקרן'!$C$42</f>
        <v>3.6899438925964836E-5</v>
      </c>
    </row>
    <row r="303" spans="2:21" s="132" customFormat="1">
      <c r="B303" s="87" t="s">
        <v>1055</v>
      </c>
      <c r="C303" s="84" t="s">
        <v>1056</v>
      </c>
      <c r="D303" s="97" t="s">
        <v>30</v>
      </c>
      <c r="E303" s="97" t="s">
        <v>922</v>
      </c>
      <c r="F303" s="84"/>
      <c r="G303" s="97" t="s">
        <v>924</v>
      </c>
      <c r="H303" s="84" t="s">
        <v>1048</v>
      </c>
      <c r="I303" s="84" t="s">
        <v>961</v>
      </c>
      <c r="J303" s="84"/>
      <c r="K303" s="94">
        <v>0.20000000000004137</v>
      </c>
      <c r="L303" s="97" t="s">
        <v>169</v>
      </c>
      <c r="M303" s="98">
        <v>0.05</v>
      </c>
      <c r="N303" s="98">
        <v>1.3099999999999969E-2</v>
      </c>
      <c r="O303" s="94">
        <v>2739258.1188749997</v>
      </c>
      <c r="P303" s="96">
        <v>102.1332</v>
      </c>
      <c r="Q303" s="84"/>
      <c r="R303" s="94">
        <v>9668.8255603130001</v>
      </c>
      <c r="S303" s="95">
        <v>2.4925005631255682E-3</v>
      </c>
      <c r="T303" s="95">
        <f t="shared" si="4"/>
        <v>1.8362686784608932E-3</v>
      </c>
      <c r="U303" s="95">
        <f>R303/'סכום נכסי הקרן'!$C$42</f>
        <v>1.6639959567068554E-4</v>
      </c>
    </row>
    <row r="304" spans="2:21" s="132" customFormat="1">
      <c r="B304" s="87" t="s">
        <v>1057</v>
      </c>
      <c r="C304" s="84" t="s">
        <v>1058</v>
      </c>
      <c r="D304" s="97" t="s">
        <v>30</v>
      </c>
      <c r="E304" s="97" t="s">
        <v>922</v>
      </c>
      <c r="F304" s="84"/>
      <c r="G304" s="97" t="s">
        <v>941</v>
      </c>
      <c r="H304" s="84" t="s">
        <v>1048</v>
      </c>
      <c r="I304" s="84" t="s">
        <v>961</v>
      </c>
      <c r="J304" s="84"/>
      <c r="K304" s="94">
        <v>6.5900000000000203</v>
      </c>
      <c r="L304" s="97" t="s">
        <v>169</v>
      </c>
      <c r="M304" s="98">
        <v>4.4999999999999998E-2</v>
      </c>
      <c r="N304" s="98">
        <v>3.2200000000000235E-2</v>
      </c>
      <c r="O304" s="94">
        <v>5890877.6749999998</v>
      </c>
      <c r="P304" s="96">
        <v>108.527</v>
      </c>
      <c r="Q304" s="84"/>
      <c r="R304" s="94">
        <v>22094.874366384</v>
      </c>
      <c r="S304" s="95">
        <v>7.8545035666666672E-3</v>
      </c>
      <c r="T304" s="95">
        <f t="shared" si="4"/>
        <v>4.1961793084832541E-3</v>
      </c>
      <c r="U304" s="95">
        <f>R304/'סכום נכסי הקרן'!$C$42</f>
        <v>3.8025074896913058E-4</v>
      </c>
    </row>
    <row r="305" spans="2:21" s="132" customFormat="1">
      <c r="B305" s="87" t="s">
        <v>1059</v>
      </c>
      <c r="C305" s="84" t="s">
        <v>1060</v>
      </c>
      <c r="D305" s="97" t="s">
        <v>30</v>
      </c>
      <c r="E305" s="97" t="s">
        <v>922</v>
      </c>
      <c r="F305" s="84"/>
      <c r="G305" s="97" t="s">
        <v>977</v>
      </c>
      <c r="H305" s="84" t="s">
        <v>1048</v>
      </c>
      <c r="I305" s="84" t="s">
        <v>961</v>
      </c>
      <c r="J305" s="84"/>
      <c r="K305" s="94">
        <v>5.7300000000000333</v>
      </c>
      <c r="L305" s="97" t="s">
        <v>169</v>
      </c>
      <c r="M305" s="98">
        <v>0.06</v>
      </c>
      <c r="N305" s="98">
        <v>5.0200000000000217E-2</v>
      </c>
      <c r="O305" s="94">
        <v>7424862.221570001</v>
      </c>
      <c r="P305" s="96">
        <v>108.1367</v>
      </c>
      <c r="Q305" s="84"/>
      <c r="R305" s="94">
        <v>27748.218846469998</v>
      </c>
      <c r="S305" s="95">
        <v>9.899816295426668E-3</v>
      </c>
      <c r="T305" s="95">
        <f t="shared" si="4"/>
        <v>5.2698422195137477E-3</v>
      </c>
      <c r="U305" s="95">
        <f>R305/'סכום נכסי הקרן'!$C$42</f>
        <v>4.7754428579067595E-4</v>
      </c>
    </row>
    <row r="306" spans="2:21" s="132" customFormat="1">
      <c r="B306" s="87" t="s">
        <v>1061</v>
      </c>
      <c r="C306" s="84" t="s">
        <v>1062</v>
      </c>
      <c r="D306" s="97" t="s">
        <v>30</v>
      </c>
      <c r="E306" s="97" t="s">
        <v>922</v>
      </c>
      <c r="F306" s="84"/>
      <c r="G306" s="97" t="s">
        <v>1011</v>
      </c>
      <c r="H306" s="84" t="s">
        <v>1048</v>
      </c>
      <c r="I306" s="84" t="s">
        <v>961</v>
      </c>
      <c r="J306" s="84"/>
      <c r="K306" s="94">
        <v>3.9500000000000366</v>
      </c>
      <c r="L306" s="97" t="s">
        <v>169</v>
      </c>
      <c r="M306" s="98">
        <v>5.2499999999999998E-2</v>
      </c>
      <c r="N306" s="98">
        <v>3.1600000000000163E-2</v>
      </c>
      <c r="O306" s="94">
        <v>3912720.9517350001</v>
      </c>
      <c r="P306" s="96">
        <v>108.795</v>
      </c>
      <c r="Q306" s="84"/>
      <c r="R306" s="94">
        <v>14711.655487211001</v>
      </c>
      <c r="S306" s="95">
        <v>6.5212015862249999E-3</v>
      </c>
      <c r="T306" s="95">
        <f t="shared" si="4"/>
        <v>2.7939848548263991E-3</v>
      </c>
      <c r="U306" s="95">
        <f>R306/'סכום נכסי הקרן'!$C$42</f>
        <v>2.5318623336908E-4</v>
      </c>
    </row>
    <row r="307" spans="2:21" s="132" customFormat="1">
      <c r="B307" s="87" t="s">
        <v>1063</v>
      </c>
      <c r="C307" s="84" t="s">
        <v>1064</v>
      </c>
      <c r="D307" s="97" t="s">
        <v>30</v>
      </c>
      <c r="E307" s="97" t="s">
        <v>922</v>
      </c>
      <c r="F307" s="84"/>
      <c r="G307" s="97" t="s">
        <v>1015</v>
      </c>
      <c r="H307" s="84" t="s">
        <v>1048</v>
      </c>
      <c r="I307" s="84" t="s">
        <v>961</v>
      </c>
      <c r="J307" s="84"/>
      <c r="K307" s="94">
        <v>1.8800000000000416</v>
      </c>
      <c r="L307" s="97" t="s">
        <v>169</v>
      </c>
      <c r="M307" s="98">
        <v>5.5960000000000003E-2</v>
      </c>
      <c r="N307" s="98">
        <v>2.8700000000000378E-2</v>
      </c>
      <c r="O307" s="94">
        <v>5890877.6749999998</v>
      </c>
      <c r="P307" s="96">
        <v>107.8712</v>
      </c>
      <c r="Q307" s="84"/>
      <c r="R307" s="94">
        <v>21961.358611191001</v>
      </c>
      <c r="S307" s="95">
        <v>4.2077697678571425E-3</v>
      </c>
      <c r="T307" s="95">
        <f t="shared" si="4"/>
        <v>4.1708224750382182E-3</v>
      </c>
      <c r="U307" s="95">
        <f>R307/'סכום נכסי הקרן'!$C$42</f>
        <v>3.7795295514285931E-4</v>
      </c>
    </row>
    <row r="308" spans="2:21" s="132" customFormat="1">
      <c r="B308" s="87" t="s">
        <v>1065</v>
      </c>
      <c r="C308" s="84" t="s">
        <v>1066</v>
      </c>
      <c r="D308" s="97" t="s">
        <v>30</v>
      </c>
      <c r="E308" s="97" t="s">
        <v>922</v>
      </c>
      <c r="F308" s="84"/>
      <c r="G308" s="97" t="s">
        <v>924</v>
      </c>
      <c r="H308" s="84" t="s">
        <v>1045</v>
      </c>
      <c r="I308" s="84" t="s">
        <v>932</v>
      </c>
      <c r="J308" s="84"/>
      <c r="K308" s="94">
        <v>5.5600000000000485</v>
      </c>
      <c r="L308" s="97" t="s">
        <v>169</v>
      </c>
      <c r="M308" s="98">
        <v>5.1249999999999997E-2</v>
      </c>
      <c r="N308" s="98">
        <v>4.900000000000046E-2</v>
      </c>
      <c r="O308" s="94">
        <v>5655242.568</v>
      </c>
      <c r="P308" s="96">
        <v>101.16670000000001</v>
      </c>
      <c r="Q308" s="84"/>
      <c r="R308" s="94">
        <v>19772.548551059001</v>
      </c>
      <c r="S308" s="95">
        <v>1.0282259214545455E-2</v>
      </c>
      <c r="T308" s="95">
        <f t="shared" si="4"/>
        <v>3.7551315173878887E-3</v>
      </c>
      <c r="U308" s="95">
        <f>R308/'סכום נכסי הקרן'!$C$42</f>
        <v>3.4028373598754926E-4</v>
      </c>
    </row>
    <row r="309" spans="2:21" s="132" customFormat="1">
      <c r="B309" s="87" t="s">
        <v>1067</v>
      </c>
      <c r="C309" s="84" t="s">
        <v>1068</v>
      </c>
      <c r="D309" s="97" t="s">
        <v>30</v>
      </c>
      <c r="E309" s="97" t="s">
        <v>922</v>
      </c>
      <c r="F309" s="84"/>
      <c r="G309" s="97" t="s">
        <v>1011</v>
      </c>
      <c r="H309" s="84" t="s">
        <v>1045</v>
      </c>
      <c r="I309" s="84" t="s">
        <v>926</v>
      </c>
      <c r="J309" s="84"/>
      <c r="K309" s="94">
        <v>4.2300000000000004</v>
      </c>
      <c r="L309" s="97" t="s">
        <v>171</v>
      </c>
      <c r="M309" s="98">
        <v>0.03</v>
      </c>
      <c r="N309" s="98">
        <v>1.619999999999994E-2</v>
      </c>
      <c r="O309" s="94">
        <v>4642011.6079000002</v>
      </c>
      <c r="P309" s="96">
        <v>106.84820000000001</v>
      </c>
      <c r="Q309" s="84"/>
      <c r="R309" s="94">
        <v>19235.509213826001</v>
      </c>
      <c r="S309" s="95">
        <v>9.2840232158E-3</v>
      </c>
      <c r="T309" s="95">
        <f t="shared" si="4"/>
        <v>3.6531389322584048E-3</v>
      </c>
      <c r="U309" s="95">
        <f>R309/'סכום נכסי הקרן'!$C$42</f>
        <v>3.310413385508195E-4</v>
      </c>
    </row>
    <row r="310" spans="2:21" s="132" customFormat="1">
      <c r="B310" s="87" t="s">
        <v>1069</v>
      </c>
      <c r="C310" s="84" t="s">
        <v>1070</v>
      </c>
      <c r="D310" s="97" t="s">
        <v>30</v>
      </c>
      <c r="E310" s="97" t="s">
        <v>922</v>
      </c>
      <c r="F310" s="84"/>
      <c r="G310" s="97" t="s">
        <v>1071</v>
      </c>
      <c r="H310" s="84" t="s">
        <v>1045</v>
      </c>
      <c r="I310" s="84" t="s">
        <v>926</v>
      </c>
      <c r="J310" s="84"/>
      <c r="K310" s="94">
        <v>1.7099999999999607</v>
      </c>
      <c r="L310" s="97" t="s">
        <v>169</v>
      </c>
      <c r="M310" s="98">
        <v>4.1250000000000002E-2</v>
      </c>
      <c r="N310" s="98">
        <v>2.4399999999999488E-2</v>
      </c>
      <c r="O310" s="94">
        <v>4753938.283725</v>
      </c>
      <c r="P310" s="96">
        <v>104.5321</v>
      </c>
      <c r="Q310" s="84"/>
      <c r="R310" s="94">
        <v>17174.214364277002</v>
      </c>
      <c r="S310" s="95">
        <v>7.9232304728749994E-3</v>
      </c>
      <c r="T310" s="95">
        <f t="shared" si="4"/>
        <v>3.2616652061384505E-3</v>
      </c>
      <c r="U310" s="95">
        <f>R310/'סכום נכסי הקרן'!$C$42</f>
        <v>2.9556664440276247E-4</v>
      </c>
    </row>
    <row r="311" spans="2:21" s="132" customFormat="1">
      <c r="B311" s="87" t="s">
        <v>1072</v>
      </c>
      <c r="C311" s="84" t="s">
        <v>1073</v>
      </c>
      <c r="D311" s="97" t="s">
        <v>30</v>
      </c>
      <c r="E311" s="97" t="s">
        <v>922</v>
      </c>
      <c r="F311" s="84"/>
      <c r="G311" s="97" t="s">
        <v>924</v>
      </c>
      <c r="H311" s="84" t="s">
        <v>1045</v>
      </c>
      <c r="I311" s="84" t="s">
        <v>932</v>
      </c>
      <c r="J311" s="84"/>
      <c r="K311" s="94">
        <v>5.609999999999923</v>
      </c>
      <c r="L311" s="97" t="s">
        <v>169</v>
      </c>
      <c r="M311" s="98">
        <v>6.4899999999999999E-2</v>
      </c>
      <c r="N311" s="98">
        <v>5.3599999999999322E-2</v>
      </c>
      <c r="O311" s="94">
        <v>6825170.8742549988</v>
      </c>
      <c r="P311" s="96">
        <v>107.8847</v>
      </c>
      <c r="Q311" s="84"/>
      <c r="R311" s="94">
        <v>25447.615755677001</v>
      </c>
      <c r="S311" s="95">
        <v>2.8914947167486427E-3</v>
      </c>
      <c r="T311" s="95">
        <f t="shared" si="4"/>
        <v>4.8329199303648318E-3</v>
      </c>
      <c r="U311" s="95">
        <f>R311/'סכום נכסי הקרן'!$C$42</f>
        <v>4.3795111889375542E-4</v>
      </c>
    </row>
    <row r="312" spans="2:21" s="132" customFormat="1">
      <c r="B312" s="87" t="s">
        <v>1074</v>
      </c>
      <c r="C312" s="84" t="s">
        <v>1075</v>
      </c>
      <c r="D312" s="97" t="s">
        <v>30</v>
      </c>
      <c r="E312" s="97" t="s">
        <v>922</v>
      </c>
      <c r="F312" s="84"/>
      <c r="G312" s="97" t="s">
        <v>954</v>
      </c>
      <c r="H312" s="84" t="s">
        <v>1045</v>
      </c>
      <c r="I312" s="84" t="s">
        <v>926</v>
      </c>
      <c r="J312" s="84"/>
      <c r="K312" s="94">
        <v>4.4399999999999249</v>
      </c>
      <c r="L312" s="97" t="s">
        <v>169</v>
      </c>
      <c r="M312" s="98">
        <v>3.7539999999999997E-2</v>
      </c>
      <c r="N312" s="98">
        <v>3.2599999999999602E-2</v>
      </c>
      <c r="O312" s="94">
        <v>8082284.1700999998</v>
      </c>
      <c r="P312" s="96">
        <v>102.6082</v>
      </c>
      <c r="Q312" s="84"/>
      <c r="R312" s="94">
        <v>28660.917134388998</v>
      </c>
      <c r="S312" s="95">
        <v>1.0776378893466667E-2</v>
      </c>
      <c r="T312" s="95">
        <f t="shared" si="4"/>
        <v>5.4431786054621864E-3</v>
      </c>
      <c r="U312" s="95">
        <f>R312/'סכום נכסי הקרן'!$C$42</f>
        <v>4.9325173910356123E-4</v>
      </c>
    </row>
    <row r="313" spans="2:21" s="132" customFormat="1">
      <c r="B313" s="87" t="s">
        <v>1076</v>
      </c>
      <c r="C313" s="84" t="s">
        <v>1077</v>
      </c>
      <c r="D313" s="97" t="s">
        <v>30</v>
      </c>
      <c r="E313" s="97" t="s">
        <v>922</v>
      </c>
      <c r="F313" s="84"/>
      <c r="G313" s="97" t="s">
        <v>924</v>
      </c>
      <c r="H313" s="84" t="s">
        <v>1045</v>
      </c>
      <c r="I313" s="84" t="s">
        <v>932</v>
      </c>
      <c r="J313" s="84"/>
      <c r="K313" s="94">
        <v>4.6699999999999182</v>
      </c>
      <c r="L313" s="97" t="s">
        <v>171</v>
      </c>
      <c r="M313" s="98">
        <v>4.4999999999999998E-2</v>
      </c>
      <c r="N313" s="98">
        <v>1.3899999999999659E-2</v>
      </c>
      <c r="O313" s="94">
        <v>5463435.5909019997</v>
      </c>
      <c r="P313" s="96">
        <v>118.5042</v>
      </c>
      <c r="Q313" s="84"/>
      <c r="R313" s="94">
        <v>25109.023336015001</v>
      </c>
      <c r="S313" s="95">
        <v>5.4634355909020001E-3</v>
      </c>
      <c r="T313" s="95">
        <f t="shared" si="4"/>
        <v>4.7686156721991188E-3</v>
      </c>
      <c r="U313" s="95">
        <f>R313/'סכום נכסי הקרן'!$C$42</f>
        <v>4.3212397459608832E-4</v>
      </c>
    </row>
    <row r="314" spans="2:21" s="132" customFormat="1">
      <c r="B314" s="87" t="s">
        <v>1078</v>
      </c>
      <c r="C314" s="84" t="s">
        <v>1079</v>
      </c>
      <c r="D314" s="97" t="s">
        <v>30</v>
      </c>
      <c r="E314" s="97" t="s">
        <v>922</v>
      </c>
      <c r="F314" s="84"/>
      <c r="G314" s="97" t="s">
        <v>1011</v>
      </c>
      <c r="H314" s="84" t="s">
        <v>1045</v>
      </c>
      <c r="I314" s="84" t="s">
        <v>926</v>
      </c>
      <c r="J314" s="84"/>
      <c r="K314" s="94">
        <v>3.8000000000000642</v>
      </c>
      <c r="L314" s="97" t="s">
        <v>171</v>
      </c>
      <c r="M314" s="98">
        <v>4.2500000000000003E-2</v>
      </c>
      <c r="N314" s="98">
        <v>1.4100000000000531E-2</v>
      </c>
      <c r="O314" s="94">
        <v>2804057.7733</v>
      </c>
      <c r="P314" s="96">
        <v>114.4438</v>
      </c>
      <c r="Q314" s="84"/>
      <c r="R314" s="94">
        <v>12445.419647174002</v>
      </c>
      <c r="S314" s="95">
        <v>9.3468592443333338E-3</v>
      </c>
      <c r="T314" s="95">
        <f t="shared" si="4"/>
        <v>2.3635894707017173E-3</v>
      </c>
      <c r="U314" s="95">
        <f>R314/'סכום נכסי הקרן'!$C$42</f>
        <v>2.141845236863204E-4</v>
      </c>
    </row>
    <row r="315" spans="2:21" s="132" customFormat="1">
      <c r="B315" s="87" t="s">
        <v>1080</v>
      </c>
      <c r="C315" s="84" t="s">
        <v>1081</v>
      </c>
      <c r="D315" s="97" t="s">
        <v>30</v>
      </c>
      <c r="E315" s="97" t="s">
        <v>922</v>
      </c>
      <c r="F315" s="84"/>
      <c r="G315" s="97" t="s">
        <v>992</v>
      </c>
      <c r="H315" s="84" t="s">
        <v>1045</v>
      </c>
      <c r="I315" s="84" t="s">
        <v>926</v>
      </c>
      <c r="J315" s="84"/>
      <c r="K315" s="94">
        <v>8.199999999999914</v>
      </c>
      <c r="L315" s="97" t="s">
        <v>169</v>
      </c>
      <c r="M315" s="98">
        <v>3.7999999999999999E-2</v>
      </c>
      <c r="N315" s="98">
        <v>3.8099999999999801E-2</v>
      </c>
      <c r="O315" s="94">
        <v>4712702.1399999997</v>
      </c>
      <c r="P315" s="96">
        <v>100.774</v>
      </c>
      <c r="Q315" s="84"/>
      <c r="R315" s="94">
        <v>16413.160738972001</v>
      </c>
      <c r="S315" s="95">
        <v>1.1781755349999999E-2</v>
      </c>
      <c r="T315" s="95">
        <f t="shared" si="4"/>
        <v>3.117128630723034E-3</v>
      </c>
      <c r="U315" s="95">
        <f>R315/'סכום נכסי הקרן'!$C$42</f>
        <v>2.8246898173996002E-4</v>
      </c>
    </row>
    <row r="316" spans="2:21" s="132" customFormat="1">
      <c r="B316" s="87" t="s">
        <v>1082</v>
      </c>
      <c r="C316" s="84" t="s">
        <v>1083</v>
      </c>
      <c r="D316" s="97" t="s">
        <v>30</v>
      </c>
      <c r="E316" s="97" t="s">
        <v>922</v>
      </c>
      <c r="F316" s="84"/>
      <c r="G316" s="97" t="s">
        <v>941</v>
      </c>
      <c r="H316" s="84" t="s">
        <v>1048</v>
      </c>
      <c r="I316" s="84" t="s">
        <v>961</v>
      </c>
      <c r="J316" s="84"/>
      <c r="K316" s="94">
        <v>7.9999999999975299E-2</v>
      </c>
      <c r="L316" s="97" t="s">
        <v>169</v>
      </c>
      <c r="M316" s="98">
        <v>4.6249999999999999E-2</v>
      </c>
      <c r="N316" s="98">
        <v>4.1000000000002076E-3</v>
      </c>
      <c r="O316" s="94">
        <v>5039292.398302</v>
      </c>
      <c r="P316" s="96">
        <v>102.3168</v>
      </c>
      <c r="Q316" s="84"/>
      <c r="R316" s="94">
        <v>17819.289457343002</v>
      </c>
      <c r="S316" s="95">
        <v>6.7190565310693336E-3</v>
      </c>
      <c r="T316" s="95">
        <f t="shared" si="4"/>
        <v>3.384175554604598E-3</v>
      </c>
      <c r="U316" s="95">
        <f>R316/'סכום נכסי הקרן'!$C$42</f>
        <v>3.0666832722802767E-4</v>
      </c>
    </row>
    <row r="317" spans="2:21" s="132" customFormat="1">
      <c r="B317" s="87" t="s">
        <v>1084</v>
      </c>
      <c r="C317" s="84" t="s">
        <v>1085</v>
      </c>
      <c r="D317" s="97" t="s">
        <v>30</v>
      </c>
      <c r="E317" s="97" t="s">
        <v>922</v>
      </c>
      <c r="F317" s="84"/>
      <c r="G317" s="97" t="s">
        <v>970</v>
      </c>
      <c r="H317" s="84" t="s">
        <v>1045</v>
      </c>
      <c r="I317" s="84" t="s">
        <v>932</v>
      </c>
      <c r="J317" s="84"/>
      <c r="K317" s="94">
        <v>4.2199999999999536</v>
      </c>
      <c r="L317" s="97" t="s">
        <v>169</v>
      </c>
      <c r="M317" s="98">
        <v>6.2539999999999998E-2</v>
      </c>
      <c r="N317" s="98">
        <v>4.0599999999999588E-2</v>
      </c>
      <c r="O317" s="94">
        <v>7775958.5310000004</v>
      </c>
      <c r="P317" s="96">
        <v>110.30840000000001</v>
      </c>
      <c r="Q317" s="84"/>
      <c r="R317" s="94">
        <v>29643.95800147</v>
      </c>
      <c r="S317" s="95">
        <v>5.9815065623076927E-3</v>
      </c>
      <c r="T317" s="95">
        <f t="shared" si="4"/>
        <v>5.6298742017998919E-3</v>
      </c>
      <c r="U317" s="95">
        <f>R317/'סכום נכסי הקרן'!$C$42</f>
        <v>5.1016978171273457E-4</v>
      </c>
    </row>
    <row r="318" spans="2:21" s="132" customFormat="1">
      <c r="B318" s="87" t="s">
        <v>1086</v>
      </c>
      <c r="C318" s="84" t="s">
        <v>1087</v>
      </c>
      <c r="D318" s="97" t="s">
        <v>30</v>
      </c>
      <c r="E318" s="97" t="s">
        <v>922</v>
      </c>
      <c r="F318" s="84"/>
      <c r="G318" s="97" t="s">
        <v>924</v>
      </c>
      <c r="H318" s="84" t="s">
        <v>1088</v>
      </c>
      <c r="I318" s="84" t="s">
        <v>932</v>
      </c>
      <c r="J318" s="84"/>
      <c r="K318" s="94">
        <v>6.5599999999999286</v>
      </c>
      <c r="L318" s="97" t="s">
        <v>169</v>
      </c>
      <c r="M318" s="98">
        <v>4.4999999999999998E-2</v>
      </c>
      <c r="N318" s="98">
        <v>4.0699999999999417E-2</v>
      </c>
      <c r="O318" s="94">
        <v>6385711.3997</v>
      </c>
      <c r="P318" s="96">
        <v>103.90600000000001</v>
      </c>
      <c r="Q318" s="84"/>
      <c r="R318" s="94">
        <v>22931.034464719</v>
      </c>
      <c r="S318" s="95">
        <v>4.2571409331333332E-3</v>
      </c>
      <c r="T318" s="95">
        <f t="shared" si="4"/>
        <v>4.3549798359282478E-3</v>
      </c>
      <c r="U318" s="95">
        <f>R318/'סכום נכסי הקרן'!$C$42</f>
        <v>3.9464098710208543E-4</v>
      </c>
    </row>
    <row r="319" spans="2:21" s="132" customFormat="1">
      <c r="B319" s="87" t="s">
        <v>1089</v>
      </c>
      <c r="C319" s="84" t="s">
        <v>1090</v>
      </c>
      <c r="D319" s="97" t="s">
        <v>30</v>
      </c>
      <c r="E319" s="97" t="s">
        <v>922</v>
      </c>
      <c r="F319" s="84"/>
      <c r="G319" s="97" t="s">
        <v>977</v>
      </c>
      <c r="H319" s="84" t="s">
        <v>1088</v>
      </c>
      <c r="I319" s="84" t="s">
        <v>926</v>
      </c>
      <c r="J319" s="84"/>
      <c r="K319" s="94">
        <v>5.1200000000000552</v>
      </c>
      <c r="L319" s="97" t="s">
        <v>172</v>
      </c>
      <c r="M319" s="98">
        <v>0.06</v>
      </c>
      <c r="N319" s="98">
        <v>3.880000000000048E-2</v>
      </c>
      <c r="O319" s="94">
        <v>5584552.0358999996</v>
      </c>
      <c r="P319" s="96">
        <v>113.3723</v>
      </c>
      <c r="Q319" s="84"/>
      <c r="R319" s="94">
        <v>28868.997088470001</v>
      </c>
      <c r="S319" s="95">
        <v>4.4676416287199993E-3</v>
      </c>
      <c r="T319" s="95">
        <f t="shared" si="4"/>
        <v>5.4826964041763205E-3</v>
      </c>
      <c r="U319" s="95">
        <f>R319/'סכום נכסי הקרן'!$C$42</f>
        <v>4.9683277591204133E-4</v>
      </c>
    </row>
    <row r="320" spans="2:21" s="132" customFormat="1">
      <c r="B320" s="87" t="s">
        <v>1091</v>
      </c>
      <c r="C320" s="84" t="s">
        <v>1092</v>
      </c>
      <c r="D320" s="97" t="s">
        <v>30</v>
      </c>
      <c r="E320" s="97" t="s">
        <v>922</v>
      </c>
      <c r="F320" s="84"/>
      <c r="G320" s="97" t="s">
        <v>977</v>
      </c>
      <c r="H320" s="84" t="s">
        <v>1088</v>
      </c>
      <c r="I320" s="84" t="s">
        <v>926</v>
      </c>
      <c r="J320" s="84"/>
      <c r="K320" s="94">
        <v>5.2100000000000639</v>
      </c>
      <c r="L320" s="97" t="s">
        <v>171</v>
      </c>
      <c r="M320" s="98">
        <v>0.05</v>
      </c>
      <c r="N320" s="98">
        <v>2.3600000000000187E-2</v>
      </c>
      <c r="O320" s="94">
        <v>2356351.0699999998</v>
      </c>
      <c r="P320" s="96">
        <v>119.05159999999999</v>
      </c>
      <c r="Q320" s="84"/>
      <c r="R320" s="94">
        <v>10879.415022929999</v>
      </c>
      <c r="S320" s="95">
        <v>2.3563510699999997E-3</v>
      </c>
      <c r="T320" s="95">
        <f t="shared" si="4"/>
        <v>2.0661794880842328E-3</v>
      </c>
      <c r="U320" s="95">
        <f>R320/'סכום נכסי הקרן'!$C$42</f>
        <v>1.8723372861124716E-4</v>
      </c>
    </row>
    <row r="321" spans="2:21" s="132" customFormat="1">
      <c r="B321" s="87" t="s">
        <v>1093</v>
      </c>
      <c r="C321" s="84" t="s">
        <v>1094</v>
      </c>
      <c r="D321" s="97" t="s">
        <v>30</v>
      </c>
      <c r="E321" s="97" t="s">
        <v>922</v>
      </c>
      <c r="F321" s="84"/>
      <c r="G321" s="97" t="s">
        <v>1095</v>
      </c>
      <c r="H321" s="84" t="s">
        <v>1096</v>
      </c>
      <c r="I321" s="84" t="s">
        <v>961</v>
      </c>
      <c r="J321" s="84"/>
      <c r="K321" s="94">
        <v>4.4399999999999098</v>
      </c>
      <c r="L321" s="97" t="s">
        <v>169</v>
      </c>
      <c r="M321" s="98">
        <v>4.8750000000000002E-2</v>
      </c>
      <c r="N321" s="98">
        <v>3.9299999999999322E-2</v>
      </c>
      <c r="O321" s="94">
        <v>5890877.6749999998</v>
      </c>
      <c r="P321" s="96">
        <v>108.63590000000001</v>
      </c>
      <c r="Q321" s="84"/>
      <c r="R321" s="94">
        <v>22117.04857485</v>
      </c>
      <c r="S321" s="95">
        <v>5.8908776749999996E-3</v>
      </c>
      <c r="T321" s="95">
        <f t="shared" si="4"/>
        <v>4.2003905546394481E-3</v>
      </c>
      <c r="U321" s="95">
        <f>R321/'סכום נכסי הקרן'!$C$42</f>
        <v>3.8063236505063327E-4</v>
      </c>
    </row>
    <row r="322" spans="2:21" s="132" customFormat="1">
      <c r="B322" s="87" t="s">
        <v>1097</v>
      </c>
      <c r="C322" s="84" t="s">
        <v>1098</v>
      </c>
      <c r="D322" s="97" t="s">
        <v>30</v>
      </c>
      <c r="E322" s="97" t="s">
        <v>922</v>
      </c>
      <c r="F322" s="84"/>
      <c r="G322" s="97" t="s">
        <v>954</v>
      </c>
      <c r="H322" s="84" t="s">
        <v>1088</v>
      </c>
      <c r="I322" s="84" t="s">
        <v>926</v>
      </c>
      <c r="J322" s="84"/>
      <c r="K322" s="94">
        <v>3.5400000000000924</v>
      </c>
      <c r="L322" s="97" t="s">
        <v>169</v>
      </c>
      <c r="M322" s="98">
        <v>7.0000000000000007E-2</v>
      </c>
      <c r="N322" s="98">
        <v>4.4100000000000798E-2</v>
      </c>
      <c r="O322" s="94">
        <v>4477067.0329999998</v>
      </c>
      <c r="P322" s="96">
        <v>112.1427</v>
      </c>
      <c r="Q322" s="84"/>
      <c r="R322" s="94">
        <v>17351.54735596</v>
      </c>
      <c r="S322" s="95">
        <v>1.7908268131999999E-3</v>
      </c>
      <c r="T322" s="95">
        <f t="shared" si="4"/>
        <v>3.295343652011117E-3</v>
      </c>
      <c r="U322" s="95">
        <f>R322/'סכום נכסי הקרן'!$C$42</f>
        <v>2.986185288256487E-4</v>
      </c>
    </row>
    <row r="323" spans="2:21" s="132" customFormat="1">
      <c r="B323" s="87" t="s">
        <v>1099</v>
      </c>
      <c r="C323" s="84" t="s">
        <v>1100</v>
      </c>
      <c r="D323" s="97" t="s">
        <v>30</v>
      </c>
      <c r="E323" s="97" t="s">
        <v>922</v>
      </c>
      <c r="F323" s="84"/>
      <c r="G323" s="97" t="s">
        <v>1015</v>
      </c>
      <c r="H323" s="84" t="s">
        <v>1101</v>
      </c>
      <c r="I323" s="84" t="s">
        <v>961</v>
      </c>
      <c r="J323" s="84"/>
      <c r="K323" s="94">
        <v>0.72999999999998066</v>
      </c>
      <c r="L323" s="97" t="s">
        <v>169</v>
      </c>
      <c r="M323" s="98">
        <v>0.05</v>
      </c>
      <c r="N323" s="98">
        <v>3.279999999999967E-2</v>
      </c>
      <c r="O323" s="94">
        <v>5042591.2898000004</v>
      </c>
      <c r="P323" s="96">
        <v>103.70610000000001</v>
      </c>
      <c r="Q323" s="84"/>
      <c r="R323" s="94">
        <v>18073.066728595</v>
      </c>
      <c r="S323" s="95">
        <v>5.0425912898000008E-3</v>
      </c>
      <c r="T323" s="95">
        <f t="shared" si="4"/>
        <v>3.4323720239274177E-3</v>
      </c>
      <c r="U323" s="95">
        <f>R323/'סכום נכסי הקרן'!$C$42</f>
        <v>3.110358106481521E-4</v>
      </c>
    </row>
    <row r="324" spans="2:21" s="132" customFormat="1">
      <c r="B324" s="87" t="s">
        <v>1102</v>
      </c>
      <c r="C324" s="84" t="s">
        <v>1103</v>
      </c>
      <c r="D324" s="97" t="s">
        <v>30</v>
      </c>
      <c r="E324" s="97" t="s">
        <v>922</v>
      </c>
      <c r="F324" s="84"/>
      <c r="G324" s="97" t="s">
        <v>954</v>
      </c>
      <c r="H324" s="84" t="s">
        <v>937</v>
      </c>
      <c r="I324" s="84" t="s">
        <v>926</v>
      </c>
      <c r="J324" s="84"/>
      <c r="K324" s="94">
        <v>4.729999999999901</v>
      </c>
      <c r="L324" s="97" t="s">
        <v>169</v>
      </c>
      <c r="M324" s="98">
        <v>7.2499999999999995E-2</v>
      </c>
      <c r="N324" s="98">
        <v>4.8499999999998968E-2</v>
      </c>
      <c r="O324" s="94">
        <v>2356351.0699999998</v>
      </c>
      <c r="P324" s="96">
        <v>113.667</v>
      </c>
      <c r="Q324" s="84"/>
      <c r="R324" s="94">
        <v>9256.5281804669994</v>
      </c>
      <c r="S324" s="95">
        <v>1.5709007133333332E-3</v>
      </c>
      <c r="T324" s="95">
        <f t="shared" si="4"/>
        <v>1.7579666385595554E-3</v>
      </c>
      <c r="U324" s="95">
        <f>R324/'סכום נכסי הקרן'!$C$42</f>
        <v>1.5930399580961653E-4</v>
      </c>
    </row>
    <row r="325" spans="2:21" s="132" customFormat="1">
      <c r="B325" s="87" t="s">
        <v>1104</v>
      </c>
      <c r="C325" s="84" t="s">
        <v>1105</v>
      </c>
      <c r="D325" s="97" t="s">
        <v>30</v>
      </c>
      <c r="E325" s="97" t="s">
        <v>922</v>
      </c>
      <c r="F325" s="84"/>
      <c r="G325" s="97" t="s">
        <v>980</v>
      </c>
      <c r="H325" s="84" t="s">
        <v>937</v>
      </c>
      <c r="I325" s="84" t="s">
        <v>926</v>
      </c>
      <c r="J325" s="84"/>
      <c r="K325" s="94">
        <v>3.0999999999998509</v>
      </c>
      <c r="L325" s="97" t="s">
        <v>169</v>
      </c>
      <c r="M325" s="98">
        <v>7.4999999999999997E-2</v>
      </c>
      <c r="N325" s="98">
        <v>4.4799999999998813E-2</v>
      </c>
      <c r="O325" s="94">
        <v>1885080.8559999999</v>
      </c>
      <c r="P325" s="96">
        <v>112.75579999999999</v>
      </c>
      <c r="Q325" s="84"/>
      <c r="R325" s="94">
        <v>7345.8615013809986</v>
      </c>
      <c r="S325" s="95">
        <v>9.4254042799999998E-4</v>
      </c>
      <c r="T325" s="95">
        <f t="shared" si="4"/>
        <v>1.395099674428398E-3</v>
      </c>
      <c r="U325" s="95">
        <f>R325/'סכום נכסי הקרן'!$C$42</f>
        <v>1.2642159857552372E-4</v>
      </c>
    </row>
    <row r="326" spans="2:21" s="132" customFormat="1">
      <c r="B326" s="87" t="s">
        <v>1106</v>
      </c>
      <c r="C326" s="84" t="s">
        <v>1107</v>
      </c>
      <c r="D326" s="97" t="s">
        <v>30</v>
      </c>
      <c r="E326" s="97" t="s">
        <v>922</v>
      </c>
      <c r="F326" s="84"/>
      <c r="G326" s="97" t="s">
        <v>959</v>
      </c>
      <c r="H326" s="84" t="s">
        <v>937</v>
      </c>
      <c r="I326" s="84" t="s">
        <v>926</v>
      </c>
      <c r="J326" s="84"/>
      <c r="K326" s="94">
        <v>6.8500000000001249</v>
      </c>
      <c r="L326" s="97" t="s">
        <v>169</v>
      </c>
      <c r="M326" s="98">
        <v>5.8749999999999997E-2</v>
      </c>
      <c r="N326" s="98">
        <v>3.7400000000000808E-2</v>
      </c>
      <c r="O326" s="94">
        <v>4712702.1399999997</v>
      </c>
      <c r="P326" s="96">
        <v>117.6726</v>
      </c>
      <c r="Q326" s="84"/>
      <c r="R326" s="94">
        <v>19165.451925156001</v>
      </c>
      <c r="S326" s="95">
        <v>4.7127021399999995E-3</v>
      </c>
      <c r="T326" s="95">
        <f t="shared" si="4"/>
        <v>3.639833903216341E-3</v>
      </c>
      <c r="U326" s="95">
        <f>R326/'סכום נכסי הקרן'!$C$42</f>
        <v>3.2983565907757279E-4</v>
      </c>
    </row>
    <row r="327" spans="2:21" s="132" customFormat="1">
      <c r="B327" s="87" t="s">
        <v>1108</v>
      </c>
      <c r="C327" s="84" t="s">
        <v>1109</v>
      </c>
      <c r="D327" s="97" t="s">
        <v>30</v>
      </c>
      <c r="E327" s="97" t="s">
        <v>922</v>
      </c>
      <c r="F327" s="84"/>
      <c r="G327" s="97" t="s">
        <v>954</v>
      </c>
      <c r="H327" s="84" t="s">
        <v>937</v>
      </c>
      <c r="I327" s="84" t="s">
        <v>926</v>
      </c>
      <c r="J327" s="84"/>
      <c r="K327" s="94">
        <v>4.7800000000000642</v>
      </c>
      <c r="L327" s="97" t="s">
        <v>169</v>
      </c>
      <c r="M327" s="98">
        <v>7.4999999999999997E-2</v>
      </c>
      <c r="N327" s="98">
        <v>4.9900000000000382E-2</v>
      </c>
      <c r="O327" s="94">
        <v>5537425.0144999996</v>
      </c>
      <c r="P327" s="96">
        <v>112.14449999999999</v>
      </c>
      <c r="Q327" s="84"/>
      <c r="R327" s="94">
        <v>21461.475219078999</v>
      </c>
      <c r="S327" s="95">
        <v>3.6916166763333331E-3</v>
      </c>
      <c r="T327" s="95">
        <f t="shared" si="4"/>
        <v>4.0758864137666424E-3</v>
      </c>
      <c r="U327" s="95">
        <f>R327/'סכום נכסי הקרן'!$C$42</f>
        <v>3.6935000809297633E-4</v>
      </c>
    </row>
    <row r="328" spans="2:21" s="132" customFormat="1">
      <c r="B328" s="87" t="s">
        <v>1110</v>
      </c>
      <c r="C328" s="84" t="s">
        <v>1111</v>
      </c>
      <c r="D328" s="97" t="s">
        <v>30</v>
      </c>
      <c r="E328" s="97" t="s">
        <v>922</v>
      </c>
      <c r="F328" s="84"/>
      <c r="G328" s="97" t="s">
        <v>980</v>
      </c>
      <c r="H328" s="84" t="s">
        <v>1101</v>
      </c>
      <c r="I328" s="84" t="s">
        <v>961</v>
      </c>
      <c r="J328" s="84"/>
      <c r="K328" s="94">
        <v>2.3200000000004599</v>
      </c>
      <c r="L328" s="97" t="s">
        <v>169</v>
      </c>
      <c r="M328" s="98">
        <v>6.5000000000000002E-2</v>
      </c>
      <c r="N328" s="98">
        <v>4.3600000000007223E-2</v>
      </c>
      <c r="O328" s="94">
        <v>471270.21399999998</v>
      </c>
      <c r="P328" s="96">
        <v>112.1112</v>
      </c>
      <c r="Q328" s="84"/>
      <c r="R328" s="94">
        <v>1825.9656228380002</v>
      </c>
      <c r="S328" s="95">
        <v>6.2836028533333336E-4</v>
      </c>
      <c r="T328" s="95">
        <f t="shared" si="4"/>
        <v>3.4678084326254138E-4</v>
      </c>
      <c r="U328" s="95">
        <f>R328/'סכום נכסי הקרן'!$C$42</f>
        <v>3.1424699872129952E-5</v>
      </c>
    </row>
    <row r="329" spans="2:21" s="132" customFormat="1">
      <c r="B329" s="87" t="s">
        <v>1112</v>
      </c>
      <c r="C329" s="84" t="s">
        <v>1113</v>
      </c>
      <c r="D329" s="97" t="s">
        <v>30</v>
      </c>
      <c r="E329" s="97" t="s">
        <v>922</v>
      </c>
      <c r="F329" s="84"/>
      <c r="G329" s="97" t="s">
        <v>980</v>
      </c>
      <c r="H329" s="84" t="s">
        <v>1101</v>
      </c>
      <c r="I329" s="84" t="s">
        <v>961</v>
      </c>
      <c r="J329" s="84"/>
      <c r="K329" s="94">
        <v>3.5200000000000338</v>
      </c>
      <c r="L329" s="97" t="s">
        <v>169</v>
      </c>
      <c r="M329" s="98">
        <v>6.8750000000000006E-2</v>
      </c>
      <c r="N329" s="98">
        <v>4.6300000000000091E-2</v>
      </c>
      <c r="O329" s="94">
        <v>5419607.4610000001</v>
      </c>
      <c r="P329" s="96">
        <v>113.53</v>
      </c>
      <c r="Q329" s="84"/>
      <c r="R329" s="94">
        <v>21264.362293113998</v>
      </c>
      <c r="S329" s="95">
        <v>7.2261432813333333E-3</v>
      </c>
      <c r="T329" s="95">
        <f t="shared" si="4"/>
        <v>4.0384514337050521E-3</v>
      </c>
      <c r="U329" s="95">
        <f>R329/'סכום נכסי הקרן'!$C$42</f>
        <v>3.6595771282635451E-4</v>
      </c>
    </row>
    <row r="330" spans="2:21" s="132" customFormat="1">
      <c r="B330" s="87" t="s">
        <v>1114</v>
      </c>
      <c r="C330" s="84" t="s">
        <v>1115</v>
      </c>
      <c r="D330" s="97" t="s">
        <v>30</v>
      </c>
      <c r="E330" s="97" t="s">
        <v>922</v>
      </c>
      <c r="F330" s="84"/>
      <c r="G330" s="97" t="s">
        <v>1116</v>
      </c>
      <c r="H330" s="84" t="s">
        <v>1101</v>
      </c>
      <c r="I330" s="84" t="s">
        <v>961</v>
      </c>
      <c r="J330" s="84"/>
      <c r="K330" s="94">
        <v>1.4699999999999858</v>
      </c>
      <c r="L330" s="97" t="s">
        <v>169</v>
      </c>
      <c r="M330" s="98">
        <v>4.6249999999999999E-2</v>
      </c>
      <c r="N330" s="98">
        <v>2.8899999999999659E-2</v>
      </c>
      <c r="O330" s="94">
        <v>4907101.1032750001</v>
      </c>
      <c r="P330" s="96">
        <v>106.73480000000001</v>
      </c>
      <c r="Q330" s="84"/>
      <c r="R330" s="94">
        <v>18101.093144658</v>
      </c>
      <c r="S330" s="95">
        <v>3.2714007355166669E-3</v>
      </c>
      <c r="T330" s="95">
        <f t="shared" si="4"/>
        <v>3.4376947003646927E-3</v>
      </c>
      <c r="U330" s="95">
        <f>R330/'סכום נכסי הקרן'!$C$42</f>
        <v>3.1151814268236771E-4</v>
      </c>
    </row>
    <row r="331" spans="2:21" s="132" customFormat="1">
      <c r="B331" s="87" t="s">
        <v>1117</v>
      </c>
      <c r="C331" s="84" t="s">
        <v>1118</v>
      </c>
      <c r="D331" s="97" t="s">
        <v>30</v>
      </c>
      <c r="E331" s="97" t="s">
        <v>922</v>
      </c>
      <c r="F331" s="84"/>
      <c r="G331" s="97" t="s">
        <v>1116</v>
      </c>
      <c r="H331" s="84" t="s">
        <v>1101</v>
      </c>
      <c r="I331" s="84" t="s">
        <v>961</v>
      </c>
      <c r="J331" s="84"/>
      <c r="K331" s="94">
        <v>8.0000000000036597E-2</v>
      </c>
      <c r="L331" s="97" t="s">
        <v>169</v>
      </c>
      <c r="M331" s="98">
        <v>4.6249999999999999E-2</v>
      </c>
      <c r="N331" s="98">
        <v>2.8999999999986576E-3</v>
      </c>
      <c r="O331" s="94">
        <v>927695.41625899996</v>
      </c>
      <c r="P331" s="96">
        <v>102.26300000000001</v>
      </c>
      <c r="Q331" s="84"/>
      <c r="R331" s="94">
        <v>3278.6688548360003</v>
      </c>
      <c r="S331" s="95">
        <v>1.855390832518E-3</v>
      </c>
      <c r="T331" s="95">
        <f t="shared" si="4"/>
        <v>6.2267303175812967E-4</v>
      </c>
      <c r="U331" s="95">
        <f>R331/'סכום נכסי הקרן'!$C$42</f>
        <v>5.6425588441903673E-5</v>
      </c>
    </row>
    <row r="332" spans="2:21" s="132" customFormat="1">
      <c r="B332" s="87" t="s">
        <v>1119</v>
      </c>
      <c r="C332" s="84" t="s">
        <v>1120</v>
      </c>
      <c r="D332" s="97" t="s">
        <v>30</v>
      </c>
      <c r="E332" s="97" t="s">
        <v>922</v>
      </c>
      <c r="F332" s="84"/>
      <c r="G332" s="97" t="s">
        <v>983</v>
      </c>
      <c r="H332" s="84" t="s">
        <v>1101</v>
      </c>
      <c r="I332" s="84" t="s">
        <v>961</v>
      </c>
      <c r="J332" s="84"/>
      <c r="K332" s="94">
        <v>4.4100000000000605</v>
      </c>
      <c r="L332" s="97" t="s">
        <v>169</v>
      </c>
      <c r="M332" s="98">
        <v>4.8750000000000002E-2</v>
      </c>
      <c r="N332" s="98">
        <v>3.4600000000000214E-2</v>
      </c>
      <c r="O332" s="94">
        <v>5406176.2599010002</v>
      </c>
      <c r="P332" s="96">
        <v>109.1601</v>
      </c>
      <c r="Q332" s="84"/>
      <c r="R332" s="94">
        <v>20395.199565836003</v>
      </c>
      <c r="S332" s="95">
        <v>1.5446217885431429E-2</v>
      </c>
      <c r="T332" s="95">
        <f t="shared" ref="T332:T338" si="5">R332/$R$11</f>
        <v>3.8733831653170805E-3</v>
      </c>
      <c r="U332" s="95">
        <f>R332/'סכום נכסי הקרן'!$C$42</f>
        <v>3.5099950249471555E-4</v>
      </c>
    </row>
    <row r="333" spans="2:21" s="132" customFormat="1">
      <c r="B333" s="87" t="s">
        <v>1121</v>
      </c>
      <c r="C333" s="84" t="s">
        <v>1122</v>
      </c>
      <c r="D333" s="97" t="s">
        <v>30</v>
      </c>
      <c r="E333" s="97" t="s">
        <v>922</v>
      </c>
      <c r="F333" s="84"/>
      <c r="G333" s="97" t="s">
        <v>983</v>
      </c>
      <c r="H333" s="84" t="s">
        <v>1123</v>
      </c>
      <c r="I333" s="84" t="s">
        <v>961</v>
      </c>
      <c r="J333" s="84"/>
      <c r="K333" s="94">
        <v>2.2999999999999479</v>
      </c>
      <c r="L333" s="97" t="s">
        <v>169</v>
      </c>
      <c r="M333" s="98">
        <v>0.05</v>
      </c>
      <c r="N333" s="98">
        <v>2.7299999999999658E-2</v>
      </c>
      <c r="O333" s="94">
        <v>4712702.1399999997</v>
      </c>
      <c r="P333" s="96">
        <v>105.6628</v>
      </c>
      <c r="Q333" s="84"/>
      <c r="R333" s="94">
        <v>17209.400800482999</v>
      </c>
      <c r="S333" s="95">
        <v>6.2836028533333329E-3</v>
      </c>
      <c r="T333" s="95">
        <f t="shared" si="5"/>
        <v>3.268347687925788E-3</v>
      </c>
      <c r="U333" s="95">
        <f>R333/'סכום נכסי הקרן'!$C$42</f>
        <v>2.9617219972292492E-4</v>
      </c>
    </row>
    <row r="334" spans="2:21" s="132" customFormat="1">
      <c r="B334" s="87" t="s">
        <v>1124</v>
      </c>
      <c r="C334" s="84" t="s">
        <v>1125</v>
      </c>
      <c r="D334" s="97" t="s">
        <v>30</v>
      </c>
      <c r="E334" s="97" t="s">
        <v>922</v>
      </c>
      <c r="F334" s="84"/>
      <c r="G334" s="97" t="s">
        <v>954</v>
      </c>
      <c r="H334" s="84" t="s">
        <v>1126</v>
      </c>
      <c r="I334" s="84" t="s">
        <v>926</v>
      </c>
      <c r="J334" s="84"/>
      <c r="K334" s="94">
        <v>3.8200000000001855</v>
      </c>
      <c r="L334" s="97" t="s">
        <v>169</v>
      </c>
      <c r="M334" s="98">
        <v>0.08</v>
      </c>
      <c r="N334" s="98">
        <v>4.9200000000003061E-2</v>
      </c>
      <c r="O334" s="94">
        <v>1908644.3666999999</v>
      </c>
      <c r="P334" s="96">
        <v>112.22929999999999</v>
      </c>
      <c r="Q334" s="84"/>
      <c r="R334" s="94">
        <v>7402.9553811910009</v>
      </c>
      <c r="S334" s="95">
        <v>9.5432218334999997E-4</v>
      </c>
      <c r="T334" s="95">
        <f t="shared" si="5"/>
        <v>1.4059427393459457E-3</v>
      </c>
      <c r="U334" s="95">
        <f>R334/'סכום נכסי הקרן'!$C$42</f>
        <v>1.2740417897853055E-4</v>
      </c>
    </row>
    <row r="335" spans="2:21" s="132" customFormat="1">
      <c r="B335" s="87" t="s">
        <v>1127</v>
      </c>
      <c r="C335" s="84" t="s">
        <v>1128</v>
      </c>
      <c r="D335" s="97" t="s">
        <v>30</v>
      </c>
      <c r="E335" s="97" t="s">
        <v>922</v>
      </c>
      <c r="F335" s="84"/>
      <c r="G335" s="97" t="s">
        <v>954</v>
      </c>
      <c r="H335" s="84" t="s">
        <v>1126</v>
      </c>
      <c r="I335" s="84" t="s">
        <v>926</v>
      </c>
      <c r="J335" s="84"/>
      <c r="K335" s="94">
        <v>3.2700000000000737</v>
      </c>
      <c r="L335" s="97" t="s">
        <v>169</v>
      </c>
      <c r="M335" s="98">
        <v>7.7499999999999999E-2</v>
      </c>
      <c r="N335" s="98">
        <v>4.9700000000001465E-2</v>
      </c>
      <c r="O335" s="94">
        <v>4759829.1613999996</v>
      </c>
      <c r="P335" s="96">
        <v>109.3349</v>
      </c>
      <c r="Q335" s="84"/>
      <c r="R335" s="94">
        <v>17985.560537721001</v>
      </c>
      <c r="S335" s="95">
        <v>1.9039316645599999E-3</v>
      </c>
      <c r="T335" s="95">
        <f t="shared" si="5"/>
        <v>3.4157531619497129E-3</v>
      </c>
      <c r="U335" s="95">
        <f>R335/'סכום נכסי הקרן'!$C$42</f>
        <v>3.0952983717812875E-4</v>
      </c>
    </row>
    <row r="336" spans="2:21" s="132" customFormat="1">
      <c r="B336" s="87" t="s">
        <v>1129</v>
      </c>
      <c r="C336" s="84" t="s">
        <v>1130</v>
      </c>
      <c r="D336" s="97" t="s">
        <v>30</v>
      </c>
      <c r="E336" s="97" t="s">
        <v>922</v>
      </c>
      <c r="F336" s="84"/>
      <c r="G336" s="97" t="s">
        <v>1131</v>
      </c>
      <c r="H336" s="84" t="s">
        <v>1123</v>
      </c>
      <c r="I336" s="84" t="s">
        <v>961</v>
      </c>
      <c r="J336" s="84"/>
      <c r="K336" s="94">
        <v>6.4499999999999851</v>
      </c>
      <c r="L336" s="97" t="s">
        <v>169</v>
      </c>
      <c r="M336" s="98">
        <v>4.7500000000000001E-2</v>
      </c>
      <c r="N336" s="98">
        <v>4.3800000000000103E-2</v>
      </c>
      <c r="O336" s="94">
        <v>7069053.21</v>
      </c>
      <c r="P336" s="96">
        <v>103.2903</v>
      </c>
      <c r="Q336" s="84"/>
      <c r="R336" s="94">
        <v>25234.490861023001</v>
      </c>
      <c r="S336" s="95">
        <v>2.3177223639344264E-3</v>
      </c>
      <c r="T336" s="95">
        <f t="shared" si="5"/>
        <v>4.792444014627994E-3</v>
      </c>
      <c r="U336" s="95">
        <f>R336/'סכום נכסי הקרן'!$C$42</f>
        <v>4.3428325912355236E-4</v>
      </c>
    </row>
    <row r="337" spans="2:21" s="132" customFormat="1">
      <c r="B337" s="87" t="s">
        <v>1132</v>
      </c>
      <c r="C337" s="84" t="s">
        <v>1133</v>
      </c>
      <c r="D337" s="97" t="s">
        <v>30</v>
      </c>
      <c r="E337" s="97" t="s">
        <v>922</v>
      </c>
      <c r="F337" s="84"/>
      <c r="G337" s="97" t="s">
        <v>954</v>
      </c>
      <c r="H337" s="84" t="s">
        <v>1126</v>
      </c>
      <c r="I337" s="84" t="s">
        <v>926</v>
      </c>
      <c r="J337" s="84"/>
      <c r="K337" s="94">
        <v>4.5799999999999557</v>
      </c>
      <c r="L337" s="97" t="s">
        <v>169</v>
      </c>
      <c r="M337" s="98">
        <v>0.08</v>
      </c>
      <c r="N337" s="98">
        <v>4.8499999999999599E-2</v>
      </c>
      <c r="O337" s="94">
        <v>5890877.6749999998</v>
      </c>
      <c r="P337" s="96">
        <v>115.015</v>
      </c>
      <c r="Q337" s="84"/>
      <c r="R337" s="94">
        <v>23415.758062507</v>
      </c>
      <c r="S337" s="95">
        <v>5.1225023260869562E-3</v>
      </c>
      <c r="T337" s="95">
        <f t="shared" si="5"/>
        <v>4.4470368034241186E-3</v>
      </c>
      <c r="U337" s="95">
        <f>R337/'סכום נכסי הקרן'!$C$42</f>
        <v>4.0298303549057162E-4</v>
      </c>
    </row>
    <row r="338" spans="2:21" s="132" customFormat="1">
      <c r="B338" s="87" t="s">
        <v>1134</v>
      </c>
      <c r="C338" s="84" t="s">
        <v>1135</v>
      </c>
      <c r="D338" s="97" t="s">
        <v>30</v>
      </c>
      <c r="E338" s="97" t="s">
        <v>922</v>
      </c>
      <c r="F338" s="84"/>
      <c r="G338" s="97" t="s">
        <v>924</v>
      </c>
      <c r="H338" s="84" t="s">
        <v>1136</v>
      </c>
      <c r="I338" s="84" t="s">
        <v>926</v>
      </c>
      <c r="J338" s="84"/>
      <c r="K338" s="94">
        <v>2.8099999999999961</v>
      </c>
      <c r="L338" s="97" t="s">
        <v>169</v>
      </c>
      <c r="M338" s="98">
        <v>7.7499999999999999E-2</v>
      </c>
      <c r="N338" s="98">
        <v>5.63000000000006E-2</v>
      </c>
      <c r="O338" s="94">
        <v>3801147.728571</v>
      </c>
      <c r="P338" s="96">
        <v>107.0091</v>
      </c>
      <c r="Q338" s="84"/>
      <c r="R338" s="94">
        <v>14057.537114605</v>
      </c>
      <c r="S338" s="95">
        <v>9.0503517346928568E-3</v>
      </c>
      <c r="T338" s="95">
        <f t="shared" si="5"/>
        <v>2.6697570391387895E-3</v>
      </c>
      <c r="U338" s="95">
        <f>R338/'סכום נכסי הקרן'!$C$42</f>
        <v>2.4192891653742937E-4</v>
      </c>
    </row>
    <row r="339" spans="2:21" s="132" customFormat="1">
      <c r="B339" s="131"/>
    </row>
    <row r="340" spans="2:21" s="132" customFormat="1">
      <c r="B340" s="131"/>
    </row>
    <row r="341" spans="2:21" s="132" customFormat="1">
      <c r="B341" s="131"/>
    </row>
    <row r="342" spans="2:21" s="132" customFormat="1">
      <c r="B342" s="138" t="s">
        <v>265</v>
      </c>
      <c r="C342" s="137"/>
      <c r="D342" s="137"/>
      <c r="E342" s="137"/>
      <c r="F342" s="137"/>
      <c r="G342" s="137"/>
      <c r="H342" s="137"/>
      <c r="I342" s="137"/>
      <c r="J342" s="137"/>
      <c r="K342" s="137"/>
    </row>
    <row r="343" spans="2:21" s="132" customFormat="1">
      <c r="B343" s="138" t="s">
        <v>120</v>
      </c>
      <c r="C343" s="137"/>
      <c r="D343" s="137"/>
      <c r="E343" s="137"/>
      <c r="F343" s="137"/>
      <c r="G343" s="137"/>
      <c r="H343" s="137"/>
      <c r="I343" s="137"/>
      <c r="J343" s="137"/>
      <c r="K343" s="137"/>
    </row>
    <row r="344" spans="2:21" s="132" customFormat="1">
      <c r="B344" s="138" t="s">
        <v>247</v>
      </c>
      <c r="C344" s="137"/>
      <c r="D344" s="137"/>
      <c r="E344" s="137"/>
      <c r="F344" s="137"/>
      <c r="G344" s="137"/>
      <c r="H344" s="137"/>
      <c r="I344" s="137"/>
      <c r="J344" s="137"/>
      <c r="K344" s="137"/>
    </row>
    <row r="345" spans="2:21" s="132" customFormat="1">
      <c r="B345" s="138" t="s">
        <v>255</v>
      </c>
      <c r="C345" s="137"/>
      <c r="D345" s="137"/>
      <c r="E345" s="137"/>
      <c r="F345" s="137"/>
      <c r="G345" s="137"/>
      <c r="H345" s="137"/>
      <c r="I345" s="137"/>
      <c r="J345" s="137"/>
      <c r="K345" s="137"/>
    </row>
    <row r="346" spans="2:21" s="132" customFormat="1">
      <c r="B346" s="178" t="s">
        <v>261</v>
      </c>
      <c r="C346" s="178"/>
      <c r="D346" s="178"/>
      <c r="E346" s="178"/>
      <c r="F346" s="178"/>
      <c r="G346" s="178"/>
      <c r="H346" s="178"/>
      <c r="I346" s="178"/>
      <c r="J346" s="178"/>
      <c r="K346" s="178"/>
    </row>
    <row r="347" spans="2:21" s="132" customFormat="1">
      <c r="B347" s="131"/>
    </row>
    <row r="348" spans="2:21" s="132" customFormat="1">
      <c r="B348" s="131"/>
    </row>
    <row r="349" spans="2:21" s="132" customFormat="1">
      <c r="B349" s="131"/>
    </row>
    <row r="350" spans="2:21" s="132" customFormat="1">
      <c r="B350" s="131"/>
    </row>
    <row r="351" spans="2:21" s="132" customFormat="1">
      <c r="B351" s="131"/>
    </row>
    <row r="352" spans="2:21" s="132" customFormat="1">
      <c r="B352" s="131"/>
    </row>
    <row r="353" spans="2:2" s="132" customFormat="1">
      <c r="B353" s="131"/>
    </row>
    <row r="354" spans="2:2" s="132" customFormat="1">
      <c r="B354" s="131"/>
    </row>
    <row r="355" spans="2:2" s="132" customFormat="1">
      <c r="B355" s="131"/>
    </row>
    <row r="356" spans="2:2" s="132" customFormat="1">
      <c r="B356" s="131"/>
    </row>
    <row r="357" spans="2:2" s="132" customFormat="1">
      <c r="B357" s="131"/>
    </row>
    <row r="358" spans="2:2" s="132" customFormat="1">
      <c r="B358" s="131"/>
    </row>
    <row r="359" spans="2:2" s="132" customFormat="1">
      <c r="B359" s="131"/>
    </row>
    <row r="360" spans="2:2" s="132" customFormat="1">
      <c r="B360" s="131"/>
    </row>
    <row r="361" spans="2:2" s="132" customFormat="1">
      <c r="B361" s="131"/>
    </row>
    <row r="362" spans="2:2" s="132" customFormat="1">
      <c r="B362" s="131"/>
    </row>
    <row r="363" spans="2:2" s="132" customFormat="1">
      <c r="B363" s="131"/>
    </row>
    <row r="364" spans="2:2" s="132" customFormat="1">
      <c r="B364" s="131"/>
    </row>
    <row r="365" spans="2:2" s="132" customFormat="1">
      <c r="B365" s="131"/>
    </row>
    <row r="366" spans="2:2" s="132" customFormat="1">
      <c r="B366" s="131"/>
    </row>
    <row r="367" spans="2:2" s="132" customFormat="1">
      <c r="B367" s="131"/>
    </row>
    <row r="368" spans="2:2" s="132" customFormat="1">
      <c r="B368" s="131"/>
    </row>
    <row r="369" spans="2:2" s="132" customFormat="1">
      <c r="B369" s="131"/>
    </row>
    <row r="370" spans="2:2" s="132" customFormat="1">
      <c r="B370" s="131"/>
    </row>
    <row r="371" spans="2:2" s="132" customFormat="1">
      <c r="B371" s="131"/>
    </row>
    <row r="372" spans="2:2" s="132" customFormat="1">
      <c r="B372" s="131"/>
    </row>
    <row r="373" spans="2:2" s="132" customFormat="1">
      <c r="B373" s="131"/>
    </row>
    <row r="374" spans="2:2" s="132" customFormat="1">
      <c r="B374" s="131"/>
    </row>
    <row r="375" spans="2:2" s="132" customFormat="1">
      <c r="B375" s="131"/>
    </row>
    <row r="376" spans="2:2" s="132" customFormat="1">
      <c r="B376" s="131"/>
    </row>
    <row r="377" spans="2:2" s="132" customFormat="1">
      <c r="B377" s="131"/>
    </row>
    <row r="378" spans="2:2" s="132" customFormat="1">
      <c r="B378" s="131"/>
    </row>
    <row r="379" spans="2:2" s="132" customFormat="1">
      <c r="B379" s="131"/>
    </row>
    <row r="380" spans="2:2" s="132" customFormat="1">
      <c r="B380" s="131"/>
    </row>
    <row r="381" spans="2:2" s="132" customFormat="1">
      <c r="B381" s="131"/>
    </row>
    <row r="382" spans="2:2" s="132" customFormat="1">
      <c r="B382" s="131"/>
    </row>
    <row r="383" spans="2:2" s="132" customFormat="1">
      <c r="B383" s="131"/>
    </row>
    <row r="384" spans="2:2" s="132" customFormat="1">
      <c r="B384" s="131"/>
    </row>
    <row r="385" spans="2:2" s="132" customFormat="1">
      <c r="B385" s="131"/>
    </row>
    <row r="386" spans="2:2" s="132" customFormat="1">
      <c r="B386" s="131"/>
    </row>
    <row r="387" spans="2:2" s="132" customFormat="1">
      <c r="B387" s="131"/>
    </row>
    <row r="388" spans="2:2" s="132" customFormat="1">
      <c r="B388" s="131"/>
    </row>
    <row r="389" spans="2:2" s="132" customFormat="1">
      <c r="B389" s="131"/>
    </row>
    <row r="390" spans="2:2" s="132" customFormat="1">
      <c r="B390" s="131"/>
    </row>
    <row r="391" spans="2:2" s="132" customFormat="1">
      <c r="B391" s="131"/>
    </row>
    <row r="392" spans="2:2" s="132" customFormat="1">
      <c r="B392" s="131"/>
    </row>
    <row r="393" spans="2:2" s="132" customFormat="1">
      <c r="B393" s="131"/>
    </row>
    <row r="394" spans="2:2" s="132" customFormat="1">
      <c r="B394" s="131"/>
    </row>
    <row r="395" spans="2:2" s="132" customFormat="1">
      <c r="B395" s="131"/>
    </row>
    <row r="396" spans="2:2" s="132" customFormat="1">
      <c r="B396" s="131"/>
    </row>
    <row r="397" spans="2:2" s="132" customFormat="1">
      <c r="B397" s="131"/>
    </row>
    <row r="398" spans="2:2" s="132" customFormat="1">
      <c r="B398" s="131"/>
    </row>
    <row r="399" spans="2:2" s="132" customFormat="1">
      <c r="B399" s="131"/>
    </row>
    <row r="400" spans="2:2" s="132" customFormat="1">
      <c r="B400" s="131"/>
    </row>
    <row r="401" spans="2:2" s="132" customFormat="1">
      <c r="B401" s="131"/>
    </row>
    <row r="402" spans="2:2" s="132" customFormat="1">
      <c r="B402" s="131"/>
    </row>
    <row r="403" spans="2:2" s="132" customFormat="1">
      <c r="B403" s="131"/>
    </row>
    <row r="404" spans="2:2" s="132" customFormat="1">
      <c r="B404" s="131"/>
    </row>
    <row r="405" spans="2:2" s="132" customFormat="1">
      <c r="B405" s="131"/>
    </row>
    <row r="406" spans="2:2" s="132" customFormat="1">
      <c r="B406" s="131"/>
    </row>
    <row r="407" spans="2:2" s="132" customFormat="1">
      <c r="B407" s="131"/>
    </row>
    <row r="408" spans="2:2" s="132" customFormat="1">
      <c r="B408" s="131"/>
    </row>
    <row r="409" spans="2:2" s="132" customFormat="1">
      <c r="B409" s="131"/>
    </row>
    <row r="410" spans="2:2" s="132" customFormat="1">
      <c r="B410" s="131"/>
    </row>
    <row r="411" spans="2:2" s="132" customFormat="1">
      <c r="B411" s="131"/>
    </row>
    <row r="412" spans="2:2" s="132" customFormat="1">
      <c r="B412" s="131"/>
    </row>
    <row r="413" spans="2:2" s="132" customFormat="1">
      <c r="B413" s="131"/>
    </row>
    <row r="414" spans="2:2" s="132" customFormat="1">
      <c r="B414" s="131"/>
    </row>
    <row r="415" spans="2:2" s="132" customFormat="1">
      <c r="B415" s="131"/>
    </row>
    <row r="416" spans="2:2" s="132" customFormat="1">
      <c r="B416" s="131"/>
    </row>
    <row r="417" spans="2:2" s="132" customFormat="1">
      <c r="B417" s="131"/>
    </row>
    <row r="418" spans="2:2" s="132" customFormat="1">
      <c r="B418" s="131"/>
    </row>
    <row r="419" spans="2:2" s="132" customFormat="1">
      <c r="B419" s="131"/>
    </row>
    <row r="420" spans="2:2" s="132" customFormat="1">
      <c r="B420" s="131"/>
    </row>
    <row r="421" spans="2:2" s="132" customFormat="1">
      <c r="B421" s="131"/>
    </row>
    <row r="422" spans="2:2" s="132" customFormat="1">
      <c r="B422" s="131"/>
    </row>
    <row r="423" spans="2:2" s="132" customFormat="1">
      <c r="B423" s="131"/>
    </row>
    <row r="424" spans="2:2" s="132" customFormat="1">
      <c r="B424" s="131"/>
    </row>
    <row r="425" spans="2:2" s="132" customFormat="1">
      <c r="B425" s="131"/>
    </row>
    <row r="426" spans="2:2" s="132" customFormat="1">
      <c r="B426" s="131"/>
    </row>
    <row r="427" spans="2:2" s="132" customFormat="1">
      <c r="B427" s="131"/>
    </row>
    <row r="428" spans="2:2" s="132" customFormat="1">
      <c r="B428" s="131"/>
    </row>
    <row r="429" spans="2:2" s="132" customFormat="1">
      <c r="B429" s="131"/>
    </row>
    <row r="430" spans="2:2" s="132" customFormat="1">
      <c r="B430" s="131"/>
    </row>
    <row r="431" spans="2:2" s="132" customFormat="1">
      <c r="B431" s="131"/>
    </row>
    <row r="432" spans="2:2" s="132" customFormat="1">
      <c r="B432" s="131"/>
    </row>
    <row r="433" spans="2:2" s="132" customFormat="1">
      <c r="B433" s="131"/>
    </row>
    <row r="434" spans="2:2" s="132" customFormat="1">
      <c r="B434" s="131"/>
    </row>
    <row r="435" spans="2:2" s="132" customFormat="1">
      <c r="B435" s="131"/>
    </row>
    <row r="436" spans="2:2" s="132" customFormat="1">
      <c r="B436" s="131"/>
    </row>
    <row r="437" spans="2:2" s="132" customFormat="1">
      <c r="B437" s="131"/>
    </row>
    <row r="438" spans="2:2" s="132" customFormat="1">
      <c r="B438" s="131"/>
    </row>
    <row r="439" spans="2:2" s="132" customFormat="1">
      <c r="B439" s="131"/>
    </row>
    <row r="440" spans="2:2" s="132" customFormat="1">
      <c r="B440" s="131"/>
    </row>
    <row r="441" spans="2:2" s="132" customFormat="1">
      <c r="B441" s="131"/>
    </row>
    <row r="442" spans="2:2" s="132" customFormat="1">
      <c r="B442" s="131"/>
    </row>
    <row r="443" spans="2:2" s="132" customFormat="1">
      <c r="B443" s="131"/>
    </row>
    <row r="444" spans="2:2" s="132" customFormat="1">
      <c r="B444" s="131"/>
    </row>
    <row r="445" spans="2:2" s="132" customFormat="1">
      <c r="B445" s="131"/>
    </row>
    <row r="446" spans="2:2" s="132" customFormat="1">
      <c r="B446" s="131"/>
    </row>
    <row r="447" spans="2:2" s="132" customFormat="1">
      <c r="B447" s="131"/>
    </row>
    <row r="448" spans="2:2" s="132" customFormat="1">
      <c r="B448" s="131"/>
    </row>
    <row r="449" spans="2:2" s="132" customFormat="1">
      <c r="B449" s="131"/>
    </row>
    <row r="450" spans="2:2" s="132" customFormat="1">
      <c r="B450" s="131"/>
    </row>
    <row r="451" spans="2:2" s="132" customFormat="1">
      <c r="B451" s="131"/>
    </row>
    <row r="452" spans="2:2" s="132" customFormat="1">
      <c r="B452" s="131"/>
    </row>
    <row r="453" spans="2:2" s="132" customFormat="1">
      <c r="B453" s="131"/>
    </row>
    <row r="454" spans="2:2" s="132" customFormat="1">
      <c r="B454" s="131"/>
    </row>
    <row r="455" spans="2:2" s="132" customFormat="1">
      <c r="B455" s="131"/>
    </row>
    <row r="456" spans="2:2" s="132" customFormat="1">
      <c r="B456" s="131"/>
    </row>
    <row r="457" spans="2:2" s="132" customFormat="1">
      <c r="B457" s="131"/>
    </row>
    <row r="458" spans="2:2" s="132" customFormat="1">
      <c r="B458" s="131"/>
    </row>
    <row r="459" spans="2:2" s="132" customFormat="1">
      <c r="B459" s="131"/>
    </row>
    <row r="460" spans="2:2" s="132" customFormat="1">
      <c r="B460" s="131"/>
    </row>
    <row r="461" spans="2:2" s="132" customFormat="1">
      <c r="B461" s="131"/>
    </row>
    <row r="462" spans="2:2" s="132" customFormat="1">
      <c r="B462" s="131"/>
    </row>
    <row r="463" spans="2:2" s="132" customFormat="1">
      <c r="B463" s="131"/>
    </row>
    <row r="464" spans="2:2" s="132" customFormat="1">
      <c r="B464" s="131"/>
    </row>
    <row r="465" spans="2:2" s="132" customFormat="1">
      <c r="B465" s="131"/>
    </row>
    <row r="466" spans="2:2" s="132" customFormat="1">
      <c r="B466" s="131"/>
    </row>
    <row r="467" spans="2:2" s="132" customFormat="1">
      <c r="B467" s="131"/>
    </row>
    <row r="468" spans="2:2" s="132" customFormat="1">
      <c r="B468" s="131"/>
    </row>
    <row r="469" spans="2:2" s="132" customFormat="1">
      <c r="B469" s="131"/>
    </row>
    <row r="470" spans="2:2" s="132" customFormat="1">
      <c r="B470" s="131"/>
    </row>
    <row r="471" spans="2:2" s="132" customFormat="1">
      <c r="B471" s="131"/>
    </row>
    <row r="472" spans="2:2" s="132" customFormat="1">
      <c r="B472" s="131"/>
    </row>
    <row r="473" spans="2:2" s="132" customFormat="1">
      <c r="B473" s="131"/>
    </row>
    <row r="474" spans="2:2" s="132" customFormat="1">
      <c r="B474" s="131"/>
    </row>
    <row r="475" spans="2:2" s="132" customFormat="1">
      <c r="B475" s="131"/>
    </row>
    <row r="476" spans="2:2" s="132" customFormat="1">
      <c r="B476" s="131"/>
    </row>
    <row r="477" spans="2:2" s="132" customFormat="1">
      <c r="B477" s="131"/>
    </row>
    <row r="478" spans="2:2" s="132" customFormat="1">
      <c r="B478" s="131"/>
    </row>
    <row r="479" spans="2:2" s="132" customFormat="1">
      <c r="B479" s="131"/>
    </row>
    <row r="480" spans="2:2" s="132" customFormat="1">
      <c r="B480" s="131"/>
    </row>
    <row r="481" spans="2:2" s="132" customFormat="1">
      <c r="B481" s="131"/>
    </row>
    <row r="482" spans="2:2" s="132" customFormat="1">
      <c r="B482" s="131"/>
    </row>
    <row r="483" spans="2:2" s="132" customFormat="1">
      <c r="B483" s="131"/>
    </row>
    <row r="484" spans="2:2" s="132" customFormat="1">
      <c r="B484" s="131"/>
    </row>
    <row r="485" spans="2:2" s="132" customFormat="1">
      <c r="B485" s="131"/>
    </row>
    <row r="486" spans="2:2" s="132" customFormat="1">
      <c r="B486" s="131"/>
    </row>
    <row r="487" spans="2:2" s="132" customFormat="1">
      <c r="B487" s="131"/>
    </row>
    <row r="488" spans="2:2" s="132" customFormat="1">
      <c r="B488" s="131"/>
    </row>
    <row r="489" spans="2:2" s="132" customFormat="1">
      <c r="B489" s="131"/>
    </row>
    <row r="490" spans="2:2" s="132" customFormat="1">
      <c r="B490" s="131"/>
    </row>
    <row r="491" spans="2:2" s="132" customFormat="1">
      <c r="B491" s="131"/>
    </row>
    <row r="492" spans="2:2" s="132" customFormat="1">
      <c r="B492" s="131"/>
    </row>
    <row r="493" spans="2:2" s="132" customFormat="1">
      <c r="B493" s="131"/>
    </row>
    <row r="494" spans="2:2" s="132" customFormat="1">
      <c r="B494" s="131"/>
    </row>
    <row r="495" spans="2:2" s="132" customFormat="1">
      <c r="B495" s="131"/>
    </row>
    <row r="496" spans="2:2" s="132" customFormat="1">
      <c r="B496" s="131"/>
    </row>
    <row r="497" spans="2:2" s="132" customFormat="1">
      <c r="B497" s="131"/>
    </row>
    <row r="498" spans="2:2" s="132" customFormat="1">
      <c r="B498" s="131"/>
    </row>
    <row r="499" spans="2:2" s="132" customFormat="1">
      <c r="B499" s="131"/>
    </row>
    <row r="500" spans="2:2" s="132" customFormat="1">
      <c r="B500" s="131"/>
    </row>
    <row r="501" spans="2:2" s="132" customFormat="1">
      <c r="B501" s="131"/>
    </row>
    <row r="502" spans="2:2" s="132" customFormat="1">
      <c r="B502" s="131"/>
    </row>
    <row r="503" spans="2:2" s="132" customFormat="1">
      <c r="B503" s="131"/>
    </row>
    <row r="504" spans="2:2" s="132" customFormat="1">
      <c r="B504" s="131"/>
    </row>
    <row r="505" spans="2:2" s="132" customFormat="1">
      <c r="B505" s="131"/>
    </row>
    <row r="506" spans="2:2" s="132" customFormat="1">
      <c r="B506" s="131"/>
    </row>
    <row r="507" spans="2:2" s="132" customFormat="1">
      <c r="B507" s="131"/>
    </row>
    <row r="508" spans="2:2" s="132" customFormat="1">
      <c r="B508" s="131"/>
    </row>
    <row r="509" spans="2:2" s="132" customFormat="1">
      <c r="B509" s="131"/>
    </row>
    <row r="510" spans="2:2" s="132" customFormat="1">
      <c r="B510" s="131"/>
    </row>
    <row r="511" spans="2:2" s="132" customFormat="1">
      <c r="B511" s="131"/>
    </row>
    <row r="512" spans="2:2" s="132" customFormat="1">
      <c r="B512" s="131"/>
    </row>
    <row r="513" spans="2:2" s="132" customFormat="1">
      <c r="B513" s="131"/>
    </row>
    <row r="514" spans="2:2" s="132" customFormat="1">
      <c r="B514" s="131"/>
    </row>
    <row r="515" spans="2:2" s="132" customFormat="1">
      <c r="B515" s="131"/>
    </row>
    <row r="516" spans="2:2" s="132" customFormat="1">
      <c r="B516" s="131"/>
    </row>
    <row r="517" spans="2:2" s="132" customFormat="1">
      <c r="B517" s="131"/>
    </row>
    <row r="518" spans="2:2" s="132" customFormat="1">
      <c r="B518" s="131"/>
    </row>
    <row r="519" spans="2:2" s="132" customFormat="1">
      <c r="B519" s="131"/>
    </row>
    <row r="520" spans="2:2" s="132" customFormat="1">
      <c r="B520" s="131"/>
    </row>
    <row r="521" spans="2:2" s="132" customFormat="1">
      <c r="B521" s="131"/>
    </row>
    <row r="522" spans="2:2" s="132" customFormat="1">
      <c r="B522" s="131"/>
    </row>
    <row r="523" spans="2:2" s="132" customFormat="1">
      <c r="B523" s="131"/>
    </row>
    <row r="524" spans="2:2" s="132" customFormat="1">
      <c r="B524" s="131"/>
    </row>
    <row r="525" spans="2:2" s="132" customFormat="1">
      <c r="B525" s="131"/>
    </row>
    <row r="526" spans="2:2" s="132" customFormat="1">
      <c r="B526" s="131"/>
    </row>
    <row r="527" spans="2:2" s="132" customFormat="1">
      <c r="B527" s="131"/>
    </row>
    <row r="528" spans="2:2" s="132" customFormat="1">
      <c r="B528" s="131"/>
    </row>
    <row r="529" spans="2:2" s="132" customFormat="1">
      <c r="B529" s="131"/>
    </row>
    <row r="530" spans="2:2" s="132" customFormat="1">
      <c r="B530" s="131"/>
    </row>
    <row r="531" spans="2:2" s="132" customFormat="1">
      <c r="B531" s="131"/>
    </row>
    <row r="532" spans="2:2" s="132" customFormat="1">
      <c r="B532" s="131"/>
    </row>
    <row r="533" spans="2:2" s="132" customFormat="1">
      <c r="B533" s="131"/>
    </row>
    <row r="534" spans="2:2" s="132" customFormat="1">
      <c r="B534" s="131"/>
    </row>
    <row r="535" spans="2:2" s="132" customFormat="1">
      <c r="B535" s="131"/>
    </row>
    <row r="536" spans="2:2" s="132" customFormat="1">
      <c r="B536" s="131"/>
    </row>
    <row r="537" spans="2:2" s="132" customFormat="1">
      <c r="B537" s="131"/>
    </row>
    <row r="538" spans="2:2" s="132" customFormat="1">
      <c r="B538" s="131"/>
    </row>
    <row r="539" spans="2:2" s="132" customFormat="1">
      <c r="B539" s="131"/>
    </row>
    <row r="540" spans="2:2" s="132" customFormat="1">
      <c r="B540" s="131"/>
    </row>
    <row r="541" spans="2:2" s="132" customFormat="1">
      <c r="B541" s="131"/>
    </row>
    <row r="542" spans="2:2" s="132" customFormat="1">
      <c r="B542" s="131"/>
    </row>
    <row r="543" spans="2:2" s="132" customFormat="1">
      <c r="B543" s="131"/>
    </row>
    <row r="544" spans="2:2" s="132" customFormat="1">
      <c r="B544" s="131"/>
    </row>
    <row r="545" spans="2:6" s="132" customFormat="1">
      <c r="B545" s="131"/>
    </row>
    <row r="546" spans="2:6">
      <c r="C546" s="1"/>
      <c r="D546" s="1"/>
      <c r="E546" s="1"/>
      <c r="F546" s="1"/>
    </row>
    <row r="547" spans="2:6">
      <c r="C547" s="1"/>
      <c r="D547" s="1"/>
      <c r="E547" s="1"/>
      <c r="F547" s="1"/>
    </row>
    <row r="548" spans="2:6">
      <c r="C548" s="1"/>
      <c r="D548" s="1"/>
      <c r="E548" s="1"/>
      <c r="F548" s="1"/>
    </row>
    <row r="549" spans="2:6">
      <c r="C549" s="1"/>
      <c r="D549" s="1"/>
      <c r="E549" s="1"/>
      <c r="F549" s="1"/>
    </row>
    <row r="550" spans="2:6">
      <c r="C550" s="1"/>
      <c r="D550" s="1"/>
      <c r="E550" s="1"/>
      <c r="F550" s="1"/>
    </row>
    <row r="551" spans="2:6">
      <c r="C551" s="1"/>
      <c r="D551" s="1"/>
      <c r="E551" s="1"/>
      <c r="F551" s="1"/>
    </row>
    <row r="552" spans="2:6">
      <c r="C552" s="1"/>
      <c r="D552" s="1"/>
      <c r="E552" s="1"/>
      <c r="F552" s="1"/>
    </row>
    <row r="553" spans="2:6">
      <c r="C553" s="1"/>
      <c r="D553" s="1"/>
      <c r="E553" s="1"/>
      <c r="F553" s="1"/>
    </row>
    <row r="554" spans="2:6">
      <c r="C554" s="1"/>
      <c r="D554" s="1"/>
      <c r="E554" s="1"/>
      <c r="F554" s="1"/>
    </row>
    <row r="555" spans="2:6">
      <c r="C555" s="1"/>
      <c r="D555" s="1"/>
      <c r="E555" s="1"/>
      <c r="F555" s="1"/>
    </row>
    <row r="556" spans="2:6">
      <c r="C556" s="1"/>
      <c r="D556" s="1"/>
      <c r="E556" s="1"/>
      <c r="F556" s="1"/>
    </row>
    <row r="557" spans="2:6">
      <c r="C557" s="1"/>
      <c r="D557" s="1"/>
      <c r="E557" s="1"/>
      <c r="F557" s="1"/>
    </row>
    <row r="558" spans="2:6">
      <c r="C558" s="1"/>
      <c r="D558" s="1"/>
      <c r="E558" s="1"/>
      <c r="F558" s="1"/>
    </row>
    <row r="559" spans="2:6">
      <c r="C559" s="1"/>
      <c r="D559" s="1"/>
      <c r="E559" s="1"/>
      <c r="F559" s="1"/>
    </row>
    <row r="560" spans="2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4"/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46:K346"/>
  </mergeCells>
  <phoneticPr fontId="5" type="noConversion"/>
  <conditionalFormatting sqref="B12:B338">
    <cfRule type="cellIs" dxfId="94" priority="4" operator="equal">
      <formula>"NR3"</formula>
    </cfRule>
  </conditionalFormatting>
  <conditionalFormatting sqref="B12:B338">
    <cfRule type="containsText" dxfId="93" priority="3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5:G827">
      <formula1>$V$7:$V$24</formula1>
    </dataValidation>
    <dataValidation allowBlank="1" showInputMessage="1" showErrorMessage="1" sqref="H2 B34 Q9 B36 B344 B346"/>
    <dataValidation type="list" allowBlank="1" showInputMessage="1" showErrorMessage="1" sqref="I12:I35 I347:I827 I37:I345">
      <formula1>$X$7:$X$10</formula1>
    </dataValidation>
    <dataValidation type="list" allowBlank="1" showInputMessage="1" showErrorMessage="1" sqref="G12:G35 G347:G554 G37:G281 G283:G345">
      <formula1>$V$7:$V$29</formula1>
    </dataValidation>
    <dataValidation type="list" allowBlank="1" showInputMessage="1" showErrorMessage="1" sqref="L12:L827">
      <formula1>$Y$7:$Y$20</formula1>
    </dataValidation>
    <dataValidation type="list" allowBlank="1" showInputMessage="1" showErrorMessage="1" sqref="E12:E35 E347:E821 E37:E34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O363"/>
  <sheetViews>
    <sheetView rightToLeft="1" zoomScale="90" zoomScaleNormal="90" workbookViewId="0">
      <selection activeCell="A11" sqref="A11:XFD341"/>
    </sheetView>
  </sheetViews>
  <sheetFormatPr defaultColWidth="9.140625" defaultRowHeight="18"/>
  <cols>
    <col min="1" max="1" width="6.28515625" style="1" customWidth="1"/>
    <col min="2" max="2" width="43" style="2" bestFit="1" customWidth="1"/>
    <col min="3" max="3" width="48.4257812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0.7109375" style="1" bestFit="1" customWidth="1"/>
    <col min="11" max="11" width="10.140625" style="1" customWidth="1"/>
    <col min="12" max="12" width="13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23" width="5.7109375" style="1" customWidth="1"/>
    <col min="24" max="16384" width="9.140625" style="1"/>
  </cols>
  <sheetData>
    <row r="1" spans="2:41">
      <c r="B1" s="57" t="s">
        <v>185</v>
      </c>
      <c r="C1" s="78" t="s" vm="1">
        <v>273</v>
      </c>
    </row>
    <row r="2" spans="2:41">
      <c r="B2" s="57" t="s">
        <v>184</v>
      </c>
      <c r="C2" s="78" t="s">
        <v>274</v>
      </c>
    </row>
    <row r="3" spans="2:41">
      <c r="B3" s="57" t="s">
        <v>186</v>
      </c>
      <c r="C3" s="78" t="s">
        <v>275</v>
      </c>
    </row>
    <row r="4" spans="2:41">
      <c r="B4" s="57" t="s">
        <v>187</v>
      </c>
      <c r="C4" s="78">
        <v>2102</v>
      </c>
    </row>
    <row r="6" spans="2:41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  <c r="AO6" s="3"/>
    </row>
    <row r="7" spans="2:41" ht="26.25" customHeight="1">
      <c r="B7" s="181" t="s">
        <v>98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  <c r="AK7" s="3"/>
      <c r="AO7" s="3"/>
    </row>
    <row r="8" spans="2:41" s="3" customFormat="1" ht="63">
      <c r="B8" s="23" t="s">
        <v>123</v>
      </c>
      <c r="C8" s="31" t="s">
        <v>49</v>
      </c>
      <c r="D8" s="31" t="s">
        <v>127</v>
      </c>
      <c r="E8" s="31" t="s">
        <v>233</v>
      </c>
      <c r="F8" s="31" t="s">
        <v>125</v>
      </c>
      <c r="G8" s="31" t="s">
        <v>70</v>
      </c>
      <c r="H8" s="31" t="s">
        <v>109</v>
      </c>
      <c r="I8" s="14" t="s">
        <v>249</v>
      </c>
      <c r="J8" s="14" t="s">
        <v>248</v>
      </c>
      <c r="K8" s="31" t="s">
        <v>264</v>
      </c>
      <c r="L8" s="14" t="s">
        <v>67</v>
      </c>
      <c r="M8" s="14" t="s">
        <v>64</v>
      </c>
      <c r="N8" s="14" t="s">
        <v>188</v>
      </c>
      <c r="O8" s="15" t="s">
        <v>190</v>
      </c>
      <c r="AK8" s="1"/>
      <c r="AL8" s="1"/>
      <c r="AM8" s="1"/>
      <c r="AO8" s="4"/>
    </row>
    <row r="9" spans="2:41" s="3" customFormat="1" ht="24" customHeight="1">
      <c r="B9" s="16"/>
      <c r="C9" s="17"/>
      <c r="D9" s="17"/>
      <c r="E9" s="17"/>
      <c r="F9" s="17"/>
      <c r="G9" s="17"/>
      <c r="H9" s="17"/>
      <c r="I9" s="17" t="s">
        <v>256</v>
      </c>
      <c r="J9" s="17"/>
      <c r="K9" s="17" t="s">
        <v>252</v>
      </c>
      <c r="L9" s="17" t="s">
        <v>252</v>
      </c>
      <c r="M9" s="17" t="s">
        <v>20</v>
      </c>
      <c r="N9" s="17" t="s">
        <v>20</v>
      </c>
      <c r="O9" s="18" t="s">
        <v>20</v>
      </c>
      <c r="AK9" s="1"/>
      <c r="AM9" s="1"/>
      <c r="AO9" s="4"/>
    </row>
    <row r="10" spans="2:4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AK10" s="1"/>
      <c r="AL10" s="3"/>
      <c r="AM10" s="1"/>
      <c r="AO10" s="1"/>
    </row>
    <row r="11" spans="2:41" s="135" customFormat="1" ht="18" customHeight="1">
      <c r="B11" s="79" t="s">
        <v>32</v>
      </c>
      <c r="C11" s="80"/>
      <c r="D11" s="80"/>
      <c r="E11" s="80"/>
      <c r="F11" s="80"/>
      <c r="G11" s="80"/>
      <c r="H11" s="80"/>
      <c r="I11" s="88"/>
      <c r="J11" s="90"/>
      <c r="K11" s="88">
        <v>13381.089151351</v>
      </c>
      <c r="L11" s="88">
        <v>8411467.9829910845</v>
      </c>
      <c r="M11" s="80"/>
      <c r="N11" s="89">
        <f>L11/$L$11</f>
        <v>1</v>
      </c>
      <c r="O11" s="89">
        <f>L11/'סכום נכסי הקרן'!$C$42</f>
        <v>0.14476058779173209</v>
      </c>
      <c r="AK11" s="132"/>
      <c r="AL11" s="141"/>
      <c r="AM11" s="132"/>
      <c r="AO11" s="132"/>
    </row>
    <row r="12" spans="2:41" s="132" customFormat="1" ht="20.25">
      <c r="B12" s="81" t="s">
        <v>243</v>
      </c>
      <c r="C12" s="82"/>
      <c r="D12" s="82"/>
      <c r="E12" s="82"/>
      <c r="F12" s="82"/>
      <c r="G12" s="82"/>
      <c r="H12" s="82"/>
      <c r="I12" s="91"/>
      <c r="J12" s="93"/>
      <c r="K12" s="91">
        <v>12471.104245510001</v>
      </c>
      <c r="L12" s="91">
        <v>5843440.8934816709</v>
      </c>
      <c r="M12" s="82"/>
      <c r="N12" s="92">
        <f>L12/$L$11</f>
        <v>0.69469929687633036</v>
      </c>
      <c r="O12" s="92">
        <f>L12/'סכום נכסי הקרן'!$C$42</f>
        <v>0.10056507855432058</v>
      </c>
      <c r="AL12" s="135"/>
    </row>
    <row r="13" spans="2:41" s="132" customFormat="1">
      <c r="B13" s="102" t="s">
        <v>1137</v>
      </c>
      <c r="C13" s="82"/>
      <c r="D13" s="82"/>
      <c r="E13" s="82"/>
      <c r="F13" s="82"/>
      <c r="G13" s="82"/>
      <c r="H13" s="82"/>
      <c r="I13" s="91"/>
      <c r="J13" s="93"/>
      <c r="K13" s="91">
        <v>2392.289399754</v>
      </c>
      <c r="L13" s="91">
        <v>3803984.9494640999</v>
      </c>
      <c r="M13" s="82"/>
      <c r="N13" s="92">
        <f t="shared" ref="N13:N40" si="0">L13/$L$11</f>
        <v>0.45223793957917652</v>
      </c>
      <c r="O13" s="92">
        <f>L13/'סכום נכסי הקרן'!$C$42</f>
        <v>6.5466229955203417E-2</v>
      </c>
    </row>
    <row r="14" spans="2:41" s="132" customFormat="1">
      <c r="B14" s="87" t="s">
        <v>1138</v>
      </c>
      <c r="C14" s="84" t="s">
        <v>1139</v>
      </c>
      <c r="D14" s="97" t="s">
        <v>128</v>
      </c>
      <c r="E14" s="97" t="s">
        <v>357</v>
      </c>
      <c r="F14" s="84" t="s">
        <v>1140</v>
      </c>
      <c r="G14" s="97" t="s">
        <v>196</v>
      </c>
      <c r="H14" s="97" t="s">
        <v>170</v>
      </c>
      <c r="I14" s="94">
        <v>483996.05421199999</v>
      </c>
      <c r="J14" s="96">
        <v>26040</v>
      </c>
      <c r="K14" s="84"/>
      <c r="L14" s="94">
        <v>126032.57269328099</v>
      </c>
      <c r="M14" s="95">
        <v>9.4912611973429501E-3</v>
      </c>
      <c r="N14" s="95">
        <f t="shared" si="0"/>
        <v>1.4983421793690797E-2</v>
      </c>
      <c r="O14" s="95">
        <f>L14/'סכום נכסי הקרן'!$C$42</f>
        <v>2.1690089459861289E-3</v>
      </c>
    </row>
    <row r="15" spans="2:41" s="132" customFormat="1">
      <c r="B15" s="87" t="s">
        <v>1141</v>
      </c>
      <c r="C15" s="84" t="s">
        <v>1142</v>
      </c>
      <c r="D15" s="97" t="s">
        <v>128</v>
      </c>
      <c r="E15" s="97" t="s">
        <v>357</v>
      </c>
      <c r="F15" s="84">
        <v>1760</v>
      </c>
      <c r="G15" s="97" t="s">
        <v>748</v>
      </c>
      <c r="H15" s="97" t="s">
        <v>170</v>
      </c>
      <c r="I15" s="94">
        <v>37120.253964000003</v>
      </c>
      <c r="J15" s="96">
        <v>44270</v>
      </c>
      <c r="K15" s="94">
        <v>96.215708655</v>
      </c>
      <c r="L15" s="94">
        <v>16529.352138948998</v>
      </c>
      <c r="M15" s="95">
        <v>3.4764629767373962E-4</v>
      </c>
      <c r="N15" s="95">
        <f t="shared" si="0"/>
        <v>1.9650971949691982E-3</v>
      </c>
      <c r="O15" s="95">
        <f>L15/'סכום נכסי הקרן'!$C$42</f>
        <v>2.844686250116251E-4</v>
      </c>
    </row>
    <row r="16" spans="2:41" s="132" customFormat="1" ht="20.25">
      <c r="B16" s="87" t="s">
        <v>1143</v>
      </c>
      <c r="C16" s="84" t="s">
        <v>1144</v>
      </c>
      <c r="D16" s="97" t="s">
        <v>128</v>
      </c>
      <c r="E16" s="97" t="s">
        <v>357</v>
      </c>
      <c r="F16" s="84" t="s">
        <v>456</v>
      </c>
      <c r="G16" s="97" t="s">
        <v>427</v>
      </c>
      <c r="H16" s="97" t="s">
        <v>170</v>
      </c>
      <c r="I16" s="94">
        <v>1251652.6114749999</v>
      </c>
      <c r="J16" s="96">
        <v>6482</v>
      </c>
      <c r="K16" s="84"/>
      <c r="L16" s="94">
        <v>81132.122277048009</v>
      </c>
      <c r="M16" s="95">
        <v>9.5190388477351673E-3</v>
      </c>
      <c r="N16" s="95">
        <f t="shared" si="0"/>
        <v>9.6454177131870562E-3</v>
      </c>
      <c r="O16" s="95">
        <f>L16/'סכום נכסי הקרן'!$C$42</f>
        <v>1.3962763376577428E-3</v>
      </c>
      <c r="AK16" s="135"/>
    </row>
    <row r="17" spans="2:15" s="132" customFormat="1">
      <c r="B17" s="87" t="s">
        <v>1145</v>
      </c>
      <c r="C17" s="84" t="s">
        <v>1146</v>
      </c>
      <c r="D17" s="97" t="s">
        <v>128</v>
      </c>
      <c r="E17" s="97" t="s">
        <v>357</v>
      </c>
      <c r="F17" s="84" t="s">
        <v>737</v>
      </c>
      <c r="G17" s="97" t="s">
        <v>738</v>
      </c>
      <c r="H17" s="97" t="s">
        <v>170</v>
      </c>
      <c r="I17" s="94">
        <v>326001.34985499998</v>
      </c>
      <c r="J17" s="96">
        <v>53760</v>
      </c>
      <c r="K17" s="94">
        <v>495.73069851199995</v>
      </c>
      <c r="L17" s="94">
        <v>175754.05638146101</v>
      </c>
      <c r="M17" s="95">
        <v>7.3819254000426562E-3</v>
      </c>
      <c r="N17" s="95">
        <f t="shared" si="0"/>
        <v>2.0894575921450938E-2</v>
      </c>
      <c r="O17" s="95">
        <f>L17/'סכום נכסי הקרן'!$C$42</f>
        <v>3.02471109204821E-3</v>
      </c>
    </row>
    <row r="18" spans="2:15" s="132" customFormat="1">
      <c r="B18" s="87" t="s">
        <v>1147</v>
      </c>
      <c r="C18" s="84" t="s">
        <v>1148</v>
      </c>
      <c r="D18" s="97" t="s">
        <v>128</v>
      </c>
      <c r="E18" s="97" t="s">
        <v>357</v>
      </c>
      <c r="F18" s="84" t="s">
        <v>464</v>
      </c>
      <c r="G18" s="97" t="s">
        <v>427</v>
      </c>
      <c r="H18" s="97" t="s">
        <v>170</v>
      </c>
      <c r="I18" s="94">
        <v>2825483.274435</v>
      </c>
      <c r="J18" s="96">
        <v>2507</v>
      </c>
      <c r="K18" s="84"/>
      <c r="L18" s="94">
        <v>70834.865690087012</v>
      </c>
      <c r="M18" s="95">
        <v>7.4651100459905547E-3</v>
      </c>
      <c r="N18" s="95">
        <f t="shared" si="0"/>
        <v>8.4212251456372324E-3</v>
      </c>
      <c r="O18" s="95">
        <f>L18/'סכום נכסי הקרן'!$C$42</f>
        <v>1.2190615020089605E-3</v>
      </c>
    </row>
    <row r="19" spans="2:15" s="132" customFormat="1">
      <c r="B19" s="87" t="s">
        <v>1149</v>
      </c>
      <c r="C19" s="84" t="s">
        <v>1150</v>
      </c>
      <c r="D19" s="97" t="s">
        <v>128</v>
      </c>
      <c r="E19" s="97" t="s">
        <v>357</v>
      </c>
      <c r="F19" s="84" t="s">
        <v>1151</v>
      </c>
      <c r="G19" s="97" t="s">
        <v>154</v>
      </c>
      <c r="H19" s="97" t="s">
        <v>170</v>
      </c>
      <c r="I19" s="94">
        <v>136690.25247199999</v>
      </c>
      <c r="J19" s="96">
        <v>4225</v>
      </c>
      <c r="K19" s="84"/>
      <c r="L19" s="94">
        <v>5775.1631669500002</v>
      </c>
      <c r="M19" s="95">
        <v>7.732602345631288E-4</v>
      </c>
      <c r="N19" s="95">
        <f t="shared" si="0"/>
        <v>6.8658207801872595E-4</v>
      </c>
      <c r="O19" s="95">
        <f>L19/'סכום נכסי הקרן'!$C$42</f>
        <v>9.9390025181259634E-5</v>
      </c>
    </row>
    <row r="20" spans="2:15" s="132" customFormat="1">
      <c r="B20" s="87" t="s">
        <v>1152</v>
      </c>
      <c r="C20" s="84" t="s">
        <v>1153</v>
      </c>
      <c r="D20" s="97" t="s">
        <v>128</v>
      </c>
      <c r="E20" s="97" t="s">
        <v>357</v>
      </c>
      <c r="F20" s="84" t="s">
        <v>544</v>
      </c>
      <c r="G20" s="97" t="s">
        <v>197</v>
      </c>
      <c r="H20" s="97" t="s">
        <v>170</v>
      </c>
      <c r="I20" s="94">
        <v>35451114.979684003</v>
      </c>
      <c r="J20" s="96">
        <v>277.5</v>
      </c>
      <c r="K20" s="84"/>
      <c r="L20" s="94">
        <v>98376.844069401996</v>
      </c>
      <c r="M20" s="95">
        <v>1.2819127685335793E-2</v>
      </c>
      <c r="N20" s="95">
        <f t="shared" si="0"/>
        <v>1.1695561852976296E-2</v>
      </c>
      <c r="O20" s="95">
        <f>L20/'סכום נכסי הקרן'!$C$42</f>
        <v>1.693056408391408E-3</v>
      </c>
    </row>
    <row r="21" spans="2:15" s="132" customFormat="1">
      <c r="B21" s="87" t="s">
        <v>1154</v>
      </c>
      <c r="C21" s="84" t="s">
        <v>1155</v>
      </c>
      <c r="D21" s="97" t="s">
        <v>128</v>
      </c>
      <c r="E21" s="97" t="s">
        <v>357</v>
      </c>
      <c r="F21" s="84" t="s">
        <v>372</v>
      </c>
      <c r="G21" s="97" t="s">
        <v>365</v>
      </c>
      <c r="H21" s="97" t="s">
        <v>170</v>
      </c>
      <c r="I21" s="94">
        <v>847336.79385899985</v>
      </c>
      <c r="J21" s="96">
        <v>9989</v>
      </c>
      <c r="K21" s="84"/>
      <c r="L21" s="94">
        <v>84640.472338549996</v>
      </c>
      <c r="M21" s="95">
        <v>8.4454944287772615E-3</v>
      </c>
      <c r="N21" s="95">
        <f t="shared" si="0"/>
        <v>1.0062509006715875E-2</v>
      </c>
      <c r="O21" s="95">
        <f>L21/'סכום נכסי הקרן'!$C$42</f>
        <v>1.4566547184717883E-3</v>
      </c>
    </row>
    <row r="22" spans="2:15" s="132" customFormat="1">
      <c r="B22" s="87" t="s">
        <v>1156</v>
      </c>
      <c r="C22" s="84" t="s">
        <v>1157</v>
      </c>
      <c r="D22" s="97" t="s">
        <v>128</v>
      </c>
      <c r="E22" s="97" t="s">
        <v>357</v>
      </c>
      <c r="F22" s="84" t="s">
        <v>683</v>
      </c>
      <c r="G22" s="97" t="s">
        <v>491</v>
      </c>
      <c r="H22" s="97" t="s">
        <v>170</v>
      </c>
      <c r="I22" s="94">
        <v>28240821.200454</v>
      </c>
      <c r="J22" s="96">
        <v>173.4</v>
      </c>
      <c r="K22" s="84"/>
      <c r="L22" s="94">
        <v>48969.583961311</v>
      </c>
      <c r="M22" s="95">
        <v>8.8095284399403884E-3</v>
      </c>
      <c r="N22" s="95">
        <f t="shared" si="0"/>
        <v>5.8217642937395588E-3</v>
      </c>
      <c r="O22" s="95">
        <f>L22/'סכום נכסי הקרן'!$C$42</f>
        <v>8.4276202114665663E-4</v>
      </c>
    </row>
    <row r="23" spans="2:15" s="132" customFormat="1">
      <c r="B23" s="87" t="s">
        <v>1158</v>
      </c>
      <c r="C23" s="84" t="s">
        <v>1159</v>
      </c>
      <c r="D23" s="97" t="s">
        <v>128</v>
      </c>
      <c r="E23" s="97" t="s">
        <v>357</v>
      </c>
      <c r="F23" s="84" t="s">
        <v>421</v>
      </c>
      <c r="G23" s="97" t="s">
        <v>365</v>
      </c>
      <c r="H23" s="97" t="s">
        <v>170</v>
      </c>
      <c r="I23" s="94">
        <v>11765555.301463999</v>
      </c>
      <c r="J23" s="96">
        <v>1601</v>
      </c>
      <c r="K23" s="84"/>
      <c r="L23" s="94">
        <v>188366.54037655602</v>
      </c>
      <c r="M23" s="95">
        <v>1.0107717818741499E-2</v>
      </c>
      <c r="N23" s="95">
        <f t="shared" si="0"/>
        <v>2.2394015022996452E-2</v>
      </c>
      <c r="O23" s="95">
        <f>L23/'סכום נכסי הקרן'!$C$42</f>
        <v>3.2417707777458453E-3</v>
      </c>
    </row>
    <row r="24" spans="2:15" s="132" customFormat="1">
      <c r="B24" s="87" t="s">
        <v>1160</v>
      </c>
      <c r="C24" s="84" t="s">
        <v>1161</v>
      </c>
      <c r="D24" s="97" t="s">
        <v>128</v>
      </c>
      <c r="E24" s="97" t="s">
        <v>357</v>
      </c>
      <c r="F24" s="84" t="s">
        <v>1162</v>
      </c>
      <c r="G24" s="97" t="s">
        <v>154</v>
      </c>
      <c r="H24" s="97" t="s">
        <v>170</v>
      </c>
      <c r="I24" s="94">
        <v>18167848.961835001</v>
      </c>
      <c r="J24" s="96">
        <v>876.1</v>
      </c>
      <c r="K24" s="94">
        <v>1800.3429925869998</v>
      </c>
      <c r="L24" s="94">
        <v>160968.86775902502</v>
      </c>
      <c r="M24" s="95">
        <v>1.5477612523623629E-2</v>
      </c>
      <c r="N24" s="95">
        <f t="shared" si="0"/>
        <v>1.9136834151247062E-2</v>
      </c>
      <c r="O24" s="95">
        <f>L24/'סכום נכסי הקרן'!$C$42</f>
        <v>2.770259360207417E-3</v>
      </c>
    </row>
    <row r="25" spans="2:15" s="132" customFormat="1">
      <c r="B25" s="87" t="s">
        <v>1163</v>
      </c>
      <c r="C25" s="84" t="s">
        <v>1164</v>
      </c>
      <c r="D25" s="97" t="s">
        <v>128</v>
      </c>
      <c r="E25" s="97" t="s">
        <v>357</v>
      </c>
      <c r="F25" s="84" t="s">
        <v>631</v>
      </c>
      <c r="G25" s="97" t="s">
        <v>487</v>
      </c>
      <c r="H25" s="97" t="s">
        <v>170</v>
      </c>
      <c r="I25" s="94">
        <v>3026191.8351429999</v>
      </c>
      <c r="J25" s="96">
        <v>2088</v>
      </c>
      <c r="K25" s="84"/>
      <c r="L25" s="94">
        <v>63186.885518457006</v>
      </c>
      <c r="M25" s="95">
        <v>1.1813989475835389E-2</v>
      </c>
      <c r="N25" s="95">
        <f t="shared" si="0"/>
        <v>7.511992632704286E-3</v>
      </c>
      <c r="O25" s="95">
        <f>L25/'סכום נכסי הקרן'!$C$42</f>
        <v>1.0874404689974334E-3</v>
      </c>
    </row>
    <row r="26" spans="2:15" s="132" customFormat="1">
      <c r="B26" s="87" t="s">
        <v>1165</v>
      </c>
      <c r="C26" s="84" t="s">
        <v>1166</v>
      </c>
      <c r="D26" s="97" t="s">
        <v>128</v>
      </c>
      <c r="E26" s="97" t="s">
        <v>357</v>
      </c>
      <c r="F26" s="84" t="s">
        <v>486</v>
      </c>
      <c r="G26" s="97" t="s">
        <v>487</v>
      </c>
      <c r="H26" s="97" t="s">
        <v>170</v>
      </c>
      <c r="I26" s="94">
        <v>2281477.6125380001</v>
      </c>
      <c r="J26" s="96">
        <v>2695</v>
      </c>
      <c r="K26" s="84"/>
      <c r="L26" s="94">
        <v>61485.821657902998</v>
      </c>
      <c r="M26" s="95">
        <v>1.064227386233804E-2</v>
      </c>
      <c r="N26" s="95">
        <f t="shared" si="0"/>
        <v>7.3097611240076172E-3</v>
      </c>
      <c r="O26" s="95">
        <f>L26/'סכום נכסי הקרן'!$C$42</f>
        <v>1.058165316928495E-3</v>
      </c>
    </row>
    <row r="27" spans="2:15" s="132" customFormat="1">
      <c r="B27" s="87" t="s">
        <v>1167</v>
      </c>
      <c r="C27" s="84" t="s">
        <v>1168</v>
      </c>
      <c r="D27" s="97" t="s">
        <v>128</v>
      </c>
      <c r="E27" s="97" t="s">
        <v>357</v>
      </c>
      <c r="F27" s="84" t="s">
        <v>1169</v>
      </c>
      <c r="G27" s="97" t="s">
        <v>1170</v>
      </c>
      <c r="H27" s="97" t="s">
        <v>170</v>
      </c>
      <c r="I27" s="94">
        <v>599752.12200199999</v>
      </c>
      <c r="J27" s="96">
        <v>8257</v>
      </c>
      <c r="K27" s="84"/>
      <c r="L27" s="94">
        <v>49521.532681368</v>
      </c>
      <c r="M27" s="95">
        <v>5.6217970176919924E-3</v>
      </c>
      <c r="N27" s="95">
        <f t="shared" si="0"/>
        <v>5.8873828898244633E-3</v>
      </c>
      <c r="O27" s="95">
        <f>L27/'סכום נכסי הקרן'!$C$42</f>
        <v>8.5226100768597565E-4</v>
      </c>
    </row>
    <row r="28" spans="2:15" s="132" customFormat="1">
      <c r="B28" s="87" t="s">
        <v>1171</v>
      </c>
      <c r="C28" s="84" t="s">
        <v>1172</v>
      </c>
      <c r="D28" s="97" t="s">
        <v>128</v>
      </c>
      <c r="E28" s="97" t="s">
        <v>357</v>
      </c>
      <c r="F28" s="84" t="s">
        <v>935</v>
      </c>
      <c r="G28" s="97" t="s">
        <v>936</v>
      </c>
      <c r="H28" s="97" t="s">
        <v>170</v>
      </c>
      <c r="I28" s="94">
        <v>1105096.686527</v>
      </c>
      <c r="J28" s="96">
        <v>3421</v>
      </c>
      <c r="K28" s="84"/>
      <c r="L28" s="94">
        <v>37805.357646074001</v>
      </c>
      <c r="M28" s="95">
        <v>1.0119104400032458E-3</v>
      </c>
      <c r="N28" s="95">
        <f t="shared" si="0"/>
        <v>4.4945017590889728E-3</v>
      </c>
      <c r="O28" s="95">
        <f>L28/'סכום נכסי הקרן'!$C$42</f>
        <v>6.5062671647669358E-4</v>
      </c>
    </row>
    <row r="29" spans="2:15" s="132" customFormat="1">
      <c r="B29" s="87" t="s">
        <v>1173</v>
      </c>
      <c r="C29" s="84" t="s">
        <v>1174</v>
      </c>
      <c r="D29" s="97" t="s">
        <v>128</v>
      </c>
      <c r="E29" s="97" t="s">
        <v>357</v>
      </c>
      <c r="F29" s="84" t="s">
        <v>931</v>
      </c>
      <c r="G29" s="97" t="s">
        <v>540</v>
      </c>
      <c r="H29" s="97" t="s">
        <v>170</v>
      </c>
      <c r="I29" s="94">
        <v>15543376.58719</v>
      </c>
      <c r="J29" s="96">
        <v>1625</v>
      </c>
      <c r="K29" s="84"/>
      <c r="L29" s="94">
        <v>252579.86954184101</v>
      </c>
      <c r="M29" s="95">
        <v>1.2139932567413086E-2</v>
      </c>
      <c r="N29" s="95">
        <f t="shared" si="0"/>
        <v>3.0028036729449051E-2</v>
      </c>
      <c r="O29" s="95">
        <f>L29/'סכום נכסי הקרן'!$C$42</f>
        <v>4.3468762471867654E-3</v>
      </c>
    </row>
    <row r="30" spans="2:15" s="132" customFormat="1">
      <c r="B30" s="87" t="s">
        <v>1175</v>
      </c>
      <c r="C30" s="84" t="s">
        <v>1176</v>
      </c>
      <c r="D30" s="97" t="s">
        <v>128</v>
      </c>
      <c r="E30" s="97" t="s">
        <v>357</v>
      </c>
      <c r="F30" s="84" t="s">
        <v>378</v>
      </c>
      <c r="G30" s="97" t="s">
        <v>365</v>
      </c>
      <c r="H30" s="97" t="s">
        <v>170</v>
      </c>
      <c r="I30" s="94">
        <v>18927629.506985001</v>
      </c>
      <c r="J30" s="96">
        <v>2514</v>
      </c>
      <c r="K30" s="84"/>
      <c r="L30" s="94">
        <v>475840.60580561205</v>
      </c>
      <c r="M30" s="95">
        <v>1.2909388421906387E-2</v>
      </c>
      <c r="N30" s="95">
        <f t="shared" si="0"/>
        <v>5.6570459136005058E-2</v>
      </c>
      <c r="O30" s="95">
        <f>L30/'סכום נכסי הקרן'!$C$42</f>
        <v>8.1891729161762544E-3</v>
      </c>
    </row>
    <row r="31" spans="2:15" s="132" customFormat="1">
      <c r="B31" s="87" t="s">
        <v>1177</v>
      </c>
      <c r="C31" s="84" t="s">
        <v>1178</v>
      </c>
      <c r="D31" s="97" t="s">
        <v>128</v>
      </c>
      <c r="E31" s="97" t="s">
        <v>357</v>
      </c>
      <c r="F31" s="84" t="s">
        <v>383</v>
      </c>
      <c r="G31" s="97" t="s">
        <v>365</v>
      </c>
      <c r="H31" s="97" t="s">
        <v>170</v>
      </c>
      <c r="I31" s="94">
        <v>3079001.582256</v>
      </c>
      <c r="J31" s="96">
        <v>9200</v>
      </c>
      <c r="K31" s="84"/>
      <c r="L31" s="94">
        <v>283268.14556751197</v>
      </c>
      <c r="M31" s="95">
        <v>1.3109182558527254E-2</v>
      </c>
      <c r="N31" s="95">
        <f t="shared" si="0"/>
        <v>3.3676422015789798E-2</v>
      </c>
      <c r="O31" s="95">
        <f>L31/'סכום נכסי הקרן'!$C$42</f>
        <v>4.8750186457281585E-3</v>
      </c>
    </row>
    <row r="32" spans="2:15" s="132" customFormat="1">
      <c r="B32" s="87" t="s">
        <v>1179</v>
      </c>
      <c r="C32" s="84" t="s">
        <v>1180</v>
      </c>
      <c r="D32" s="97" t="s">
        <v>128</v>
      </c>
      <c r="E32" s="97" t="s">
        <v>357</v>
      </c>
      <c r="F32" s="84" t="s">
        <v>516</v>
      </c>
      <c r="G32" s="97" t="s">
        <v>427</v>
      </c>
      <c r="H32" s="97" t="s">
        <v>170</v>
      </c>
      <c r="I32" s="94">
        <v>646446.73810199997</v>
      </c>
      <c r="J32" s="96">
        <v>22050</v>
      </c>
      <c r="K32" s="84"/>
      <c r="L32" s="94">
        <v>142541.50575287102</v>
      </c>
      <c r="M32" s="95">
        <v>1.3627705155854132E-2</v>
      </c>
      <c r="N32" s="95">
        <f t="shared" si="0"/>
        <v>1.6946091460028814E-2</v>
      </c>
      <c r="O32" s="95">
        <f>L32/'סכום נכסי הקרן'!$C$42</f>
        <v>2.4531261605262229E-3</v>
      </c>
    </row>
    <row r="33" spans="2:15" s="132" customFormat="1">
      <c r="B33" s="87" t="s">
        <v>1181</v>
      </c>
      <c r="C33" s="84" t="s">
        <v>1182</v>
      </c>
      <c r="D33" s="97" t="s">
        <v>128</v>
      </c>
      <c r="E33" s="97" t="s">
        <v>357</v>
      </c>
      <c r="F33" s="84" t="s">
        <v>1183</v>
      </c>
      <c r="G33" s="97" t="s">
        <v>198</v>
      </c>
      <c r="H33" s="97" t="s">
        <v>170</v>
      </c>
      <c r="I33" s="94">
        <v>94659.180175000001</v>
      </c>
      <c r="J33" s="96">
        <v>53560</v>
      </c>
      <c r="K33" s="84"/>
      <c r="L33" s="94">
        <v>50699.456901933998</v>
      </c>
      <c r="M33" s="95">
        <v>1.5234740016893873E-3</v>
      </c>
      <c r="N33" s="95">
        <f t="shared" si="0"/>
        <v>6.0274207789239509E-3</v>
      </c>
      <c r="O33" s="95">
        <f>L33/'סכום נכסי הקרן'!$C$42</f>
        <v>8.7253297482513086E-4</v>
      </c>
    </row>
    <row r="34" spans="2:15" s="132" customFormat="1">
      <c r="B34" s="87" t="s">
        <v>1184</v>
      </c>
      <c r="C34" s="84" t="s">
        <v>1185</v>
      </c>
      <c r="D34" s="97" t="s">
        <v>128</v>
      </c>
      <c r="E34" s="97" t="s">
        <v>357</v>
      </c>
      <c r="F34" s="84" t="s">
        <v>405</v>
      </c>
      <c r="G34" s="97" t="s">
        <v>365</v>
      </c>
      <c r="H34" s="97" t="s">
        <v>170</v>
      </c>
      <c r="I34" s="94">
        <v>17237639.784681</v>
      </c>
      <c r="J34" s="96">
        <v>2865</v>
      </c>
      <c r="K34" s="84"/>
      <c r="L34" s="94">
        <v>493858.37983112404</v>
      </c>
      <c r="M34" s="95">
        <v>1.2910463501160381E-2</v>
      </c>
      <c r="N34" s="95">
        <f t="shared" si="0"/>
        <v>5.8712507832135857E-2</v>
      </c>
      <c r="O34" s="95">
        <f>L34/'סכום נכסי הקרן'!$C$42</f>
        <v>8.4992571445066615E-3</v>
      </c>
    </row>
    <row r="35" spans="2:15" s="132" customFormat="1">
      <c r="B35" s="87" t="s">
        <v>1186</v>
      </c>
      <c r="C35" s="84" t="s">
        <v>1187</v>
      </c>
      <c r="D35" s="97" t="s">
        <v>128</v>
      </c>
      <c r="E35" s="97" t="s">
        <v>357</v>
      </c>
      <c r="F35" s="84" t="s">
        <v>626</v>
      </c>
      <c r="G35" s="97" t="s">
        <v>491</v>
      </c>
      <c r="H35" s="97" t="s">
        <v>170</v>
      </c>
      <c r="I35" s="94">
        <v>260266.45077299996</v>
      </c>
      <c r="J35" s="96">
        <v>48890</v>
      </c>
      <c r="K35" s="84"/>
      <c r="L35" s="94">
        <v>127244.26778307601</v>
      </c>
      <c r="M35" s="95">
        <v>2.5568840108917842E-2</v>
      </c>
      <c r="N35" s="95">
        <f t="shared" si="0"/>
        <v>1.5127474543133011E-2</v>
      </c>
      <c r="O35" s="95">
        <f>L35/'סכום נכסי הקרן'!$C$42</f>
        <v>2.1898621066683988E-3</v>
      </c>
    </row>
    <row r="36" spans="2:15" s="132" customFormat="1">
      <c r="B36" s="87" t="s">
        <v>1188</v>
      </c>
      <c r="C36" s="84" t="s">
        <v>1189</v>
      </c>
      <c r="D36" s="97" t="s">
        <v>128</v>
      </c>
      <c r="E36" s="97" t="s">
        <v>357</v>
      </c>
      <c r="F36" s="84" t="s">
        <v>1190</v>
      </c>
      <c r="G36" s="97" t="s">
        <v>936</v>
      </c>
      <c r="H36" s="97" t="s">
        <v>170</v>
      </c>
      <c r="I36" s="94">
        <v>275485.041211</v>
      </c>
      <c r="J36" s="96">
        <v>17810</v>
      </c>
      <c r="K36" s="84"/>
      <c r="L36" s="94">
        <v>49063.885839629002</v>
      </c>
      <c r="M36" s="95">
        <v>2.0267518044606689E-3</v>
      </c>
      <c r="N36" s="95">
        <f t="shared" si="0"/>
        <v>5.832975402015628E-3</v>
      </c>
      <c r="O36" s="95">
        <f>L36/'סכום נכסי הקרן'!$C$42</f>
        <v>8.4438494777049706E-4</v>
      </c>
    </row>
    <row r="37" spans="2:15" s="132" customFormat="1">
      <c r="B37" s="87" t="s">
        <v>1191</v>
      </c>
      <c r="C37" s="84" t="s">
        <v>1192</v>
      </c>
      <c r="D37" s="97" t="s">
        <v>128</v>
      </c>
      <c r="E37" s="97" t="s">
        <v>357</v>
      </c>
      <c r="F37" s="84" t="s">
        <v>441</v>
      </c>
      <c r="G37" s="97" t="s">
        <v>427</v>
      </c>
      <c r="H37" s="97" t="s">
        <v>170</v>
      </c>
      <c r="I37" s="94">
        <v>1237641.7602319999</v>
      </c>
      <c r="J37" s="96">
        <v>25250</v>
      </c>
      <c r="K37" s="84"/>
      <c r="L37" s="94">
        <v>312504.54445868597</v>
      </c>
      <c r="M37" s="95">
        <v>1.0205439046921996E-2</v>
      </c>
      <c r="N37" s="95">
        <f t="shared" si="0"/>
        <v>3.7152200435239674E-2</v>
      </c>
      <c r="O37" s="95">
        <f>L37/'סכום נכסי הקרן'!$C$42</f>
        <v>5.3781743727615407E-3</v>
      </c>
    </row>
    <row r="38" spans="2:15" s="132" customFormat="1">
      <c r="B38" s="87" t="s">
        <v>1193</v>
      </c>
      <c r="C38" s="84" t="s">
        <v>1194</v>
      </c>
      <c r="D38" s="97" t="s">
        <v>128</v>
      </c>
      <c r="E38" s="97" t="s">
        <v>357</v>
      </c>
      <c r="F38" s="84" t="s">
        <v>536</v>
      </c>
      <c r="G38" s="97" t="s">
        <v>159</v>
      </c>
      <c r="H38" s="97" t="s">
        <v>170</v>
      </c>
      <c r="I38" s="94">
        <v>3941649.2902170001</v>
      </c>
      <c r="J38" s="96">
        <v>2198</v>
      </c>
      <c r="K38" s="84"/>
      <c r="L38" s="94">
        <v>86637.451399305006</v>
      </c>
      <c r="M38" s="95">
        <v>1.6550674369474053E-2</v>
      </c>
      <c r="N38" s="95">
        <f t="shared" si="0"/>
        <v>1.0299920486471027E-2</v>
      </c>
      <c r="O38" s="95">
        <f>L38/'סכום נכסי הקרן'!$C$42</f>
        <v>1.4910225438296491E-3</v>
      </c>
    </row>
    <row r="39" spans="2:15" s="132" customFormat="1">
      <c r="B39" s="87" t="s">
        <v>1195</v>
      </c>
      <c r="C39" s="84" t="s">
        <v>1196</v>
      </c>
      <c r="D39" s="97" t="s">
        <v>128</v>
      </c>
      <c r="E39" s="97" t="s">
        <v>357</v>
      </c>
      <c r="F39" s="84" t="s">
        <v>747</v>
      </c>
      <c r="G39" s="97" t="s">
        <v>748</v>
      </c>
      <c r="H39" s="97" t="s">
        <v>170</v>
      </c>
      <c r="I39" s="94">
        <v>1458569.6389829998</v>
      </c>
      <c r="J39" s="96">
        <v>10590</v>
      </c>
      <c r="K39" s="84"/>
      <c r="L39" s="94">
        <v>154462.52476829002</v>
      </c>
      <c r="M39" s="95">
        <v>1.2595717606794581E-2</v>
      </c>
      <c r="N39" s="95">
        <f t="shared" si="0"/>
        <v>1.8363325531361503E-2</v>
      </c>
      <c r="O39" s="95">
        <f>L39/'סכום נכסי הקרן'!$C$42</f>
        <v>2.6582857977308122E-3</v>
      </c>
    </row>
    <row r="40" spans="2:15" s="132" customFormat="1">
      <c r="B40" s="87" t="s">
        <v>1197</v>
      </c>
      <c r="C40" s="84" t="s">
        <v>1198</v>
      </c>
      <c r="D40" s="97" t="s">
        <v>128</v>
      </c>
      <c r="E40" s="97" t="s">
        <v>357</v>
      </c>
      <c r="F40" s="84" t="s">
        <v>876</v>
      </c>
      <c r="G40" s="97" t="s">
        <v>877</v>
      </c>
      <c r="H40" s="97" t="s">
        <v>170</v>
      </c>
      <c r="I40" s="94">
        <v>5023921.8907869998</v>
      </c>
      <c r="J40" s="96">
        <v>2108</v>
      </c>
      <c r="K40" s="84"/>
      <c r="L40" s="94">
        <v>105904.273457798</v>
      </c>
      <c r="M40" s="95">
        <v>1.4140596066484363E-2</v>
      </c>
      <c r="N40" s="95">
        <f t="shared" si="0"/>
        <v>1.2590462648368645E-2</v>
      </c>
      <c r="O40" s="95">
        <f>L40/'סכום נכסי הקרן'!$C$42</f>
        <v>1.8226027735476931E-3</v>
      </c>
    </row>
    <row r="41" spans="2:15" s="132" customFormat="1">
      <c r="B41" s="83"/>
      <c r="C41" s="84"/>
      <c r="D41" s="84"/>
      <c r="E41" s="84"/>
      <c r="F41" s="84"/>
      <c r="G41" s="84"/>
      <c r="H41" s="84"/>
      <c r="I41" s="94"/>
      <c r="J41" s="96"/>
      <c r="K41" s="84"/>
      <c r="L41" s="84"/>
      <c r="M41" s="84"/>
      <c r="N41" s="95"/>
      <c r="O41" s="84"/>
    </row>
    <row r="42" spans="2:15" s="132" customFormat="1">
      <c r="B42" s="102" t="s">
        <v>1199</v>
      </c>
      <c r="C42" s="82"/>
      <c r="D42" s="82"/>
      <c r="E42" s="82"/>
      <c r="F42" s="82"/>
      <c r="G42" s="82"/>
      <c r="H42" s="82"/>
      <c r="I42" s="91"/>
      <c r="J42" s="93"/>
      <c r="K42" s="91">
        <v>10078.814845756</v>
      </c>
      <c r="L42" s="91">
        <v>1794739.5376718049</v>
      </c>
      <c r="M42" s="82"/>
      <c r="N42" s="92">
        <f t="shared" ref="N42:N84" si="1">L42/$L$11</f>
        <v>0.21336817084734389</v>
      </c>
      <c r="O42" s="92">
        <f>L42/'סכום נכסי הקרן'!$C$42</f>
        <v>3.088730182790822E-2</v>
      </c>
    </row>
    <row r="43" spans="2:15" s="132" customFormat="1">
      <c r="B43" s="87" t="s">
        <v>1200</v>
      </c>
      <c r="C43" s="84" t="s">
        <v>1201</v>
      </c>
      <c r="D43" s="97" t="s">
        <v>128</v>
      </c>
      <c r="E43" s="97" t="s">
        <v>357</v>
      </c>
      <c r="F43" s="84" t="s">
        <v>1202</v>
      </c>
      <c r="G43" s="97" t="s">
        <v>1203</v>
      </c>
      <c r="H43" s="97" t="s">
        <v>170</v>
      </c>
      <c r="I43" s="94">
        <v>6838666.0011339998</v>
      </c>
      <c r="J43" s="96">
        <v>260.39999999999998</v>
      </c>
      <c r="K43" s="84"/>
      <c r="L43" s="94">
        <v>17807.886265822002</v>
      </c>
      <c r="M43" s="95">
        <v>2.3037206181258065E-2</v>
      </c>
      <c r="N43" s="95">
        <f t="shared" si="1"/>
        <v>2.1170961242236801E-3</v>
      </c>
      <c r="O43" s="95">
        <f>L43/'סכום נכסי הקרן'!$C$42</f>
        <v>3.0647207935421782E-4</v>
      </c>
    </row>
    <row r="44" spans="2:15" s="132" customFormat="1">
      <c r="B44" s="87" t="s">
        <v>1204</v>
      </c>
      <c r="C44" s="84" t="s">
        <v>1205</v>
      </c>
      <c r="D44" s="97" t="s">
        <v>128</v>
      </c>
      <c r="E44" s="97" t="s">
        <v>357</v>
      </c>
      <c r="F44" s="84" t="s">
        <v>897</v>
      </c>
      <c r="G44" s="97" t="s">
        <v>491</v>
      </c>
      <c r="H44" s="97" t="s">
        <v>170</v>
      </c>
      <c r="I44" s="94">
        <v>3190800.1238779998</v>
      </c>
      <c r="J44" s="96">
        <v>2933</v>
      </c>
      <c r="K44" s="84"/>
      <c r="L44" s="94">
        <v>93586.167633331992</v>
      </c>
      <c r="M44" s="95">
        <v>2.2257321932680728E-2</v>
      </c>
      <c r="N44" s="95">
        <f t="shared" si="1"/>
        <v>1.112602078764058E-2</v>
      </c>
      <c r="O44" s="95">
        <f>L44/'סכום נכסי הקרן'!$C$42</f>
        <v>1.6106093090018805E-3</v>
      </c>
    </row>
    <row r="45" spans="2:15" s="132" customFormat="1">
      <c r="B45" s="87" t="s">
        <v>1206</v>
      </c>
      <c r="C45" s="84" t="s">
        <v>1207</v>
      </c>
      <c r="D45" s="97" t="s">
        <v>128</v>
      </c>
      <c r="E45" s="97" t="s">
        <v>357</v>
      </c>
      <c r="F45" s="84" t="s">
        <v>672</v>
      </c>
      <c r="G45" s="97" t="s">
        <v>673</v>
      </c>
      <c r="H45" s="97" t="s">
        <v>170</v>
      </c>
      <c r="I45" s="94">
        <v>2938538.0438350006</v>
      </c>
      <c r="J45" s="96">
        <v>700.4</v>
      </c>
      <c r="K45" s="84"/>
      <c r="L45" s="94">
        <v>20581.520458537001</v>
      </c>
      <c r="M45" s="95">
        <v>1.3943881010657256E-2</v>
      </c>
      <c r="N45" s="95">
        <f t="shared" si="1"/>
        <v>2.4468404920704808E-3</v>
      </c>
      <c r="O45" s="95">
        <f>L45/'סכום נכסי הקרן'!$C$42</f>
        <v>3.5420606786473383E-4</v>
      </c>
    </row>
    <row r="46" spans="2:15" s="132" customFormat="1">
      <c r="B46" s="87" t="s">
        <v>1208</v>
      </c>
      <c r="C46" s="84" t="s">
        <v>1209</v>
      </c>
      <c r="D46" s="97" t="s">
        <v>128</v>
      </c>
      <c r="E46" s="97" t="s">
        <v>357</v>
      </c>
      <c r="F46" s="84" t="s">
        <v>884</v>
      </c>
      <c r="G46" s="97" t="s">
        <v>487</v>
      </c>
      <c r="H46" s="97" t="s">
        <v>170</v>
      </c>
      <c r="I46" s="94">
        <v>190593.691234</v>
      </c>
      <c r="J46" s="96">
        <v>12600</v>
      </c>
      <c r="K46" s="84"/>
      <c r="L46" s="94">
        <v>24014.805095527001</v>
      </c>
      <c r="M46" s="95">
        <v>1.2987722055592425E-2</v>
      </c>
      <c r="N46" s="95">
        <f t="shared" si="1"/>
        <v>2.8550076091459404E-3</v>
      </c>
      <c r="O46" s="95">
        <f>L46/'סכום נכסי הקרן'!$C$42</f>
        <v>4.1329257964983404E-4</v>
      </c>
    </row>
    <row r="47" spans="2:15" s="132" customFormat="1">
      <c r="B47" s="87" t="s">
        <v>1210</v>
      </c>
      <c r="C47" s="84" t="s">
        <v>1211</v>
      </c>
      <c r="D47" s="97" t="s">
        <v>128</v>
      </c>
      <c r="E47" s="97" t="s">
        <v>357</v>
      </c>
      <c r="F47" s="84" t="s">
        <v>1212</v>
      </c>
      <c r="G47" s="97" t="s">
        <v>877</v>
      </c>
      <c r="H47" s="97" t="s">
        <v>170</v>
      </c>
      <c r="I47" s="94">
        <v>2798931.1738089998</v>
      </c>
      <c r="J47" s="96">
        <v>1499</v>
      </c>
      <c r="K47" s="84"/>
      <c r="L47" s="94">
        <v>41955.978295396999</v>
      </c>
      <c r="M47" s="95">
        <v>2.5721957219896251E-2</v>
      </c>
      <c r="N47" s="95">
        <f t="shared" si="1"/>
        <v>4.9879495921801775E-3</v>
      </c>
      <c r="O47" s="95">
        <f>L47/'סכום נכסי הקרן'!$C$42</f>
        <v>7.2205851483953291E-4</v>
      </c>
    </row>
    <row r="48" spans="2:15" s="132" customFormat="1">
      <c r="B48" s="87" t="s">
        <v>1213</v>
      </c>
      <c r="C48" s="84" t="s">
        <v>1214</v>
      </c>
      <c r="D48" s="97" t="s">
        <v>128</v>
      </c>
      <c r="E48" s="97" t="s">
        <v>357</v>
      </c>
      <c r="F48" s="84" t="s">
        <v>1215</v>
      </c>
      <c r="G48" s="97" t="s">
        <v>198</v>
      </c>
      <c r="H48" s="97" t="s">
        <v>170</v>
      </c>
      <c r="I48" s="94">
        <v>40050.930974000003</v>
      </c>
      <c r="J48" s="96">
        <v>2949</v>
      </c>
      <c r="K48" s="84"/>
      <c r="L48" s="94">
        <v>1181.1019544140001</v>
      </c>
      <c r="M48" s="95">
        <v>1.1672927389929696E-3</v>
      </c>
      <c r="N48" s="95">
        <f t="shared" si="1"/>
        <v>1.40415674981147E-4</v>
      </c>
      <c r="O48" s="95">
        <f>L48/'סכום נכסי הקרן'!$C$42</f>
        <v>2.0326655645443649E-5</v>
      </c>
    </row>
    <row r="49" spans="2:15" s="132" customFormat="1">
      <c r="B49" s="87" t="s">
        <v>1216</v>
      </c>
      <c r="C49" s="84" t="s">
        <v>1217</v>
      </c>
      <c r="D49" s="97" t="s">
        <v>128</v>
      </c>
      <c r="E49" s="97" t="s">
        <v>357</v>
      </c>
      <c r="F49" s="84" t="s">
        <v>834</v>
      </c>
      <c r="G49" s="97" t="s">
        <v>715</v>
      </c>
      <c r="H49" s="97" t="s">
        <v>170</v>
      </c>
      <c r="I49" s="94">
        <v>91865.665552999999</v>
      </c>
      <c r="J49" s="96">
        <v>153300</v>
      </c>
      <c r="K49" s="84"/>
      <c r="L49" s="94">
        <v>140830.06529305602</v>
      </c>
      <c r="M49" s="95">
        <v>2.51910990229385E-2</v>
      </c>
      <c r="N49" s="95">
        <f t="shared" si="1"/>
        <v>1.6742626326085999E-2</v>
      </c>
      <c r="O49" s="95">
        <f>L49/'סכום נכסי הקרן'!$C$42</f>
        <v>2.423672428141537E-3</v>
      </c>
    </row>
    <row r="50" spans="2:15" s="132" customFormat="1">
      <c r="B50" s="87" t="s">
        <v>1218</v>
      </c>
      <c r="C50" s="84" t="s">
        <v>1219</v>
      </c>
      <c r="D50" s="97" t="s">
        <v>128</v>
      </c>
      <c r="E50" s="97" t="s">
        <v>357</v>
      </c>
      <c r="F50" s="84" t="s">
        <v>1220</v>
      </c>
      <c r="G50" s="97" t="s">
        <v>196</v>
      </c>
      <c r="H50" s="97" t="s">
        <v>170</v>
      </c>
      <c r="I50" s="94">
        <v>13536248.912005998</v>
      </c>
      <c r="J50" s="96">
        <v>434</v>
      </c>
      <c r="K50" s="84"/>
      <c r="L50" s="94">
        <v>58747.320278106999</v>
      </c>
      <c r="M50" s="95">
        <v>1.7996876580917125E-2</v>
      </c>
      <c r="N50" s="95">
        <f t="shared" si="1"/>
        <v>6.9841935316047755E-3</v>
      </c>
      <c r="O50" s="95">
        <f>L50/'סכום נכסי הקרן'!$C$42</f>
        <v>1.0110359608863206E-3</v>
      </c>
    </row>
    <row r="51" spans="2:15" s="132" customFormat="1">
      <c r="B51" s="87" t="s">
        <v>1221</v>
      </c>
      <c r="C51" s="84" t="s">
        <v>1222</v>
      </c>
      <c r="D51" s="97" t="s">
        <v>128</v>
      </c>
      <c r="E51" s="97" t="s">
        <v>357</v>
      </c>
      <c r="F51" s="84" t="s">
        <v>1223</v>
      </c>
      <c r="G51" s="97" t="s">
        <v>196</v>
      </c>
      <c r="H51" s="97" t="s">
        <v>170</v>
      </c>
      <c r="I51" s="94">
        <v>6010672.9064859999</v>
      </c>
      <c r="J51" s="96">
        <v>1031</v>
      </c>
      <c r="K51" s="84"/>
      <c r="L51" s="94">
        <v>61970.037664992</v>
      </c>
      <c r="M51" s="95">
        <v>1.4192525453040927E-2</v>
      </c>
      <c r="N51" s="95">
        <f t="shared" si="1"/>
        <v>7.3673272953427684E-3</v>
      </c>
      <c r="O51" s="95">
        <f>L51/'סכום נכסי הקרן'!$C$42</f>
        <v>1.0664986297278911E-3</v>
      </c>
    </row>
    <row r="52" spans="2:15" s="132" customFormat="1">
      <c r="B52" s="87" t="s">
        <v>1224</v>
      </c>
      <c r="C52" s="84" t="s">
        <v>1225</v>
      </c>
      <c r="D52" s="97" t="s">
        <v>128</v>
      </c>
      <c r="E52" s="97" t="s">
        <v>357</v>
      </c>
      <c r="F52" s="84" t="s">
        <v>1226</v>
      </c>
      <c r="G52" s="97" t="s">
        <v>1227</v>
      </c>
      <c r="H52" s="97" t="s">
        <v>170</v>
      </c>
      <c r="I52" s="94">
        <v>90542.007234000004</v>
      </c>
      <c r="J52" s="96">
        <v>14290</v>
      </c>
      <c r="K52" s="84"/>
      <c r="L52" s="94">
        <v>12938.452832634001</v>
      </c>
      <c r="M52" s="95">
        <v>1.7902883505312415E-2</v>
      </c>
      <c r="N52" s="95">
        <f t="shared" si="1"/>
        <v>1.538192008671611E-3</v>
      </c>
      <c r="O52" s="95">
        <f>L52/'סכום נכסי הקרן'!$C$42</f>
        <v>2.2266957931184748E-4</v>
      </c>
    </row>
    <row r="53" spans="2:15" s="132" customFormat="1">
      <c r="B53" s="87" t="s">
        <v>1228</v>
      </c>
      <c r="C53" s="84" t="s">
        <v>1229</v>
      </c>
      <c r="D53" s="97" t="s">
        <v>128</v>
      </c>
      <c r="E53" s="97" t="s">
        <v>357</v>
      </c>
      <c r="F53" s="84" t="s">
        <v>1230</v>
      </c>
      <c r="G53" s="97" t="s">
        <v>715</v>
      </c>
      <c r="H53" s="97" t="s">
        <v>170</v>
      </c>
      <c r="I53" s="94">
        <v>178993.37368300001</v>
      </c>
      <c r="J53" s="96">
        <v>10240</v>
      </c>
      <c r="K53" s="84"/>
      <c r="L53" s="94">
        <v>18328.921465668001</v>
      </c>
      <c r="M53" s="95">
        <v>4.9267345075506659E-3</v>
      </c>
      <c r="N53" s="95">
        <f t="shared" si="1"/>
        <v>2.1790395567968758E-3</v>
      </c>
      <c r="O53" s="95">
        <f>L53/'סכום נכסי הקרן'!$C$42</f>
        <v>3.1543904706335109E-4</v>
      </c>
    </row>
    <row r="54" spans="2:15" s="132" customFormat="1">
      <c r="B54" s="87" t="s">
        <v>1231</v>
      </c>
      <c r="C54" s="84" t="s">
        <v>1232</v>
      </c>
      <c r="D54" s="97" t="s">
        <v>128</v>
      </c>
      <c r="E54" s="97" t="s">
        <v>357</v>
      </c>
      <c r="F54" s="84" t="s">
        <v>1233</v>
      </c>
      <c r="G54" s="97" t="s">
        <v>1234</v>
      </c>
      <c r="H54" s="97" t="s">
        <v>170</v>
      </c>
      <c r="I54" s="94">
        <v>463600.16320200003</v>
      </c>
      <c r="J54" s="96">
        <v>6056</v>
      </c>
      <c r="K54" s="84"/>
      <c r="L54" s="94">
        <v>28075.625883501001</v>
      </c>
      <c r="M54" s="95">
        <v>1.8745916545683573E-2</v>
      </c>
      <c r="N54" s="95">
        <f t="shared" si="1"/>
        <v>3.3377795576554547E-3</v>
      </c>
      <c r="O54" s="95">
        <f>L54/'סכום נכסי הקרן'!$C$42</f>
        <v>4.8317893068543119E-4</v>
      </c>
    </row>
    <row r="55" spans="2:15" s="132" customFormat="1">
      <c r="B55" s="87" t="s">
        <v>1235</v>
      </c>
      <c r="C55" s="84" t="s">
        <v>1236</v>
      </c>
      <c r="D55" s="97" t="s">
        <v>128</v>
      </c>
      <c r="E55" s="97" t="s">
        <v>357</v>
      </c>
      <c r="F55" s="84" t="s">
        <v>483</v>
      </c>
      <c r="G55" s="97" t="s">
        <v>427</v>
      </c>
      <c r="H55" s="97" t="s">
        <v>170</v>
      </c>
      <c r="I55" s="94">
        <v>89269.203829999999</v>
      </c>
      <c r="J55" s="96">
        <v>265400</v>
      </c>
      <c r="K55" s="84"/>
      <c r="L55" s="94">
        <v>236920.46696397098</v>
      </c>
      <c r="M55" s="95">
        <v>4.1777931410011911E-2</v>
      </c>
      <c r="N55" s="95">
        <f t="shared" si="1"/>
        <v>2.8166363759934684E-2</v>
      </c>
      <c r="O55" s="95">
        <f>L55/'סכום נכסי הקרן'!$C$42</f>
        <v>4.0773793738438863E-3</v>
      </c>
    </row>
    <row r="56" spans="2:15" s="132" customFormat="1">
      <c r="B56" s="87" t="s">
        <v>1237</v>
      </c>
      <c r="C56" s="84" t="s">
        <v>1238</v>
      </c>
      <c r="D56" s="97" t="s">
        <v>128</v>
      </c>
      <c r="E56" s="97" t="s">
        <v>357</v>
      </c>
      <c r="F56" s="84" t="s">
        <v>1239</v>
      </c>
      <c r="G56" s="97" t="s">
        <v>673</v>
      </c>
      <c r="H56" s="97" t="s">
        <v>170</v>
      </c>
      <c r="I56" s="94">
        <v>216198.97671300001</v>
      </c>
      <c r="J56" s="96">
        <v>10140</v>
      </c>
      <c r="K56" s="84"/>
      <c r="L56" s="94">
        <v>21922.576238713998</v>
      </c>
      <c r="M56" s="95">
        <v>1.1556578336091798E-2</v>
      </c>
      <c r="N56" s="95">
        <f t="shared" si="1"/>
        <v>2.6062723276179455E-3</v>
      </c>
      <c r="O56" s="95">
        <f>L56/'סכום נכסי הקרן'!$C$42</f>
        <v>3.7728551409129958E-4</v>
      </c>
    </row>
    <row r="57" spans="2:15" s="132" customFormat="1">
      <c r="B57" s="87" t="s">
        <v>1240</v>
      </c>
      <c r="C57" s="84" t="s">
        <v>1241</v>
      </c>
      <c r="D57" s="97" t="s">
        <v>128</v>
      </c>
      <c r="E57" s="97" t="s">
        <v>357</v>
      </c>
      <c r="F57" s="84" t="s">
        <v>1242</v>
      </c>
      <c r="G57" s="97" t="s">
        <v>164</v>
      </c>
      <c r="H57" s="97" t="s">
        <v>170</v>
      </c>
      <c r="I57" s="94">
        <v>175850.62873900001</v>
      </c>
      <c r="J57" s="96">
        <v>32140</v>
      </c>
      <c r="K57" s="84"/>
      <c r="L57" s="94">
        <v>56518.392076682001</v>
      </c>
      <c r="M57" s="95">
        <v>3.3263111641650224E-2</v>
      </c>
      <c r="N57" s="95">
        <f t="shared" si="1"/>
        <v>6.7192067057698394E-3</v>
      </c>
      <c r="O57" s="95">
        <f>L57/'סכום נכסי הקרן'!$C$42</f>
        <v>9.7267631222138992E-4</v>
      </c>
    </row>
    <row r="58" spans="2:15" s="132" customFormat="1">
      <c r="B58" s="87" t="s">
        <v>1243</v>
      </c>
      <c r="C58" s="84" t="s">
        <v>1244</v>
      </c>
      <c r="D58" s="97" t="s">
        <v>128</v>
      </c>
      <c r="E58" s="97" t="s">
        <v>357</v>
      </c>
      <c r="F58" s="84" t="s">
        <v>1245</v>
      </c>
      <c r="G58" s="97" t="s">
        <v>877</v>
      </c>
      <c r="H58" s="97" t="s">
        <v>170</v>
      </c>
      <c r="I58" s="94">
        <v>413303.61236099998</v>
      </c>
      <c r="J58" s="96">
        <v>6647</v>
      </c>
      <c r="K58" s="84"/>
      <c r="L58" s="94">
        <v>27472.291113628999</v>
      </c>
      <c r="M58" s="95">
        <v>2.9429578323400252E-2</v>
      </c>
      <c r="N58" s="95">
        <f t="shared" si="1"/>
        <v>3.2660519149785745E-3</v>
      </c>
      <c r="O58" s="95">
        <f>L58/'סכום נכסי הקרן'!$C$42</f>
        <v>4.7279559497061068E-4</v>
      </c>
    </row>
    <row r="59" spans="2:15" s="132" customFormat="1">
      <c r="B59" s="87" t="s">
        <v>1246</v>
      </c>
      <c r="C59" s="84" t="s">
        <v>1247</v>
      </c>
      <c r="D59" s="97" t="s">
        <v>128</v>
      </c>
      <c r="E59" s="97" t="s">
        <v>357</v>
      </c>
      <c r="F59" s="84" t="s">
        <v>1248</v>
      </c>
      <c r="G59" s="97" t="s">
        <v>1249</v>
      </c>
      <c r="H59" s="97" t="s">
        <v>170</v>
      </c>
      <c r="I59" s="94">
        <v>133043.50162600001</v>
      </c>
      <c r="J59" s="96">
        <v>26410</v>
      </c>
      <c r="K59" s="84"/>
      <c r="L59" s="94">
        <v>35136.788779421004</v>
      </c>
      <c r="M59" s="95">
        <v>1.9584182924466866E-2</v>
      </c>
      <c r="N59" s="95">
        <f t="shared" si="1"/>
        <v>4.1772481153671947E-3</v>
      </c>
      <c r="O59" s="95">
        <f>L59/'סכום נכסי הקרן'!$C$42</f>
        <v>6.0470089253246016E-4</v>
      </c>
    </row>
    <row r="60" spans="2:15" s="132" customFormat="1">
      <c r="B60" s="87" t="s">
        <v>1250</v>
      </c>
      <c r="C60" s="84" t="s">
        <v>1251</v>
      </c>
      <c r="D60" s="97" t="s">
        <v>128</v>
      </c>
      <c r="E60" s="97" t="s">
        <v>357</v>
      </c>
      <c r="F60" s="84" t="s">
        <v>1252</v>
      </c>
      <c r="G60" s="97" t="s">
        <v>1249</v>
      </c>
      <c r="H60" s="97" t="s">
        <v>170</v>
      </c>
      <c r="I60" s="94">
        <v>471802.87884299998</v>
      </c>
      <c r="J60" s="96">
        <v>13900</v>
      </c>
      <c r="K60" s="84"/>
      <c r="L60" s="94">
        <v>65580.600159138005</v>
      </c>
      <c r="M60" s="95">
        <v>2.0985173555755837E-2</v>
      </c>
      <c r="N60" s="95">
        <f t="shared" si="1"/>
        <v>7.796570145870995E-3</v>
      </c>
      <c r="O60" s="95">
        <f>L60/'סכום נכסי הקרן'!$C$42</f>
        <v>1.1286360770757556E-3</v>
      </c>
    </row>
    <row r="61" spans="2:15" s="132" customFormat="1">
      <c r="B61" s="87" t="s">
        <v>1253</v>
      </c>
      <c r="C61" s="84" t="s">
        <v>1254</v>
      </c>
      <c r="D61" s="97" t="s">
        <v>128</v>
      </c>
      <c r="E61" s="97" t="s">
        <v>357</v>
      </c>
      <c r="F61" s="84" t="s">
        <v>762</v>
      </c>
      <c r="G61" s="97" t="s">
        <v>165</v>
      </c>
      <c r="H61" s="97" t="s">
        <v>170</v>
      </c>
      <c r="I61" s="94">
        <v>2459627.2859999998</v>
      </c>
      <c r="J61" s="96">
        <v>1291</v>
      </c>
      <c r="K61" s="84"/>
      <c r="L61" s="94">
        <v>31753.788262260005</v>
      </c>
      <c r="M61" s="95">
        <v>1.2298136429999999E-2</v>
      </c>
      <c r="N61" s="95">
        <f t="shared" si="1"/>
        <v>3.7750590415929377E-3</v>
      </c>
      <c r="O61" s="95">
        <f>L61/'סכום נכסי הקרן'!$C$42</f>
        <v>5.4647976580948646E-4</v>
      </c>
    </row>
    <row r="62" spans="2:15" s="132" customFormat="1">
      <c r="B62" s="87" t="s">
        <v>1255</v>
      </c>
      <c r="C62" s="84" t="s">
        <v>1256</v>
      </c>
      <c r="D62" s="97" t="s">
        <v>128</v>
      </c>
      <c r="E62" s="97" t="s">
        <v>357</v>
      </c>
      <c r="F62" s="84" t="s">
        <v>912</v>
      </c>
      <c r="G62" s="97" t="s">
        <v>154</v>
      </c>
      <c r="H62" s="97" t="s">
        <v>170</v>
      </c>
      <c r="I62" s="94">
        <v>230673445.31929198</v>
      </c>
      <c r="J62" s="96">
        <v>62.7</v>
      </c>
      <c r="K62" s="94">
        <v>10078.814845756</v>
      </c>
      <c r="L62" s="94">
        <v>154711.06506189099</v>
      </c>
      <c r="M62" s="95">
        <v>4.4523696823803589E-2</v>
      </c>
      <c r="N62" s="95">
        <f t="shared" si="1"/>
        <v>1.839287332184273E-2</v>
      </c>
      <c r="O62" s="95">
        <f>L62/'סכום נכסי הקרן'!$C$42</f>
        <v>2.6625631532488214E-3</v>
      </c>
    </row>
    <row r="63" spans="2:15" s="132" customFormat="1">
      <c r="B63" s="87" t="s">
        <v>1257</v>
      </c>
      <c r="C63" s="84" t="s">
        <v>1258</v>
      </c>
      <c r="D63" s="97" t="s">
        <v>128</v>
      </c>
      <c r="E63" s="97" t="s">
        <v>357</v>
      </c>
      <c r="F63" s="84" t="s">
        <v>498</v>
      </c>
      <c r="G63" s="97" t="s">
        <v>427</v>
      </c>
      <c r="H63" s="97" t="s">
        <v>170</v>
      </c>
      <c r="I63" s="94">
        <v>41086.801592000003</v>
      </c>
      <c r="J63" s="96">
        <v>76010</v>
      </c>
      <c r="K63" s="84"/>
      <c r="L63" s="94">
        <v>31230.077889790002</v>
      </c>
      <c r="M63" s="95">
        <v>7.6031814068960625E-3</v>
      </c>
      <c r="N63" s="95">
        <f t="shared" si="1"/>
        <v>3.7127975702862643E-3</v>
      </c>
      <c r="O63" s="95">
        <f>L63/'סכום נכסי הקרן'!$C$42</f>
        <v>5.3746675862635434E-4</v>
      </c>
    </row>
    <row r="64" spans="2:15" s="132" customFormat="1">
      <c r="B64" s="87" t="s">
        <v>1259</v>
      </c>
      <c r="C64" s="84" t="s">
        <v>1260</v>
      </c>
      <c r="D64" s="97" t="s">
        <v>128</v>
      </c>
      <c r="E64" s="97" t="s">
        <v>357</v>
      </c>
      <c r="F64" s="84" t="s">
        <v>1261</v>
      </c>
      <c r="G64" s="97" t="s">
        <v>487</v>
      </c>
      <c r="H64" s="97" t="s">
        <v>170</v>
      </c>
      <c r="I64" s="94">
        <v>688132.74730799999</v>
      </c>
      <c r="J64" s="96">
        <v>5188</v>
      </c>
      <c r="K64" s="84"/>
      <c r="L64" s="94">
        <v>35700.326929645002</v>
      </c>
      <c r="M64" s="95">
        <v>1.0172726739310464E-2</v>
      </c>
      <c r="N64" s="95">
        <f t="shared" si="1"/>
        <v>4.2442445244795556E-3</v>
      </c>
      <c r="O64" s="95">
        <f>L64/'סכום נכסי הקרן'!$C$42</f>
        <v>6.143993320955009E-4</v>
      </c>
    </row>
    <row r="65" spans="2:15" s="132" customFormat="1">
      <c r="B65" s="87" t="s">
        <v>1262</v>
      </c>
      <c r="C65" s="84" t="s">
        <v>1263</v>
      </c>
      <c r="D65" s="97" t="s">
        <v>128</v>
      </c>
      <c r="E65" s="97" t="s">
        <v>357</v>
      </c>
      <c r="F65" s="84" t="s">
        <v>594</v>
      </c>
      <c r="G65" s="97" t="s">
        <v>427</v>
      </c>
      <c r="H65" s="97" t="s">
        <v>170</v>
      </c>
      <c r="I65" s="94">
        <v>4951708.3645339999</v>
      </c>
      <c r="J65" s="96">
        <v>943</v>
      </c>
      <c r="K65" s="84"/>
      <c r="L65" s="94">
        <v>46694.609877550989</v>
      </c>
      <c r="M65" s="95">
        <v>6.091181631188795E-3</v>
      </c>
      <c r="N65" s="95">
        <f t="shared" si="1"/>
        <v>5.5513032887924722E-3</v>
      </c>
      <c r="O65" s="95">
        <f>L65/'סכום נכסי הקרן'!$C$42</f>
        <v>8.0360992709577379E-4</v>
      </c>
    </row>
    <row r="66" spans="2:15" s="132" customFormat="1">
      <c r="B66" s="87" t="s">
        <v>1264</v>
      </c>
      <c r="C66" s="84" t="s">
        <v>1265</v>
      </c>
      <c r="D66" s="97" t="s">
        <v>128</v>
      </c>
      <c r="E66" s="97" t="s">
        <v>357</v>
      </c>
      <c r="F66" s="84" t="s">
        <v>1266</v>
      </c>
      <c r="G66" s="97" t="s">
        <v>1249</v>
      </c>
      <c r="H66" s="97" t="s">
        <v>170</v>
      </c>
      <c r="I66" s="94">
        <v>1397121.1662989997</v>
      </c>
      <c r="J66" s="96">
        <v>6951</v>
      </c>
      <c r="K66" s="84"/>
      <c r="L66" s="94">
        <v>97113.892269434014</v>
      </c>
      <c r="M66" s="95">
        <v>2.250316706297207E-2</v>
      </c>
      <c r="N66" s="95">
        <f t="shared" si="1"/>
        <v>1.1545415433525873E-2</v>
      </c>
      <c r="O66" s="95">
        <f>L66/'סכום נכסי הקרן'!$C$42</f>
        <v>1.6713211244569408E-3</v>
      </c>
    </row>
    <row r="67" spans="2:15" s="132" customFormat="1">
      <c r="B67" s="87" t="s">
        <v>1267</v>
      </c>
      <c r="C67" s="84" t="s">
        <v>1268</v>
      </c>
      <c r="D67" s="97" t="s">
        <v>128</v>
      </c>
      <c r="E67" s="97" t="s">
        <v>357</v>
      </c>
      <c r="F67" s="84" t="s">
        <v>1269</v>
      </c>
      <c r="G67" s="97" t="s">
        <v>1234</v>
      </c>
      <c r="H67" s="97" t="s">
        <v>170</v>
      </c>
      <c r="I67" s="94">
        <v>2592069.0638410002</v>
      </c>
      <c r="J67" s="96">
        <v>2885</v>
      </c>
      <c r="K67" s="84"/>
      <c r="L67" s="94">
        <v>74781.192493094</v>
      </c>
      <c r="M67" s="95">
        <v>2.4075578060553018E-2</v>
      </c>
      <c r="N67" s="95">
        <f t="shared" si="1"/>
        <v>8.8903854409610565E-3</v>
      </c>
      <c r="O67" s="95">
        <f>L67/'סכום נכסי הקרן'!$C$42</f>
        <v>1.2869774221285798E-3</v>
      </c>
    </row>
    <row r="68" spans="2:15" s="132" customFormat="1">
      <c r="B68" s="87" t="s">
        <v>1270</v>
      </c>
      <c r="C68" s="84" t="s">
        <v>1271</v>
      </c>
      <c r="D68" s="97" t="s">
        <v>128</v>
      </c>
      <c r="E68" s="97" t="s">
        <v>357</v>
      </c>
      <c r="F68" s="84" t="s">
        <v>1272</v>
      </c>
      <c r="G68" s="97" t="s">
        <v>877</v>
      </c>
      <c r="H68" s="97" t="s">
        <v>170</v>
      </c>
      <c r="I68" s="94">
        <v>96547.438869999998</v>
      </c>
      <c r="J68" s="96">
        <v>13550</v>
      </c>
      <c r="K68" s="84"/>
      <c r="L68" s="94">
        <v>13082.177966884999</v>
      </c>
      <c r="M68" s="95">
        <v>1.0911063362468698E-2</v>
      </c>
      <c r="N68" s="95">
        <f t="shared" si="1"/>
        <v>1.5552788161755601E-3</v>
      </c>
      <c r="O68" s="95">
        <f>L68/'סכום נכסי הקרן'!$C$42</f>
        <v>2.2514307560960332E-4</v>
      </c>
    </row>
    <row r="69" spans="2:15" s="132" customFormat="1">
      <c r="B69" s="87" t="s">
        <v>1273</v>
      </c>
      <c r="C69" s="84" t="s">
        <v>1274</v>
      </c>
      <c r="D69" s="97" t="s">
        <v>128</v>
      </c>
      <c r="E69" s="97" t="s">
        <v>357</v>
      </c>
      <c r="F69" s="84" t="s">
        <v>614</v>
      </c>
      <c r="G69" s="97" t="s">
        <v>487</v>
      </c>
      <c r="H69" s="97" t="s">
        <v>170</v>
      </c>
      <c r="I69" s="94">
        <v>634539.17069499998</v>
      </c>
      <c r="J69" s="96">
        <v>5049</v>
      </c>
      <c r="K69" s="84"/>
      <c r="L69" s="94">
        <v>32037.882728378001</v>
      </c>
      <c r="M69" s="95">
        <v>1.0028762528126412E-2</v>
      </c>
      <c r="N69" s="95">
        <f t="shared" si="1"/>
        <v>3.8088337009856226E-3</v>
      </c>
      <c r="O69" s="95">
        <f>L69/'סכום נכסי הקרן'!$C$42</f>
        <v>5.5136900535563706E-4</v>
      </c>
    </row>
    <row r="70" spans="2:15" s="132" customFormat="1">
      <c r="B70" s="87" t="s">
        <v>1275</v>
      </c>
      <c r="C70" s="84" t="s">
        <v>1276</v>
      </c>
      <c r="D70" s="97" t="s">
        <v>128</v>
      </c>
      <c r="E70" s="97" t="s">
        <v>357</v>
      </c>
      <c r="F70" s="84" t="s">
        <v>1277</v>
      </c>
      <c r="G70" s="97" t="s">
        <v>1170</v>
      </c>
      <c r="H70" s="97" t="s">
        <v>170</v>
      </c>
      <c r="I70" s="94">
        <v>73696.935952</v>
      </c>
      <c r="J70" s="96">
        <v>13140</v>
      </c>
      <c r="K70" s="84"/>
      <c r="L70" s="94">
        <v>9683.7773840270002</v>
      </c>
      <c r="M70" s="95">
        <v>2.6393394011057681E-3</v>
      </c>
      <c r="N70" s="95">
        <f t="shared" si="1"/>
        <v>1.1512589007779219E-3</v>
      </c>
      <c r="O70" s="95">
        <f>L70/'סכום נכסי הקרן'!$C$42</f>
        <v>1.6665691517707537E-4</v>
      </c>
    </row>
    <row r="71" spans="2:15" s="132" customFormat="1">
      <c r="B71" s="87" t="s">
        <v>1278</v>
      </c>
      <c r="C71" s="84" t="s">
        <v>1279</v>
      </c>
      <c r="D71" s="97" t="s">
        <v>128</v>
      </c>
      <c r="E71" s="97" t="s">
        <v>357</v>
      </c>
      <c r="F71" s="84" t="s">
        <v>1280</v>
      </c>
      <c r="G71" s="97" t="s">
        <v>154</v>
      </c>
      <c r="H71" s="97" t="s">
        <v>170</v>
      </c>
      <c r="I71" s="94">
        <v>1846546.54834</v>
      </c>
      <c r="J71" s="96">
        <v>2064</v>
      </c>
      <c r="K71" s="84"/>
      <c r="L71" s="94">
        <v>38112.720757404</v>
      </c>
      <c r="M71" s="95">
        <v>1.8808207447719799E-2</v>
      </c>
      <c r="N71" s="95">
        <f t="shared" si="1"/>
        <v>4.5310427186398524E-3</v>
      </c>
      <c r="O71" s="95">
        <f>L71/'סכום נכסי הקרן'!$C$42</f>
        <v>6.5591640725975282E-4</v>
      </c>
    </row>
    <row r="72" spans="2:15" s="132" customFormat="1">
      <c r="B72" s="87" t="s">
        <v>1281</v>
      </c>
      <c r="C72" s="84" t="s">
        <v>1282</v>
      </c>
      <c r="D72" s="97" t="s">
        <v>128</v>
      </c>
      <c r="E72" s="97" t="s">
        <v>357</v>
      </c>
      <c r="F72" s="84" t="s">
        <v>694</v>
      </c>
      <c r="G72" s="97" t="s">
        <v>197</v>
      </c>
      <c r="H72" s="97" t="s">
        <v>170</v>
      </c>
      <c r="I72" s="94">
        <v>827925.81112000009</v>
      </c>
      <c r="J72" s="96">
        <v>1099</v>
      </c>
      <c r="K72" s="84"/>
      <c r="L72" s="94">
        <v>9098.9046642060002</v>
      </c>
      <c r="M72" s="95">
        <v>5.6211185167911954E-3</v>
      </c>
      <c r="N72" s="95">
        <f t="shared" si="1"/>
        <v>1.0817261246913129E-3</v>
      </c>
      <c r="O72" s="95">
        <f>L72/'סכום נכסי הקרן'!$C$42</f>
        <v>1.5659130963998694E-4</v>
      </c>
    </row>
    <row r="73" spans="2:15" s="132" customFormat="1">
      <c r="B73" s="87" t="s">
        <v>1283</v>
      </c>
      <c r="C73" s="84" t="s">
        <v>1284</v>
      </c>
      <c r="D73" s="97" t="s">
        <v>128</v>
      </c>
      <c r="E73" s="97" t="s">
        <v>357</v>
      </c>
      <c r="F73" s="84" t="s">
        <v>1285</v>
      </c>
      <c r="G73" s="97" t="s">
        <v>159</v>
      </c>
      <c r="H73" s="97" t="s">
        <v>170</v>
      </c>
      <c r="I73" s="94">
        <v>249824.34343899999</v>
      </c>
      <c r="J73" s="96">
        <v>7901</v>
      </c>
      <c r="K73" s="84"/>
      <c r="L73" s="94">
        <v>19738.621375117</v>
      </c>
      <c r="M73" s="95">
        <v>2.2932557261458552E-2</v>
      </c>
      <c r="N73" s="95">
        <f t="shared" si="1"/>
        <v>2.3466321711062407E-3</v>
      </c>
      <c r="O73" s="95">
        <f>L73/'סכום נכסי הקרן'!$C$42</f>
        <v>3.3969985242032785E-4</v>
      </c>
    </row>
    <row r="74" spans="2:15" s="132" customFormat="1">
      <c r="B74" s="87" t="s">
        <v>1286</v>
      </c>
      <c r="C74" s="84" t="s">
        <v>1287</v>
      </c>
      <c r="D74" s="97" t="s">
        <v>128</v>
      </c>
      <c r="E74" s="97" t="s">
        <v>357</v>
      </c>
      <c r="F74" s="84" t="s">
        <v>1288</v>
      </c>
      <c r="G74" s="97" t="s">
        <v>540</v>
      </c>
      <c r="H74" s="97" t="s">
        <v>170</v>
      </c>
      <c r="I74" s="94">
        <v>151268.77438399999</v>
      </c>
      <c r="J74" s="96">
        <v>15440</v>
      </c>
      <c r="K74" s="84"/>
      <c r="L74" s="94">
        <v>23355.898764839996</v>
      </c>
      <c r="M74" s="95">
        <v>1.5843054809537748E-2</v>
      </c>
      <c r="N74" s="95">
        <f t="shared" si="1"/>
        <v>2.7766733240937491E-3</v>
      </c>
      <c r="O74" s="95">
        <f>L74/'סכום נכסי הקרן'!$C$42</f>
        <v>4.0195286250143373E-4</v>
      </c>
    </row>
    <row r="75" spans="2:15" s="132" customFormat="1">
      <c r="B75" s="87" t="s">
        <v>1289</v>
      </c>
      <c r="C75" s="84" t="s">
        <v>1290</v>
      </c>
      <c r="D75" s="97" t="s">
        <v>128</v>
      </c>
      <c r="E75" s="97" t="s">
        <v>357</v>
      </c>
      <c r="F75" s="84" t="s">
        <v>862</v>
      </c>
      <c r="G75" s="97" t="s">
        <v>197</v>
      </c>
      <c r="H75" s="97" t="s">
        <v>170</v>
      </c>
      <c r="I75" s="94">
        <v>1429447.1713</v>
      </c>
      <c r="J75" s="96">
        <v>1537</v>
      </c>
      <c r="K75" s="84"/>
      <c r="L75" s="94">
        <v>21970.603022879</v>
      </c>
      <c r="M75" s="95">
        <v>8.7085821329210382E-3</v>
      </c>
      <c r="N75" s="95">
        <f t="shared" si="1"/>
        <v>2.6119820068632471E-3</v>
      </c>
      <c r="O75" s="95">
        <f>L75/'סכום נכסי הקרן'!$C$42</f>
        <v>3.7811205061495163E-4</v>
      </c>
    </row>
    <row r="76" spans="2:15" s="132" customFormat="1">
      <c r="B76" s="87" t="s">
        <v>1291</v>
      </c>
      <c r="C76" s="84" t="s">
        <v>1292</v>
      </c>
      <c r="D76" s="97" t="s">
        <v>128</v>
      </c>
      <c r="E76" s="97" t="s">
        <v>357</v>
      </c>
      <c r="F76" s="84" t="s">
        <v>1293</v>
      </c>
      <c r="G76" s="97" t="s">
        <v>877</v>
      </c>
      <c r="H76" s="97" t="s">
        <v>170</v>
      </c>
      <c r="I76" s="94">
        <v>37094.006630999997</v>
      </c>
      <c r="J76" s="96">
        <v>29110</v>
      </c>
      <c r="K76" s="84"/>
      <c r="L76" s="94">
        <v>10798.065330190999</v>
      </c>
      <c r="M76" s="95">
        <v>1.6100730740132584E-2</v>
      </c>
      <c r="N76" s="95">
        <f t="shared" si="1"/>
        <v>1.2837313715068376E-3</v>
      </c>
      <c r="O76" s="95">
        <f>L76/'סכום נכסי הקרן'!$C$42</f>
        <v>1.8583370790601624E-4</v>
      </c>
    </row>
    <row r="77" spans="2:15" s="132" customFormat="1">
      <c r="B77" s="87" t="s">
        <v>1294</v>
      </c>
      <c r="C77" s="84" t="s">
        <v>1295</v>
      </c>
      <c r="D77" s="97" t="s">
        <v>128</v>
      </c>
      <c r="E77" s="97" t="s">
        <v>357</v>
      </c>
      <c r="F77" s="84" t="s">
        <v>1296</v>
      </c>
      <c r="G77" s="97" t="s">
        <v>1297</v>
      </c>
      <c r="H77" s="97" t="s">
        <v>170</v>
      </c>
      <c r="I77" s="94">
        <v>187631.395292</v>
      </c>
      <c r="J77" s="96">
        <v>2370</v>
      </c>
      <c r="K77" s="84"/>
      <c r="L77" s="94">
        <v>4446.8640684089996</v>
      </c>
      <c r="M77" s="95">
        <v>4.6596205247965688E-3</v>
      </c>
      <c r="N77" s="95">
        <f t="shared" si="1"/>
        <v>5.2866682455441174E-4</v>
      </c>
      <c r="O77" s="95">
        <f>L77/'סכום נכסי הקרן'!$C$42</f>
        <v>7.6530120268485154E-5</v>
      </c>
    </row>
    <row r="78" spans="2:15" s="132" customFormat="1">
      <c r="B78" s="87" t="s">
        <v>1298</v>
      </c>
      <c r="C78" s="84" t="s">
        <v>1299</v>
      </c>
      <c r="D78" s="97" t="s">
        <v>128</v>
      </c>
      <c r="E78" s="97" t="s">
        <v>357</v>
      </c>
      <c r="F78" s="84" t="s">
        <v>1300</v>
      </c>
      <c r="G78" s="97" t="s">
        <v>1170</v>
      </c>
      <c r="H78" s="97" t="s">
        <v>170</v>
      </c>
      <c r="I78" s="94">
        <v>103284.27319199999</v>
      </c>
      <c r="J78" s="96">
        <v>3797</v>
      </c>
      <c r="K78" s="84"/>
      <c r="L78" s="94">
        <v>3921.7038530860004</v>
      </c>
      <c r="M78" s="95">
        <v>2.68750856411458E-3</v>
      </c>
      <c r="N78" s="95">
        <f t="shared" si="1"/>
        <v>4.6623298822703933E-4</v>
      </c>
      <c r="O78" s="95">
        <f>L78/'סכום נכסי הקרן'!$C$42</f>
        <v>6.749216142364192E-5</v>
      </c>
    </row>
    <row r="79" spans="2:15" s="132" customFormat="1">
      <c r="B79" s="87" t="s">
        <v>1301</v>
      </c>
      <c r="C79" s="84" t="s">
        <v>1302</v>
      </c>
      <c r="D79" s="97" t="s">
        <v>128</v>
      </c>
      <c r="E79" s="97" t="s">
        <v>357</v>
      </c>
      <c r="F79" s="84" t="s">
        <v>1303</v>
      </c>
      <c r="G79" s="97" t="s">
        <v>748</v>
      </c>
      <c r="H79" s="97" t="s">
        <v>170</v>
      </c>
      <c r="I79" s="94">
        <v>244403.55107300001</v>
      </c>
      <c r="J79" s="96">
        <v>9538</v>
      </c>
      <c r="K79" s="84"/>
      <c r="L79" s="94">
        <v>23311.210701370997</v>
      </c>
      <c r="M79" s="95">
        <v>1.9431754354470442E-2</v>
      </c>
      <c r="N79" s="95">
        <f t="shared" si="1"/>
        <v>2.7713605697018448E-3</v>
      </c>
      <c r="O79" s="95">
        <f>L79/'סכום נכסי הקרן'!$C$42</f>
        <v>4.0118378505286858E-4</v>
      </c>
    </row>
    <row r="80" spans="2:15" s="132" customFormat="1">
      <c r="B80" s="87" t="s">
        <v>1304</v>
      </c>
      <c r="C80" s="84" t="s">
        <v>1305</v>
      </c>
      <c r="D80" s="97" t="s">
        <v>128</v>
      </c>
      <c r="E80" s="97" t="s">
        <v>357</v>
      </c>
      <c r="F80" s="84" t="s">
        <v>1306</v>
      </c>
      <c r="G80" s="97" t="s">
        <v>1297</v>
      </c>
      <c r="H80" s="97" t="s">
        <v>170</v>
      </c>
      <c r="I80" s="94">
        <v>1414779.0284859999</v>
      </c>
      <c r="J80" s="96">
        <v>206.6</v>
      </c>
      <c r="K80" s="84"/>
      <c r="L80" s="94">
        <v>2922.9334728520002</v>
      </c>
      <c r="M80" s="95">
        <v>4.0113308918951615E-3</v>
      </c>
      <c r="N80" s="95">
        <f t="shared" si="1"/>
        <v>3.4749385942649892E-4</v>
      </c>
      <c r="O80" s="95">
        <f>L80/'סכום נכסי הקרן'!$C$42</f>
        <v>5.0303415344597511E-5</v>
      </c>
    </row>
    <row r="81" spans="2:15" s="132" customFormat="1">
      <c r="B81" s="87" t="s">
        <v>1307</v>
      </c>
      <c r="C81" s="84" t="s">
        <v>1308</v>
      </c>
      <c r="D81" s="97" t="s">
        <v>128</v>
      </c>
      <c r="E81" s="97" t="s">
        <v>357</v>
      </c>
      <c r="F81" s="84" t="s">
        <v>529</v>
      </c>
      <c r="G81" s="97" t="s">
        <v>427</v>
      </c>
      <c r="H81" s="97" t="s">
        <v>170</v>
      </c>
      <c r="I81" s="94">
        <v>2564683.6217009998</v>
      </c>
      <c r="J81" s="96">
        <v>2064</v>
      </c>
      <c r="K81" s="84"/>
      <c r="L81" s="94">
        <v>52935.069951902005</v>
      </c>
      <c r="M81" s="95">
        <v>1.4386281753310269E-2</v>
      </c>
      <c r="N81" s="95">
        <f t="shared" si="1"/>
        <v>6.2932023350671428E-3</v>
      </c>
      <c r="O81" s="95">
        <f>L81/'סכום נכסי הקרן'!$C$42</f>
        <v>9.1100766911662065E-4</v>
      </c>
    </row>
    <row r="82" spans="2:15" s="132" customFormat="1">
      <c r="B82" s="87" t="s">
        <v>1309</v>
      </c>
      <c r="C82" s="84" t="s">
        <v>1310</v>
      </c>
      <c r="D82" s="97" t="s">
        <v>128</v>
      </c>
      <c r="E82" s="97" t="s">
        <v>357</v>
      </c>
      <c r="F82" s="84" t="s">
        <v>1311</v>
      </c>
      <c r="G82" s="97" t="s">
        <v>159</v>
      </c>
      <c r="H82" s="97" t="s">
        <v>170</v>
      </c>
      <c r="I82" s="94">
        <v>162071.34433699999</v>
      </c>
      <c r="J82" s="96">
        <v>19860</v>
      </c>
      <c r="K82" s="84"/>
      <c r="L82" s="94">
        <v>32187.368985423996</v>
      </c>
      <c r="M82" s="95">
        <v>1.1765116898282997E-2</v>
      </c>
      <c r="N82" s="95">
        <f t="shared" si="1"/>
        <v>3.8266054213735826E-3</v>
      </c>
      <c r="O82" s="95">
        <f>L82/'סכום נכסי הקרן'!$C$42</f>
        <v>5.5394165004506851E-4</v>
      </c>
    </row>
    <row r="83" spans="2:15" s="132" customFormat="1">
      <c r="B83" s="87" t="s">
        <v>1312</v>
      </c>
      <c r="C83" s="84" t="s">
        <v>1313</v>
      </c>
      <c r="D83" s="97" t="s">
        <v>128</v>
      </c>
      <c r="E83" s="97" t="s">
        <v>357</v>
      </c>
      <c r="F83" s="84" t="s">
        <v>1314</v>
      </c>
      <c r="G83" s="97" t="s">
        <v>154</v>
      </c>
      <c r="H83" s="97" t="s">
        <v>170</v>
      </c>
      <c r="I83" s="94">
        <v>17610262.476360001</v>
      </c>
      <c r="J83" s="96">
        <v>264.3</v>
      </c>
      <c r="K83" s="84"/>
      <c r="L83" s="94">
        <v>46543.923723847001</v>
      </c>
      <c r="M83" s="95">
        <v>1.5670040886967544E-2</v>
      </c>
      <c r="N83" s="95">
        <f t="shared" si="1"/>
        <v>5.5333889183153224E-3</v>
      </c>
      <c r="O83" s="95">
        <f>L83/'סכום נכסי הקרן'!$C$42</f>
        <v>8.0101663229558274E-4</v>
      </c>
    </row>
    <row r="84" spans="2:15" s="132" customFormat="1">
      <c r="B84" s="87" t="s">
        <v>1315</v>
      </c>
      <c r="C84" s="84" t="s">
        <v>1316</v>
      </c>
      <c r="D84" s="97" t="s">
        <v>128</v>
      </c>
      <c r="E84" s="97" t="s">
        <v>357</v>
      </c>
      <c r="F84" s="84" t="s">
        <v>915</v>
      </c>
      <c r="G84" s="97" t="s">
        <v>154</v>
      </c>
      <c r="H84" s="97" t="s">
        <v>170</v>
      </c>
      <c r="I84" s="94">
        <v>1877385.728437</v>
      </c>
      <c r="J84" s="96">
        <v>801</v>
      </c>
      <c r="K84" s="84"/>
      <c r="L84" s="94">
        <v>15037.85968478</v>
      </c>
      <c r="M84" s="95">
        <v>2.1214458544650865E-2</v>
      </c>
      <c r="N84" s="95">
        <f t="shared" si="1"/>
        <v>1.7877806484181131E-3</v>
      </c>
      <c r="O84" s="95">
        <f>L84/'סכום נכסי הקרן'!$C$42</f>
        <v>2.5880017750769003E-4</v>
      </c>
    </row>
    <row r="85" spans="2:15" s="132" customFormat="1">
      <c r="B85" s="83"/>
      <c r="C85" s="84"/>
      <c r="D85" s="84"/>
      <c r="E85" s="84"/>
      <c r="F85" s="84"/>
      <c r="G85" s="84"/>
      <c r="H85" s="84"/>
      <c r="I85" s="94"/>
      <c r="J85" s="96"/>
      <c r="K85" s="84"/>
      <c r="L85" s="84"/>
      <c r="M85" s="84"/>
      <c r="N85" s="95"/>
      <c r="O85" s="84"/>
    </row>
    <row r="86" spans="2:15" s="132" customFormat="1">
      <c r="B86" s="102" t="s">
        <v>31</v>
      </c>
      <c r="C86" s="82"/>
      <c r="D86" s="82"/>
      <c r="E86" s="82"/>
      <c r="F86" s="82"/>
      <c r="G86" s="82"/>
      <c r="H86" s="82"/>
      <c r="I86" s="91"/>
      <c r="J86" s="93"/>
      <c r="K86" s="82"/>
      <c r="L86" s="91">
        <v>244716.40634576595</v>
      </c>
      <c r="M86" s="82"/>
      <c r="N86" s="92">
        <f t="shared" ref="N86:N123" si="2">L86/$L$11</f>
        <v>2.9093186449809891E-2</v>
      </c>
      <c r="O86" s="92">
        <f>L86/'סכום נכסי הקרן'!$C$42</f>
        <v>4.2115467712089353E-3</v>
      </c>
    </row>
    <row r="87" spans="2:15" s="132" customFormat="1">
      <c r="B87" s="87" t="s">
        <v>1317</v>
      </c>
      <c r="C87" s="84" t="s">
        <v>1318</v>
      </c>
      <c r="D87" s="97" t="s">
        <v>128</v>
      </c>
      <c r="E87" s="97" t="s">
        <v>357</v>
      </c>
      <c r="F87" s="84" t="s">
        <v>1319</v>
      </c>
      <c r="G87" s="97" t="s">
        <v>1234</v>
      </c>
      <c r="H87" s="97" t="s">
        <v>170</v>
      </c>
      <c r="I87" s="94">
        <v>94412.934731000016</v>
      </c>
      <c r="J87" s="96">
        <v>2711</v>
      </c>
      <c r="K87" s="84"/>
      <c r="L87" s="94">
        <v>2559.5346605569998</v>
      </c>
      <c r="M87" s="95">
        <v>1.9570619472627483E-2</v>
      </c>
      <c r="N87" s="95">
        <f t="shared" si="2"/>
        <v>3.0429107805351709E-4</v>
      </c>
      <c r="O87" s="95">
        <f>L87/'סכום נכסי הקרן'!$C$42</f>
        <v>4.4049355318806961E-5</v>
      </c>
    </row>
    <row r="88" spans="2:15" s="132" customFormat="1">
      <c r="B88" s="87" t="s">
        <v>1320</v>
      </c>
      <c r="C88" s="84" t="s">
        <v>1321</v>
      </c>
      <c r="D88" s="97" t="s">
        <v>128</v>
      </c>
      <c r="E88" s="97" t="s">
        <v>357</v>
      </c>
      <c r="F88" s="84" t="s">
        <v>1322</v>
      </c>
      <c r="G88" s="97" t="s">
        <v>164</v>
      </c>
      <c r="H88" s="97" t="s">
        <v>170</v>
      </c>
      <c r="I88" s="94">
        <v>1234078.1278260001</v>
      </c>
      <c r="J88" s="96">
        <v>333.5</v>
      </c>
      <c r="K88" s="84"/>
      <c r="L88" s="94">
        <v>4115.6505562980001</v>
      </c>
      <c r="M88" s="95">
        <v>2.2442721541029938E-2</v>
      </c>
      <c r="N88" s="95">
        <f t="shared" si="2"/>
        <v>4.8929040265269978E-4</v>
      </c>
      <c r="O88" s="95">
        <f>L88/'סכום נכסי הקרן'!$C$42</f>
        <v>7.0829966288858088E-5</v>
      </c>
    </row>
    <row r="89" spans="2:15" s="132" customFormat="1">
      <c r="B89" s="87" t="s">
        <v>1323</v>
      </c>
      <c r="C89" s="84" t="s">
        <v>1324</v>
      </c>
      <c r="D89" s="97" t="s">
        <v>128</v>
      </c>
      <c r="E89" s="97" t="s">
        <v>357</v>
      </c>
      <c r="F89" s="84" t="s">
        <v>1325</v>
      </c>
      <c r="G89" s="97" t="s">
        <v>164</v>
      </c>
      <c r="H89" s="97" t="s">
        <v>170</v>
      </c>
      <c r="I89" s="94">
        <v>392822.83311000007</v>
      </c>
      <c r="J89" s="96">
        <v>1838</v>
      </c>
      <c r="K89" s="84"/>
      <c r="L89" s="94">
        <v>7220.0836725679992</v>
      </c>
      <c r="M89" s="95">
        <v>2.9591735610348315E-2</v>
      </c>
      <c r="N89" s="95">
        <f t="shared" si="2"/>
        <v>8.5836190391116085E-4</v>
      </c>
      <c r="O89" s="95">
        <f>L89/'סכום נכסי הקרן'!$C$42</f>
        <v>1.2425697374820991E-4</v>
      </c>
    </row>
    <row r="90" spans="2:15" s="132" customFormat="1">
      <c r="B90" s="87" t="s">
        <v>1326</v>
      </c>
      <c r="C90" s="84" t="s">
        <v>1327</v>
      </c>
      <c r="D90" s="97" t="s">
        <v>128</v>
      </c>
      <c r="E90" s="97" t="s">
        <v>357</v>
      </c>
      <c r="F90" s="84" t="s">
        <v>1328</v>
      </c>
      <c r="G90" s="97" t="s">
        <v>159</v>
      </c>
      <c r="H90" s="97" t="s">
        <v>170</v>
      </c>
      <c r="I90" s="94">
        <v>42415.565757999997</v>
      </c>
      <c r="J90" s="96">
        <v>8330</v>
      </c>
      <c r="K90" s="84"/>
      <c r="L90" s="94">
        <v>3533.2166276099997</v>
      </c>
      <c r="M90" s="95">
        <v>4.2267629056302941E-3</v>
      </c>
      <c r="N90" s="95">
        <f t="shared" si="2"/>
        <v>4.2004756301213452E-4</v>
      </c>
      <c r="O90" s="95">
        <f>L90/'סכום נכסי הקרן'!$C$42</f>
        <v>6.0806332122121221E-5</v>
      </c>
    </row>
    <row r="91" spans="2:15" s="132" customFormat="1">
      <c r="B91" s="87" t="s">
        <v>1329</v>
      </c>
      <c r="C91" s="84" t="s">
        <v>1330</v>
      </c>
      <c r="D91" s="97" t="s">
        <v>128</v>
      </c>
      <c r="E91" s="97" t="s">
        <v>357</v>
      </c>
      <c r="F91" s="84" t="s">
        <v>1331</v>
      </c>
      <c r="G91" s="97" t="s">
        <v>1332</v>
      </c>
      <c r="H91" s="97" t="s">
        <v>170</v>
      </c>
      <c r="I91" s="94">
        <v>5794440.283768001</v>
      </c>
      <c r="J91" s="96">
        <v>146.6</v>
      </c>
      <c r="K91" s="84"/>
      <c r="L91" s="94">
        <v>8494.6494565689991</v>
      </c>
      <c r="M91" s="95">
        <v>1.7282133905441244E-2</v>
      </c>
      <c r="N91" s="95">
        <f t="shared" si="2"/>
        <v>1.0098890554830757E-3</v>
      </c>
      <c r="O91" s="95">
        <f>L91/'סכום נכסי הקרן'!$C$42</f>
        <v>1.4619213327616721E-4</v>
      </c>
    </row>
    <row r="92" spans="2:15" s="132" customFormat="1">
      <c r="B92" s="87" t="s">
        <v>1333</v>
      </c>
      <c r="C92" s="84" t="s">
        <v>1334</v>
      </c>
      <c r="D92" s="97" t="s">
        <v>128</v>
      </c>
      <c r="E92" s="97" t="s">
        <v>357</v>
      </c>
      <c r="F92" s="84" t="s">
        <v>1335</v>
      </c>
      <c r="G92" s="97" t="s">
        <v>1227</v>
      </c>
      <c r="H92" s="97" t="s">
        <v>170</v>
      </c>
      <c r="I92" s="94">
        <v>618312.69850199996</v>
      </c>
      <c r="J92" s="96">
        <v>272.8</v>
      </c>
      <c r="K92" s="84"/>
      <c r="L92" s="94">
        <v>1686.757042643</v>
      </c>
      <c r="M92" s="95">
        <v>3.203139076592771E-2</v>
      </c>
      <c r="N92" s="95">
        <f t="shared" si="2"/>
        <v>2.0053063817799803E-4</v>
      </c>
      <c r="O92" s="95">
        <f>L92/'סכום נכסי הקרן'!$C$42</f>
        <v>2.9028933052898146E-5</v>
      </c>
    </row>
    <row r="93" spans="2:15" s="132" customFormat="1">
      <c r="B93" s="87" t="s">
        <v>1336</v>
      </c>
      <c r="C93" s="84" t="s">
        <v>1337</v>
      </c>
      <c r="D93" s="97" t="s">
        <v>128</v>
      </c>
      <c r="E93" s="97" t="s">
        <v>357</v>
      </c>
      <c r="F93" s="84" t="s">
        <v>1338</v>
      </c>
      <c r="G93" s="97" t="s">
        <v>195</v>
      </c>
      <c r="H93" s="97" t="s">
        <v>170</v>
      </c>
      <c r="I93" s="94">
        <v>371109.60530599998</v>
      </c>
      <c r="J93" s="96">
        <v>557.6</v>
      </c>
      <c r="K93" s="84"/>
      <c r="L93" s="94">
        <v>2069.3071604060001</v>
      </c>
      <c r="M93" s="95">
        <v>8.6173361432722879E-3</v>
      </c>
      <c r="N93" s="95">
        <f t="shared" si="2"/>
        <v>2.4601022848691419E-4</v>
      </c>
      <c r="O93" s="95">
        <f>L93/'סכום נכסי הקרן'!$C$42</f>
        <v>3.5612585278544017E-5</v>
      </c>
    </row>
    <row r="94" spans="2:15" s="132" customFormat="1">
      <c r="B94" s="87" t="s">
        <v>1339</v>
      </c>
      <c r="C94" s="84" t="s">
        <v>1340</v>
      </c>
      <c r="D94" s="97" t="s">
        <v>128</v>
      </c>
      <c r="E94" s="97" t="s">
        <v>357</v>
      </c>
      <c r="F94" s="84" t="s">
        <v>1341</v>
      </c>
      <c r="G94" s="97" t="s">
        <v>715</v>
      </c>
      <c r="H94" s="97" t="s">
        <v>170</v>
      </c>
      <c r="I94" s="94">
        <v>389033.59351099998</v>
      </c>
      <c r="J94" s="96">
        <v>1326</v>
      </c>
      <c r="K94" s="84"/>
      <c r="L94" s="94">
        <v>5158.585449956</v>
      </c>
      <c r="M94" s="95">
        <v>1.3897147041017048E-2</v>
      </c>
      <c r="N94" s="95">
        <f t="shared" si="2"/>
        <v>6.1328004343441937E-4</v>
      </c>
      <c r="O94" s="95">
        <f>L94/'סכום נכסי הקרן'!$C$42</f>
        <v>8.8778779568505543E-5</v>
      </c>
    </row>
    <row r="95" spans="2:15" s="132" customFormat="1">
      <c r="B95" s="87" t="s">
        <v>1342</v>
      </c>
      <c r="C95" s="84" t="s">
        <v>1343</v>
      </c>
      <c r="D95" s="97" t="s">
        <v>128</v>
      </c>
      <c r="E95" s="97" t="s">
        <v>357</v>
      </c>
      <c r="F95" s="84" t="s">
        <v>1344</v>
      </c>
      <c r="G95" s="97" t="s">
        <v>164</v>
      </c>
      <c r="H95" s="97" t="s">
        <v>170</v>
      </c>
      <c r="I95" s="94">
        <v>207681.88112500001</v>
      </c>
      <c r="J95" s="96">
        <v>1934</v>
      </c>
      <c r="K95" s="84"/>
      <c r="L95" s="94">
        <v>4016.5675809550003</v>
      </c>
      <c r="M95" s="95">
        <v>3.1219044094546188E-2</v>
      </c>
      <c r="N95" s="95">
        <f t="shared" si="2"/>
        <v>4.7751089216257407E-4</v>
      </c>
      <c r="O95" s="95">
        <f>L95/'סכום נכסי הקרן'!$C$42</f>
        <v>6.9124757426408618E-5</v>
      </c>
    </row>
    <row r="96" spans="2:15" s="132" customFormat="1">
      <c r="B96" s="87" t="s">
        <v>1345</v>
      </c>
      <c r="C96" s="84" t="s">
        <v>1346</v>
      </c>
      <c r="D96" s="97" t="s">
        <v>128</v>
      </c>
      <c r="E96" s="97" t="s">
        <v>357</v>
      </c>
      <c r="F96" s="84" t="s">
        <v>1347</v>
      </c>
      <c r="G96" s="97" t="s">
        <v>877</v>
      </c>
      <c r="H96" s="97" t="s">
        <v>170</v>
      </c>
      <c r="I96" s="94">
        <v>34517.052296000002</v>
      </c>
      <c r="J96" s="96">
        <v>0</v>
      </c>
      <c r="K96" s="84"/>
      <c r="L96" s="94">
        <v>3.3926E-5</v>
      </c>
      <c r="M96" s="95">
        <v>2.1833370524077269E-2</v>
      </c>
      <c r="N96" s="95">
        <f t="shared" si="2"/>
        <v>4.0333031129170448E-12</v>
      </c>
      <c r="O96" s="95">
        <f>L96/'סכום נכסי הקרן'!$C$42</f>
        <v>5.8386332936809423E-13</v>
      </c>
    </row>
    <row r="97" spans="2:15" s="132" customFormat="1">
      <c r="B97" s="87" t="s">
        <v>1348</v>
      </c>
      <c r="C97" s="84" t="s">
        <v>1349</v>
      </c>
      <c r="D97" s="97" t="s">
        <v>128</v>
      </c>
      <c r="E97" s="97" t="s">
        <v>357</v>
      </c>
      <c r="F97" s="84" t="s">
        <v>1350</v>
      </c>
      <c r="G97" s="97" t="s">
        <v>1332</v>
      </c>
      <c r="H97" s="97" t="s">
        <v>170</v>
      </c>
      <c r="I97" s="94">
        <v>386699.50334</v>
      </c>
      <c r="J97" s="96">
        <v>286.8</v>
      </c>
      <c r="K97" s="84"/>
      <c r="L97" s="94">
        <v>1109.054175941</v>
      </c>
      <c r="M97" s="95">
        <v>1.4279098929727172E-2</v>
      </c>
      <c r="N97" s="95">
        <f t="shared" si="2"/>
        <v>1.3185025232024064E-4</v>
      </c>
      <c r="O97" s="95">
        <f>L97/'סכום נכסי הקרן'!$C$42</f>
        <v>1.9086720026366224E-5</v>
      </c>
    </row>
    <row r="98" spans="2:15" s="132" customFormat="1">
      <c r="B98" s="87" t="s">
        <v>1351</v>
      </c>
      <c r="C98" s="84" t="s">
        <v>1352</v>
      </c>
      <c r="D98" s="97" t="s">
        <v>128</v>
      </c>
      <c r="E98" s="97" t="s">
        <v>357</v>
      </c>
      <c r="F98" s="84" t="s">
        <v>1353</v>
      </c>
      <c r="G98" s="97" t="s">
        <v>193</v>
      </c>
      <c r="H98" s="97" t="s">
        <v>170</v>
      </c>
      <c r="I98" s="94">
        <v>239221.370826</v>
      </c>
      <c r="J98" s="96">
        <v>580</v>
      </c>
      <c r="K98" s="84"/>
      <c r="L98" s="94">
        <v>1387.4839507899999</v>
      </c>
      <c r="M98" s="95">
        <v>3.9655138997079842E-2</v>
      </c>
      <c r="N98" s="95">
        <f t="shared" si="2"/>
        <v>1.6495146312102066E-4</v>
      </c>
      <c r="O98" s="95">
        <f>L98/'סכום נכסי הקרן'!$C$42</f>
        <v>2.387847075850517E-5</v>
      </c>
    </row>
    <row r="99" spans="2:15" s="132" customFormat="1">
      <c r="B99" s="87" t="s">
        <v>1354</v>
      </c>
      <c r="C99" s="84" t="s">
        <v>1355</v>
      </c>
      <c r="D99" s="97" t="s">
        <v>128</v>
      </c>
      <c r="E99" s="97" t="s">
        <v>357</v>
      </c>
      <c r="F99" s="84" t="s">
        <v>1356</v>
      </c>
      <c r="G99" s="97" t="s">
        <v>196</v>
      </c>
      <c r="H99" s="97" t="s">
        <v>170</v>
      </c>
      <c r="I99" s="94">
        <v>546616.91530999995</v>
      </c>
      <c r="J99" s="96">
        <v>266.39999999999998</v>
      </c>
      <c r="K99" s="84"/>
      <c r="L99" s="94">
        <v>1456.187461685</v>
      </c>
      <c r="M99" s="95">
        <v>3.544091190871803E-2</v>
      </c>
      <c r="N99" s="95">
        <f t="shared" si="2"/>
        <v>1.7311930148573016E-4</v>
      </c>
      <c r="O99" s="95">
        <f>L99/'סכום נכסי הקרן'!$C$42</f>
        <v>2.5060851841168374E-5</v>
      </c>
    </row>
    <row r="100" spans="2:15" s="132" customFormat="1">
      <c r="B100" s="87" t="s">
        <v>1357</v>
      </c>
      <c r="C100" s="84" t="s">
        <v>1358</v>
      </c>
      <c r="D100" s="97" t="s">
        <v>128</v>
      </c>
      <c r="E100" s="97" t="s">
        <v>357</v>
      </c>
      <c r="F100" s="84" t="s">
        <v>1359</v>
      </c>
      <c r="G100" s="97" t="s">
        <v>540</v>
      </c>
      <c r="H100" s="97" t="s">
        <v>170</v>
      </c>
      <c r="I100" s="94">
        <v>765222.48748300003</v>
      </c>
      <c r="J100" s="96">
        <v>694</v>
      </c>
      <c r="K100" s="84"/>
      <c r="L100" s="94">
        <v>5310.6440672040007</v>
      </c>
      <c r="M100" s="95">
        <v>2.2354116290308455E-2</v>
      </c>
      <c r="N100" s="95">
        <f t="shared" si="2"/>
        <v>6.3135757966893637E-4</v>
      </c>
      <c r="O100" s="95">
        <f>L100/'סכום נכסי הקרן'!$C$42</f>
        <v>9.1395694339640554E-5</v>
      </c>
    </row>
    <row r="101" spans="2:15" s="132" customFormat="1">
      <c r="B101" s="87" t="s">
        <v>1360</v>
      </c>
      <c r="C101" s="84" t="s">
        <v>1361</v>
      </c>
      <c r="D101" s="97" t="s">
        <v>128</v>
      </c>
      <c r="E101" s="97" t="s">
        <v>357</v>
      </c>
      <c r="F101" s="84" t="s">
        <v>1362</v>
      </c>
      <c r="G101" s="97" t="s">
        <v>540</v>
      </c>
      <c r="H101" s="97" t="s">
        <v>170</v>
      </c>
      <c r="I101" s="94">
        <v>477746.97811700002</v>
      </c>
      <c r="J101" s="96">
        <v>1786</v>
      </c>
      <c r="K101" s="84"/>
      <c r="L101" s="94">
        <v>8532.5610291739995</v>
      </c>
      <c r="M101" s="95">
        <v>3.1472616023487054E-2</v>
      </c>
      <c r="N101" s="95">
        <f t="shared" si="2"/>
        <v>1.0143961846407522E-3</v>
      </c>
      <c r="O101" s="95">
        <f>L101/'סכום נכסי הקרן'!$C$42</f>
        <v>1.4684458794228568E-4</v>
      </c>
    </row>
    <row r="102" spans="2:15" s="132" customFormat="1">
      <c r="B102" s="87" t="s">
        <v>1363</v>
      </c>
      <c r="C102" s="84" t="s">
        <v>1364</v>
      </c>
      <c r="D102" s="97" t="s">
        <v>128</v>
      </c>
      <c r="E102" s="97" t="s">
        <v>357</v>
      </c>
      <c r="F102" s="84" t="s">
        <v>1365</v>
      </c>
      <c r="G102" s="97" t="s">
        <v>715</v>
      </c>
      <c r="H102" s="97" t="s">
        <v>170</v>
      </c>
      <c r="I102" s="94">
        <v>25444420.199999999</v>
      </c>
      <c r="J102" s="96">
        <v>88</v>
      </c>
      <c r="K102" s="84"/>
      <c r="L102" s="94">
        <v>22391.089776000001</v>
      </c>
      <c r="M102" s="95">
        <v>2.6972046775044878E-2</v>
      </c>
      <c r="N102" s="95">
        <f t="shared" si="2"/>
        <v>2.6619717059230626E-3</v>
      </c>
      <c r="O102" s="95">
        <f>L102/'סכום נכסי הקרן'!$C$42</f>
        <v>3.8534858883438239E-4</v>
      </c>
    </row>
    <row r="103" spans="2:15" s="132" customFormat="1">
      <c r="B103" s="87" t="s">
        <v>1366</v>
      </c>
      <c r="C103" s="84" t="s">
        <v>1367</v>
      </c>
      <c r="D103" s="97" t="s">
        <v>128</v>
      </c>
      <c r="E103" s="97" t="s">
        <v>357</v>
      </c>
      <c r="F103" s="84" t="s">
        <v>1368</v>
      </c>
      <c r="G103" s="97" t="s">
        <v>154</v>
      </c>
      <c r="H103" s="97" t="s">
        <v>170</v>
      </c>
      <c r="I103" s="94">
        <v>449659.44809000002</v>
      </c>
      <c r="J103" s="96">
        <v>856.2</v>
      </c>
      <c r="K103" s="84"/>
      <c r="L103" s="94">
        <v>3849.9841945469998</v>
      </c>
      <c r="M103" s="95">
        <v>2.2481848312084395E-2</v>
      </c>
      <c r="N103" s="95">
        <f t="shared" si="2"/>
        <v>4.5770657420703402E-4</v>
      </c>
      <c r="O103" s="95">
        <f>L103/'סכום נכסי הקרן'!$C$42</f>
        <v>6.625787271835029E-5</v>
      </c>
    </row>
    <row r="104" spans="2:15" s="132" customFormat="1">
      <c r="B104" s="87" t="s">
        <v>1369</v>
      </c>
      <c r="C104" s="84" t="s">
        <v>1370</v>
      </c>
      <c r="D104" s="97" t="s">
        <v>128</v>
      </c>
      <c r="E104" s="97" t="s">
        <v>357</v>
      </c>
      <c r="F104" s="84" t="s">
        <v>1371</v>
      </c>
      <c r="G104" s="97" t="s">
        <v>748</v>
      </c>
      <c r="H104" s="97" t="s">
        <v>170</v>
      </c>
      <c r="I104" s="94">
        <v>331412.15952599997</v>
      </c>
      <c r="J104" s="96">
        <v>1814</v>
      </c>
      <c r="K104" s="84"/>
      <c r="L104" s="94">
        <v>6011.8165738030002</v>
      </c>
      <c r="M104" s="95">
        <v>2.2845840663759682E-2</v>
      </c>
      <c r="N104" s="95">
        <f t="shared" si="2"/>
        <v>7.147166922539034E-4</v>
      </c>
      <c r="O104" s="95">
        <f>L104/'סכום נכסי הקרן'!$C$42</f>
        <v>1.0346280847523756E-4</v>
      </c>
    </row>
    <row r="105" spans="2:15" s="132" customFormat="1">
      <c r="B105" s="87" t="s">
        <v>1372</v>
      </c>
      <c r="C105" s="84" t="s">
        <v>1373</v>
      </c>
      <c r="D105" s="97" t="s">
        <v>128</v>
      </c>
      <c r="E105" s="97" t="s">
        <v>357</v>
      </c>
      <c r="F105" s="84" t="s">
        <v>1374</v>
      </c>
      <c r="G105" s="97" t="s">
        <v>164</v>
      </c>
      <c r="H105" s="97" t="s">
        <v>170</v>
      </c>
      <c r="I105" s="94">
        <v>331686.959264</v>
      </c>
      <c r="J105" s="96">
        <v>610.79999999999995</v>
      </c>
      <c r="K105" s="84"/>
      <c r="L105" s="94">
        <v>2025.9439483169999</v>
      </c>
      <c r="M105" s="95">
        <v>2.8780588648565912E-2</v>
      </c>
      <c r="N105" s="95">
        <f t="shared" si="2"/>
        <v>2.4085497946537774E-4</v>
      </c>
      <c r="O105" s="95">
        <f>L105/'סכום נכסי הקרן'!$C$42</f>
        <v>3.4866308399973644E-5</v>
      </c>
    </row>
    <row r="106" spans="2:15" s="132" customFormat="1">
      <c r="B106" s="87" t="s">
        <v>1375</v>
      </c>
      <c r="C106" s="84" t="s">
        <v>1376</v>
      </c>
      <c r="D106" s="97" t="s">
        <v>128</v>
      </c>
      <c r="E106" s="97" t="s">
        <v>357</v>
      </c>
      <c r="F106" s="84" t="s">
        <v>1377</v>
      </c>
      <c r="G106" s="97" t="s">
        <v>673</v>
      </c>
      <c r="H106" s="97" t="s">
        <v>170</v>
      </c>
      <c r="I106" s="94">
        <v>139132.916811</v>
      </c>
      <c r="J106" s="96">
        <v>22180</v>
      </c>
      <c r="K106" s="84"/>
      <c r="L106" s="94">
        <v>30859.680948768997</v>
      </c>
      <c r="M106" s="95">
        <v>3.8116602307769018E-2</v>
      </c>
      <c r="N106" s="95">
        <f t="shared" si="2"/>
        <v>3.6687628141925614E-3</v>
      </c>
      <c r="O106" s="95">
        <f>L106/'סכום נכסי הקרן'!$C$42</f>
        <v>5.3109226145096433E-4</v>
      </c>
    </row>
    <row r="107" spans="2:15" s="132" customFormat="1">
      <c r="B107" s="87" t="s">
        <v>1378</v>
      </c>
      <c r="C107" s="84" t="s">
        <v>1379</v>
      </c>
      <c r="D107" s="97" t="s">
        <v>128</v>
      </c>
      <c r="E107" s="97" t="s">
        <v>357</v>
      </c>
      <c r="F107" s="84" t="s">
        <v>1380</v>
      </c>
      <c r="G107" s="97" t="s">
        <v>159</v>
      </c>
      <c r="H107" s="97" t="s">
        <v>170</v>
      </c>
      <c r="I107" s="94">
        <v>71594.944126999995</v>
      </c>
      <c r="J107" s="96">
        <v>17520</v>
      </c>
      <c r="K107" s="84"/>
      <c r="L107" s="94">
        <v>12543.434211084999</v>
      </c>
      <c r="M107" s="95">
        <v>5.6361944913329515E-3</v>
      </c>
      <c r="N107" s="95">
        <f t="shared" si="2"/>
        <v>1.4912300963933057E-3</v>
      </c>
      <c r="O107" s="95">
        <f>L107/'סכום נכסי הקרן'!$C$42</f>
        <v>2.1587134528661624E-4</v>
      </c>
    </row>
    <row r="108" spans="2:15" s="132" customFormat="1">
      <c r="B108" s="87" t="s">
        <v>1381</v>
      </c>
      <c r="C108" s="84" t="s">
        <v>1382</v>
      </c>
      <c r="D108" s="97" t="s">
        <v>128</v>
      </c>
      <c r="E108" s="97" t="s">
        <v>357</v>
      </c>
      <c r="F108" s="84" t="s">
        <v>1383</v>
      </c>
      <c r="G108" s="97" t="s">
        <v>159</v>
      </c>
      <c r="H108" s="97" t="s">
        <v>170</v>
      </c>
      <c r="I108" s="94">
        <v>343908.197002</v>
      </c>
      <c r="J108" s="96">
        <v>1481</v>
      </c>
      <c r="K108" s="84"/>
      <c r="L108" s="94">
        <v>5093.280397601</v>
      </c>
      <c r="M108" s="95">
        <v>2.3891114481907932E-2</v>
      </c>
      <c r="N108" s="95">
        <f t="shared" si="2"/>
        <v>6.0551623187536045E-4</v>
      </c>
      <c r="O108" s="95">
        <f>L108/'סכום נכסי הקרן'!$C$42</f>
        <v>8.765488564371193E-5</v>
      </c>
    </row>
    <row r="109" spans="2:15" s="132" customFormat="1">
      <c r="B109" s="87" t="s">
        <v>1384</v>
      </c>
      <c r="C109" s="84" t="s">
        <v>1385</v>
      </c>
      <c r="D109" s="97" t="s">
        <v>128</v>
      </c>
      <c r="E109" s="97" t="s">
        <v>357</v>
      </c>
      <c r="F109" s="84" t="s">
        <v>1386</v>
      </c>
      <c r="G109" s="97" t="s">
        <v>748</v>
      </c>
      <c r="H109" s="97" t="s">
        <v>170</v>
      </c>
      <c r="I109" s="94">
        <v>13976.385361999999</v>
      </c>
      <c r="J109" s="96">
        <v>13790</v>
      </c>
      <c r="K109" s="84"/>
      <c r="L109" s="94">
        <v>1927.3435405390001</v>
      </c>
      <c r="M109" s="95">
        <v>4.2036466778391877E-3</v>
      </c>
      <c r="N109" s="95">
        <f t="shared" si="2"/>
        <v>2.2913283917103426E-4</v>
      </c>
      <c r="O109" s="95">
        <f>L109/'סכום נכסי הקרן'!$C$42</f>
        <v>3.3169404480787338E-5</v>
      </c>
    </row>
    <row r="110" spans="2:15" s="132" customFormat="1">
      <c r="B110" s="87" t="s">
        <v>1387</v>
      </c>
      <c r="C110" s="84" t="s">
        <v>1388</v>
      </c>
      <c r="D110" s="97" t="s">
        <v>128</v>
      </c>
      <c r="E110" s="97" t="s">
        <v>357</v>
      </c>
      <c r="F110" s="84" t="s">
        <v>1389</v>
      </c>
      <c r="G110" s="97" t="s">
        <v>159</v>
      </c>
      <c r="H110" s="97" t="s">
        <v>170</v>
      </c>
      <c r="I110" s="94">
        <v>898827.81886999996</v>
      </c>
      <c r="J110" s="96">
        <v>546.79999999999995</v>
      </c>
      <c r="K110" s="84"/>
      <c r="L110" s="94">
        <v>4914.7905124509998</v>
      </c>
      <c r="M110" s="95">
        <v>2.2686153242089932E-2</v>
      </c>
      <c r="N110" s="95">
        <f t="shared" si="2"/>
        <v>5.8429640609573125E-4</v>
      </c>
      <c r="O110" s="95">
        <f>L110/'סכום נכסי הקרן'!$C$42</f>
        <v>8.4583091191014646E-5</v>
      </c>
    </row>
    <row r="111" spans="2:15" s="132" customFormat="1">
      <c r="B111" s="87" t="s">
        <v>1390</v>
      </c>
      <c r="C111" s="84" t="s">
        <v>1391</v>
      </c>
      <c r="D111" s="97" t="s">
        <v>128</v>
      </c>
      <c r="E111" s="97" t="s">
        <v>357</v>
      </c>
      <c r="F111" s="84" t="s">
        <v>1392</v>
      </c>
      <c r="G111" s="97" t="s">
        <v>159</v>
      </c>
      <c r="H111" s="97" t="s">
        <v>170</v>
      </c>
      <c r="I111" s="94">
        <v>1470337.4854240001</v>
      </c>
      <c r="J111" s="96">
        <v>47.4</v>
      </c>
      <c r="K111" s="84"/>
      <c r="L111" s="94">
        <v>696.93996865700012</v>
      </c>
      <c r="M111" s="95">
        <v>8.4093874225663907E-3</v>
      </c>
      <c r="N111" s="95">
        <f t="shared" si="2"/>
        <v>8.285592598893434E-5</v>
      </c>
      <c r="O111" s="95">
        <f>L111/'סכום נכסי הקרן'!$C$42</f>
        <v>1.1994272548186388E-5</v>
      </c>
    </row>
    <row r="112" spans="2:15" s="132" customFormat="1">
      <c r="B112" s="87" t="s">
        <v>1393</v>
      </c>
      <c r="C112" s="84" t="s">
        <v>1394</v>
      </c>
      <c r="D112" s="97" t="s">
        <v>128</v>
      </c>
      <c r="E112" s="97" t="s">
        <v>357</v>
      </c>
      <c r="F112" s="84" t="s">
        <v>1395</v>
      </c>
      <c r="G112" s="97" t="s">
        <v>164</v>
      </c>
      <c r="H112" s="97" t="s">
        <v>170</v>
      </c>
      <c r="I112" s="94">
        <v>6729891.3874949999</v>
      </c>
      <c r="J112" s="96">
        <v>168.9</v>
      </c>
      <c r="K112" s="84"/>
      <c r="L112" s="94">
        <v>11366.786554044002</v>
      </c>
      <c r="M112" s="95">
        <v>1.4520164107288579E-2</v>
      </c>
      <c r="N112" s="95">
        <f t="shared" si="2"/>
        <v>1.3513439719474527E-3</v>
      </c>
      <c r="O112" s="95">
        <f>L112/'סכום נכסי הקרן'!$C$42</f>
        <v>1.9562134768792721E-4</v>
      </c>
    </row>
    <row r="113" spans="2:15" s="132" customFormat="1">
      <c r="B113" s="87" t="s">
        <v>1396</v>
      </c>
      <c r="C113" s="84" t="s">
        <v>1397</v>
      </c>
      <c r="D113" s="97" t="s">
        <v>128</v>
      </c>
      <c r="E113" s="97" t="s">
        <v>357</v>
      </c>
      <c r="F113" s="84" t="s">
        <v>1398</v>
      </c>
      <c r="G113" s="97" t="s">
        <v>1203</v>
      </c>
      <c r="H113" s="97" t="s">
        <v>170</v>
      </c>
      <c r="I113" s="94">
        <v>165098.28607100001</v>
      </c>
      <c r="J113" s="96">
        <v>1998</v>
      </c>
      <c r="K113" s="84"/>
      <c r="L113" s="94">
        <v>3298.663756595</v>
      </c>
      <c r="M113" s="95">
        <v>1.5677741864297528E-2</v>
      </c>
      <c r="N113" s="95">
        <f t="shared" si="2"/>
        <v>3.9216267163653978E-4</v>
      </c>
      <c r="O113" s="95">
        <f>L113/'סכום נכסי הקרן'!$C$42</f>
        <v>5.6769698856081516E-5</v>
      </c>
    </row>
    <row r="114" spans="2:15" s="132" customFormat="1">
      <c r="B114" s="87" t="s">
        <v>1399</v>
      </c>
      <c r="C114" s="84" t="s">
        <v>1400</v>
      </c>
      <c r="D114" s="97" t="s">
        <v>128</v>
      </c>
      <c r="E114" s="97" t="s">
        <v>357</v>
      </c>
      <c r="F114" s="84" t="s">
        <v>1401</v>
      </c>
      <c r="G114" s="97" t="s">
        <v>715</v>
      </c>
      <c r="H114" s="97" t="s">
        <v>170</v>
      </c>
      <c r="I114" s="94">
        <v>87783.249690000011</v>
      </c>
      <c r="J114" s="96">
        <v>30690</v>
      </c>
      <c r="K114" s="84"/>
      <c r="L114" s="94">
        <v>26940.679329860999</v>
      </c>
      <c r="M114" s="95">
        <v>1.1392741554362509E-2</v>
      </c>
      <c r="N114" s="95">
        <f t="shared" si="2"/>
        <v>3.2028510819203048E-3</v>
      </c>
      <c r="O114" s="95">
        <f>L114/'סכום נכסי הקרן'!$C$42</f>
        <v>4.6364660522816843E-4</v>
      </c>
    </row>
    <row r="115" spans="2:15" s="132" customFormat="1">
      <c r="B115" s="87" t="s">
        <v>1402</v>
      </c>
      <c r="C115" s="84" t="s">
        <v>1403</v>
      </c>
      <c r="D115" s="97" t="s">
        <v>128</v>
      </c>
      <c r="E115" s="97" t="s">
        <v>357</v>
      </c>
      <c r="F115" s="84" t="s">
        <v>1404</v>
      </c>
      <c r="G115" s="97" t="s">
        <v>673</v>
      </c>
      <c r="H115" s="97" t="s">
        <v>170</v>
      </c>
      <c r="I115" s="94">
        <v>4323.5809049999998</v>
      </c>
      <c r="J115" s="96">
        <v>60.8</v>
      </c>
      <c r="K115" s="84"/>
      <c r="L115" s="94">
        <v>2.6287365570000003</v>
      </c>
      <c r="M115" s="95">
        <v>6.3066383876079167E-4</v>
      </c>
      <c r="N115" s="95">
        <f t="shared" si="2"/>
        <v>3.1251816713986136E-7</v>
      </c>
      <c r="O115" s="95">
        <f>L115/'סכום נכסי הקרן'!$C$42</f>
        <v>4.5240313570761105E-8</v>
      </c>
    </row>
    <row r="116" spans="2:15" s="132" customFormat="1">
      <c r="B116" s="87" t="s">
        <v>1405</v>
      </c>
      <c r="C116" s="84" t="s">
        <v>1406</v>
      </c>
      <c r="D116" s="97" t="s">
        <v>128</v>
      </c>
      <c r="E116" s="97" t="s">
        <v>357</v>
      </c>
      <c r="F116" s="84" t="s">
        <v>1407</v>
      </c>
      <c r="G116" s="97" t="s">
        <v>540</v>
      </c>
      <c r="H116" s="97" t="s">
        <v>170</v>
      </c>
      <c r="I116" s="94">
        <v>208731.039384</v>
      </c>
      <c r="J116" s="96">
        <v>615</v>
      </c>
      <c r="K116" s="84"/>
      <c r="L116" s="94">
        <v>1283.695892214</v>
      </c>
      <c r="M116" s="95">
        <v>1.5902865342112563E-2</v>
      </c>
      <c r="N116" s="95">
        <f t="shared" si="2"/>
        <v>1.5261258734025672E-4</v>
      </c>
      <c r="O116" s="95">
        <f>L116/'סכום נכסי הקרן'!$C$42</f>
        <v>2.2092287847792617E-5</v>
      </c>
    </row>
    <row r="117" spans="2:15" s="132" customFormat="1">
      <c r="B117" s="87" t="s">
        <v>1408</v>
      </c>
      <c r="C117" s="84" t="s">
        <v>1409</v>
      </c>
      <c r="D117" s="97" t="s">
        <v>128</v>
      </c>
      <c r="E117" s="97" t="s">
        <v>357</v>
      </c>
      <c r="F117" s="84" t="s">
        <v>1410</v>
      </c>
      <c r="G117" s="97" t="s">
        <v>540</v>
      </c>
      <c r="H117" s="97" t="s">
        <v>170</v>
      </c>
      <c r="I117" s="94">
        <v>457947.826612</v>
      </c>
      <c r="J117" s="96">
        <v>1782</v>
      </c>
      <c r="K117" s="84"/>
      <c r="L117" s="94">
        <v>8160.63027023</v>
      </c>
      <c r="M117" s="95">
        <v>1.7801327788741182E-2</v>
      </c>
      <c r="N117" s="95">
        <f t="shared" si="2"/>
        <v>9.7017908012390864E-4</v>
      </c>
      <c r="O117" s="95">
        <f>L117/'סכום נכסי הקרן'!$C$42</f>
        <v>1.4044369390197898E-4</v>
      </c>
    </row>
    <row r="118" spans="2:15" s="132" customFormat="1">
      <c r="B118" s="87" t="s">
        <v>1411</v>
      </c>
      <c r="C118" s="84" t="s">
        <v>1412</v>
      </c>
      <c r="D118" s="97" t="s">
        <v>128</v>
      </c>
      <c r="E118" s="97" t="s">
        <v>357</v>
      </c>
      <c r="F118" s="84" t="s">
        <v>1413</v>
      </c>
      <c r="G118" s="97" t="s">
        <v>165</v>
      </c>
      <c r="H118" s="97" t="s">
        <v>170</v>
      </c>
      <c r="I118" s="94">
        <v>3518594.3695669998</v>
      </c>
      <c r="J118" s="96">
        <v>299.3</v>
      </c>
      <c r="K118" s="84"/>
      <c r="L118" s="94">
        <v>10531.152949527999</v>
      </c>
      <c r="M118" s="95">
        <v>2.1778829569479768E-2</v>
      </c>
      <c r="N118" s="95">
        <f t="shared" si="2"/>
        <v>1.2519994097133999E-3</v>
      </c>
      <c r="O118" s="95">
        <f>L118/'סכום נכסי הקרן'!$C$42</f>
        <v>1.8124017046501338E-4</v>
      </c>
    </row>
    <row r="119" spans="2:15" s="132" customFormat="1">
      <c r="B119" s="87" t="s">
        <v>1414</v>
      </c>
      <c r="C119" s="84" t="s">
        <v>1415</v>
      </c>
      <c r="D119" s="97" t="s">
        <v>128</v>
      </c>
      <c r="E119" s="97" t="s">
        <v>357</v>
      </c>
      <c r="F119" s="84" t="s">
        <v>1416</v>
      </c>
      <c r="G119" s="97" t="s">
        <v>197</v>
      </c>
      <c r="H119" s="97" t="s">
        <v>170</v>
      </c>
      <c r="I119" s="94">
        <v>203074.74477399996</v>
      </c>
      <c r="J119" s="96">
        <v>1448</v>
      </c>
      <c r="K119" s="84"/>
      <c r="L119" s="94">
        <v>2940.5223043280002</v>
      </c>
      <c r="M119" s="95">
        <v>2.2959194907557677E-2</v>
      </c>
      <c r="N119" s="95">
        <f t="shared" si="2"/>
        <v>3.4958491315357327E-4</v>
      </c>
      <c r="O119" s="95">
        <f>L119/'סכום נכסי הקרן'!$C$42</f>
        <v>5.0606117511232884E-5</v>
      </c>
    </row>
    <row r="120" spans="2:15" s="132" customFormat="1">
      <c r="B120" s="87" t="s">
        <v>1417</v>
      </c>
      <c r="C120" s="84" t="s">
        <v>1418</v>
      </c>
      <c r="D120" s="97" t="s">
        <v>128</v>
      </c>
      <c r="E120" s="97" t="s">
        <v>357</v>
      </c>
      <c r="F120" s="84" t="s">
        <v>1419</v>
      </c>
      <c r="G120" s="97" t="s">
        <v>193</v>
      </c>
      <c r="H120" s="97" t="s">
        <v>170</v>
      </c>
      <c r="I120" s="94">
        <v>106306.21651</v>
      </c>
      <c r="J120" s="96">
        <v>4178</v>
      </c>
      <c r="K120" s="84"/>
      <c r="L120" s="94">
        <v>4441.4737245320002</v>
      </c>
      <c r="M120" s="95">
        <v>1.2889304746939424E-2</v>
      </c>
      <c r="N120" s="95">
        <f t="shared" si="2"/>
        <v>5.2802599183794673E-4</v>
      </c>
      <c r="O120" s="95">
        <f>L120/'סכום נכסי הקרן'!$C$42</f>
        <v>7.6437352947773493E-5</v>
      </c>
    </row>
    <row r="121" spans="2:15" s="132" customFormat="1">
      <c r="B121" s="87" t="s">
        <v>1420</v>
      </c>
      <c r="C121" s="84" t="s">
        <v>1421</v>
      </c>
      <c r="D121" s="97" t="s">
        <v>128</v>
      </c>
      <c r="E121" s="97" t="s">
        <v>357</v>
      </c>
      <c r="F121" s="84" t="s">
        <v>1422</v>
      </c>
      <c r="G121" s="97" t="s">
        <v>540</v>
      </c>
      <c r="H121" s="97" t="s">
        <v>170</v>
      </c>
      <c r="I121" s="94">
        <v>2340813.7177289999</v>
      </c>
      <c r="J121" s="96">
        <v>1023</v>
      </c>
      <c r="K121" s="84"/>
      <c r="L121" s="94">
        <v>23946.524332364999</v>
      </c>
      <c r="M121" s="95">
        <v>2.7577836895522373E-2</v>
      </c>
      <c r="N121" s="95">
        <f t="shared" si="2"/>
        <v>2.8468900292775898E-3</v>
      </c>
      <c r="O121" s="95">
        <f>L121/'סכום נכסי הקרן'!$C$42</f>
        <v>4.1211747401664531E-4</v>
      </c>
    </row>
    <row r="122" spans="2:15" s="132" customFormat="1">
      <c r="B122" s="87" t="s">
        <v>1423</v>
      </c>
      <c r="C122" s="84" t="s">
        <v>1424</v>
      </c>
      <c r="D122" s="97" t="s">
        <v>128</v>
      </c>
      <c r="E122" s="97" t="s">
        <v>357</v>
      </c>
      <c r="F122" s="84" t="s">
        <v>1425</v>
      </c>
      <c r="G122" s="97" t="s">
        <v>540</v>
      </c>
      <c r="H122" s="97" t="s">
        <v>170</v>
      </c>
      <c r="I122" s="94">
        <v>554290.29654200003</v>
      </c>
      <c r="J122" s="96">
        <v>820.3</v>
      </c>
      <c r="K122" s="84"/>
      <c r="L122" s="94">
        <v>4546.8433036630004</v>
      </c>
      <c r="M122" s="95">
        <v>3.2999686937568898E-2</v>
      </c>
      <c r="N122" s="95">
        <f t="shared" si="2"/>
        <v>5.4055288718416557E-4</v>
      </c>
      <c r="O122" s="95">
        <f>L122/'סכום נכסי הקרן'!$C$42</f>
        <v>7.8250753681297661E-5</v>
      </c>
    </row>
    <row r="123" spans="2:15" s="132" customFormat="1">
      <c r="B123" s="87" t="s">
        <v>1426</v>
      </c>
      <c r="C123" s="84" t="s">
        <v>1427</v>
      </c>
      <c r="D123" s="97" t="s">
        <v>128</v>
      </c>
      <c r="E123" s="97" t="s">
        <v>357</v>
      </c>
      <c r="F123" s="84" t="s">
        <v>1428</v>
      </c>
      <c r="G123" s="97" t="s">
        <v>877</v>
      </c>
      <c r="H123" s="97" t="s">
        <v>170</v>
      </c>
      <c r="I123" s="94">
        <v>2864884.241831</v>
      </c>
      <c r="J123" s="96">
        <v>10.199999999999999</v>
      </c>
      <c r="K123" s="84"/>
      <c r="L123" s="94">
        <v>292.21819379800002</v>
      </c>
      <c r="M123" s="95">
        <v>6.9577500232395808E-3</v>
      </c>
      <c r="N123" s="95">
        <f t="shared" si="2"/>
        <v>3.4740451296836343E-5</v>
      </c>
      <c r="O123" s="95">
        <f>L123/'סכום נכסי הקרן'!$C$42</f>
        <v>5.0290481498800712E-6</v>
      </c>
    </row>
    <row r="124" spans="2:15" s="132" customFormat="1">
      <c r="B124" s="83"/>
      <c r="C124" s="84"/>
      <c r="D124" s="84"/>
      <c r="E124" s="84"/>
      <c r="F124" s="84"/>
      <c r="G124" s="84"/>
      <c r="H124" s="84"/>
      <c r="I124" s="94"/>
      <c r="J124" s="96"/>
      <c r="K124" s="84"/>
      <c r="L124" s="84"/>
      <c r="M124" s="84"/>
      <c r="N124" s="95"/>
      <c r="O124" s="84"/>
    </row>
    <row r="125" spans="2:15" s="132" customFormat="1">
      <c r="B125" s="81" t="s">
        <v>242</v>
      </c>
      <c r="C125" s="82"/>
      <c r="D125" s="82"/>
      <c r="E125" s="82"/>
      <c r="F125" s="82"/>
      <c r="G125" s="82"/>
      <c r="H125" s="82"/>
      <c r="I125" s="91"/>
      <c r="J125" s="93"/>
      <c r="K125" s="91">
        <v>909.98490584099989</v>
      </c>
      <c r="L125" s="91">
        <v>2568027.0895094159</v>
      </c>
      <c r="M125" s="82"/>
      <c r="N125" s="92">
        <f t="shared" ref="N125:N153" si="3">L125/$L$11</f>
        <v>0.30530070312366997</v>
      </c>
      <c r="O125" s="92">
        <f>L125/'סכום נכסי הקרן'!$C$42</f>
        <v>4.4195509237411564E-2</v>
      </c>
    </row>
    <row r="126" spans="2:15" s="132" customFormat="1">
      <c r="B126" s="102" t="s">
        <v>69</v>
      </c>
      <c r="C126" s="82"/>
      <c r="D126" s="82"/>
      <c r="E126" s="82"/>
      <c r="F126" s="82"/>
      <c r="G126" s="82"/>
      <c r="H126" s="82"/>
      <c r="I126" s="91"/>
      <c r="J126" s="93"/>
      <c r="K126" s="91">
        <v>330.33842195699998</v>
      </c>
      <c r="L126" s="91">
        <f>SUM(L127:L153)</f>
        <v>956475.253982972</v>
      </c>
      <c r="M126" s="82"/>
      <c r="N126" s="92">
        <f t="shared" si="3"/>
        <v>0.11371085949766085</v>
      </c>
      <c r="O126" s="92">
        <f>L126/'סכום נכסי הקרן'!$C$42</f>
        <v>1.6460850859184448E-2</v>
      </c>
    </row>
    <row r="127" spans="2:15" s="132" customFormat="1">
      <c r="B127" s="87" t="s">
        <v>1429</v>
      </c>
      <c r="C127" s="84" t="s">
        <v>1430</v>
      </c>
      <c r="D127" s="97" t="s">
        <v>1431</v>
      </c>
      <c r="E127" s="97" t="s">
        <v>922</v>
      </c>
      <c r="F127" s="84" t="s">
        <v>1215</v>
      </c>
      <c r="G127" s="97" t="s">
        <v>198</v>
      </c>
      <c r="H127" s="97" t="s">
        <v>169</v>
      </c>
      <c r="I127" s="94">
        <v>569791.88547500002</v>
      </c>
      <c r="J127" s="96">
        <v>850</v>
      </c>
      <c r="K127" s="84"/>
      <c r="L127" s="94">
        <v>16738.20642545</v>
      </c>
      <c r="M127" s="95">
        <v>1.6606703376854222E-2</v>
      </c>
      <c r="N127" s="95">
        <f t="shared" si="3"/>
        <v>1.989926902093249E-3</v>
      </c>
      <c r="O127" s="95">
        <f>L127/'סכום נכסי הקרן'!$C$42</f>
        <v>2.8806298800959927E-4</v>
      </c>
    </row>
    <row r="128" spans="2:15" s="132" customFormat="1">
      <c r="B128" s="87" t="s">
        <v>1432</v>
      </c>
      <c r="C128" s="84" t="s">
        <v>1433</v>
      </c>
      <c r="D128" s="97" t="s">
        <v>1431</v>
      </c>
      <c r="E128" s="97" t="s">
        <v>922</v>
      </c>
      <c r="F128" s="84" t="s">
        <v>1434</v>
      </c>
      <c r="G128" s="97" t="s">
        <v>1011</v>
      </c>
      <c r="H128" s="97" t="s">
        <v>169</v>
      </c>
      <c r="I128" s="94">
        <v>258920.723661</v>
      </c>
      <c r="J128" s="96">
        <v>1507</v>
      </c>
      <c r="K128" s="84"/>
      <c r="L128" s="94">
        <v>13485.088415667</v>
      </c>
      <c r="M128" s="95">
        <v>7.527822181457455E-3</v>
      </c>
      <c r="N128" s="95">
        <f t="shared" si="3"/>
        <v>1.603178950800899E-3</v>
      </c>
      <c r="O128" s="95">
        <f>L128/'סכום נכסי הקרן'!$C$42</f>
        <v>2.3207712725327047E-4</v>
      </c>
    </row>
    <row r="129" spans="2:15" s="132" customFormat="1">
      <c r="B129" s="87" t="s">
        <v>1435</v>
      </c>
      <c r="C129" s="84" t="s">
        <v>1436</v>
      </c>
      <c r="D129" s="97" t="s">
        <v>1431</v>
      </c>
      <c r="E129" s="97" t="s">
        <v>922</v>
      </c>
      <c r="F129" s="84" t="s">
        <v>1300</v>
      </c>
      <c r="G129" s="97" t="s">
        <v>1170</v>
      </c>
      <c r="H129" s="97" t="s">
        <v>169</v>
      </c>
      <c r="I129" s="94">
        <v>252144.30913000004</v>
      </c>
      <c r="J129" s="96">
        <v>1083</v>
      </c>
      <c r="K129" s="84"/>
      <c r="L129" s="94">
        <v>9437.3782327320005</v>
      </c>
      <c r="M129" s="95">
        <v>6.532803969433198E-3</v>
      </c>
      <c r="N129" s="95">
        <f t="shared" si="3"/>
        <v>1.121965660668913E-3</v>
      </c>
      <c r="O129" s="95">
        <f>L129/'סכום נכסי הקרן'!$C$42</f>
        <v>1.6241640852057089E-4</v>
      </c>
    </row>
    <row r="130" spans="2:15" s="132" customFormat="1">
      <c r="B130" s="87" t="s">
        <v>1437</v>
      </c>
      <c r="C130" s="84" t="s">
        <v>1438</v>
      </c>
      <c r="D130" s="97" t="s">
        <v>1431</v>
      </c>
      <c r="E130" s="97" t="s">
        <v>922</v>
      </c>
      <c r="F130" s="84" t="s">
        <v>1439</v>
      </c>
      <c r="G130" s="97" t="s">
        <v>941</v>
      </c>
      <c r="H130" s="97" t="s">
        <v>169</v>
      </c>
      <c r="I130" s="94">
        <v>94047.948659000001</v>
      </c>
      <c r="J130" s="96">
        <v>11096</v>
      </c>
      <c r="K130" s="84"/>
      <c r="L130" s="94">
        <v>36065.296686098001</v>
      </c>
      <c r="M130" s="95">
        <v>6.1776308853415366E-4</v>
      </c>
      <c r="N130" s="95">
        <f t="shared" si="3"/>
        <v>4.2876340680397295E-3</v>
      </c>
      <c r="O130" s="95">
        <f>L130/'סכום נכסי הקרן'!$C$42</f>
        <v>6.2068042792528665E-4</v>
      </c>
    </row>
    <row r="131" spans="2:15" s="132" customFormat="1">
      <c r="B131" s="87" t="s">
        <v>1440</v>
      </c>
      <c r="C131" s="84" t="s">
        <v>1441</v>
      </c>
      <c r="D131" s="97" t="s">
        <v>1431</v>
      </c>
      <c r="E131" s="97" t="s">
        <v>922</v>
      </c>
      <c r="F131" s="84" t="s">
        <v>940</v>
      </c>
      <c r="G131" s="97" t="s">
        <v>941</v>
      </c>
      <c r="H131" s="97" t="s">
        <v>169</v>
      </c>
      <c r="I131" s="94">
        <v>60501.176919999998</v>
      </c>
      <c r="J131" s="96">
        <v>11658</v>
      </c>
      <c r="K131" s="84"/>
      <c r="L131" s="94">
        <v>24375.953221633001</v>
      </c>
      <c r="M131" s="95">
        <v>1.5972352822779922E-3</v>
      </c>
      <c r="N131" s="95">
        <f t="shared" si="3"/>
        <v>2.8979428169879345E-3</v>
      </c>
      <c r="O131" s="95">
        <f>L131/'סכום נכסי הקרן'!$C$42</f>
        <v>4.1950790557400126E-4</v>
      </c>
    </row>
    <row r="132" spans="2:15" s="132" customFormat="1">
      <c r="B132" s="87" t="s">
        <v>1442</v>
      </c>
      <c r="C132" s="84" t="s">
        <v>1443</v>
      </c>
      <c r="D132" s="97" t="s">
        <v>1431</v>
      </c>
      <c r="E132" s="97" t="s">
        <v>922</v>
      </c>
      <c r="F132" s="84" t="s">
        <v>737</v>
      </c>
      <c r="G132" s="97" t="s">
        <v>738</v>
      </c>
      <c r="H132" s="97" t="s">
        <v>169</v>
      </c>
      <c r="I132" s="94">
        <v>1979.01046</v>
      </c>
      <c r="J132" s="96">
        <v>15506</v>
      </c>
      <c r="K132" s="84"/>
      <c r="L132" s="94">
        <v>1060.5266908219999</v>
      </c>
      <c r="M132" s="95">
        <v>4.4812414390682437E-5</v>
      </c>
      <c r="N132" s="95">
        <f t="shared" si="3"/>
        <v>1.2608104708553868E-4</v>
      </c>
      <c r="O132" s="95">
        <f>L132/'סכום נכסי הקרן'!$C$42</f>
        <v>1.8251566485499628E-5</v>
      </c>
    </row>
    <row r="133" spans="2:15" s="132" customFormat="1">
      <c r="B133" s="87" t="s">
        <v>1444</v>
      </c>
      <c r="C133" s="84" t="s">
        <v>1445</v>
      </c>
      <c r="D133" s="97" t="s">
        <v>1446</v>
      </c>
      <c r="E133" s="97" t="s">
        <v>922</v>
      </c>
      <c r="F133" s="84" t="s">
        <v>1447</v>
      </c>
      <c r="G133" s="97" t="s">
        <v>924</v>
      </c>
      <c r="H133" s="97" t="s">
        <v>169</v>
      </c>
      <c r="I133" s="94">
        <v>1000</v>
      </c>
      <c r="J133" s="96">
        <v>1845.5</v>
      </c>
      <c r="K133" s="84"/>
      <c r="L133" s="94">
        <v>63.780480000000004</v>
      </c>
      <c r="M133" s="95">
        <v>9.3640902496035713E-5</v>
      </c>
      <c r="N133" s="95">
        <f t="shared" si="3"/>
        <v>7.5825622981590333E-6</v>
      </c>
      <c r="O133" s="95">
        <f>L133/'סכום נכסי הקרן'!$C$42</f>
        <v>1.0976561752489286E-6</v>
      </c>
    </row>
    <row r="134" spans="2:15" s="132" customFormat="1">
      <c r="B134" s="87" t="s">
        <v>1448</v>
      </c>
      <c r="C134" s="84" t="s">
        <v>1449</v>
      </c>
      <c r="D134" s="97" t="s">
        <v>131</v>
      </c>
      <c r="E134" s="97" t="s">
        <v>922</v>
      </c>
      <c r="F134" s="84" t="s">
        <v>1151</v>
      </c>
      <c r="G134" s="97" t="s">
        <v>154</v>
      </c>
      <c r="H134" s="97" t="s">
        <v>172</v>
      </c>
      <c r="I134" s="94">
        <v>938133.79376399994</v>
      </c>
      <c r="J134" s="96">
        <v>930</v>
      </c>
      <c r="K134" s="84"/>
      <c r="L134" s="94">
        <v>39781.760533620996</v>
      </c>
      <c r="M134" s="95">
        <v>5.2975150516005451E-3</v>
      </c>
      <c r="N134" s="95">
        <f t="shared" si="3"/>
        <v>4.7294670340616053E-3</v>
      </c>
      <c r="O134" s="95">
        <f>L134/'סכום נכסי הקרן'!$C$42</f>
        <v>6.8464042779237783E-4</v>
      </c>
    </row>
    <row r="135" spans="2:15" s="132" customFormat="1">
      <c r="B135" s="87" t="s">
        <v>1450</v>
      </c>
      <c r="C135" s="84" t="s">
        <v>1451</v>
      </c>
      <c r="D135" s="97" t="s">
        <v>1446</v>
      </c>
      <c r="E135" s="97" t="s">
        <v>922</v>
      </c>
      <c r="F135" s="84" t="s">
        <v>1452</v>
      </c>
      <c r="G135" s="97" t="s">
        <v>1453</v>
      </c>
      <c r="H135" s="97" t="s">
        <v>169</v>
      </c>
      <c r="I135" s="94">
        <v>125688.08517799999</v>
      </c>
      <c r="J135" s="96">
        <v>2350</v>
      </c>
      <c r="K135" s="84"/>
      <c r="L135" s="94">
        <v>10207.883527489999</v>
      </c>
      <c r="M135" s="95">
        <v>3.9543609387001164E-3</v>
      </c>
      <c r="N135" s="95">
        <f t="shared" si="3"/>
        <v>1.2135674234427885E-3</v>
      </c>
      <c r="O135" s="95">
        <f>L135/'סכום נכסי הקרן'!$C$42</f>
        <v>1.7567673354247591E-4</v>
      </c>
    </row>
    <row r="136" spans="2:15" s="132" customFormat="1">
      <c r="B136" s="87" t="s">
        <v>1454</v>
      </c>
      <c r="C136" s="84" t="s">
        <v>1455</v>
      </c>
      <c r="D136" s="97" t="s">
        <v>1446</v>
      </c>
      <c r="E136" s="97" t="s">
        <v>922</v>
      </c>
      <c r="F136" s="84">
        <v>1760</v>
      </c>
      <c r="G136" s="97" t="s">
        <v>748</v>
      </c>
      <c r="H136" s="97" t="s">
        <v>169</v>
      </c>
      <c r="I136" s="94">
        <v>94144.354739999995</v>
      </c>
      <c r="J136" s="96">
        <v>12902</v>
      </c>
      <c r="K136" s="94">
        <v>244.022167486</v>
      </c>
      <c r="L136" s="94">
        <v>42222.342232891002</v>
      </c>
      <c r="M136" s="95">
        <v>8.8169775045983552E-4</v>
      </c>
      <c r="N136" s="95">
        <f t="shared" si="3"/>
        <v>5.0196163521360635E-3</v>
      </c>
      <c r="O136" s="95">
        <f>L136/'סכום נכסי הקרן'!$C$42</f>
        <v>7.2664261362420668E-4</v>
      </c>
    </row>
    <row r="137" spans="2:15" s="132" customFormat="1">
      <c r="B137" s="87" t="s">
        <v>1456</v>
      </c>
      <c r="C137" s="84" t="s">
        <v>1457</v>
      </c>
      <c r="D137" s="97" t="s">
        <v>1431</v>
      </c>
      <c r="E137" s="97" t="s">
        <v>922</v>
      </c>
      <c r="F137" s="84" t="s">
        <v>1458</v>
      </c>
      <c r="G137" s="97" t="s">
        <v>1002</v>
      </c>
      <c r="H137" s="97" t="s">
        <v>169</v>
      </c>
      <c r="I137" s="94">
        <v>104065.699608</v>
      </c>
      <c r="J137" s="96">
        <v>2513</v>
      </c>
      <c r="K137" s="94">
        <v>86.316254470999993</v>
      </c>
      <c r="L137" s="94">
        <v>9124.3473372220014</v>
      </c>
      <c r="M137" s="95">
        <v>4.4329622577749476E-3</v>
      </c>
      <c r="N137" s="95">
        <f t="shared" si="3"/>
        <v>1.084750884824437E-3</v>
      </c>
      <c r="O137" s="95">
        <f>L137/'סכום נכסי הקרן'!$C$42</f>
        <v>1.57029175694787E-4</v>
      </c>
    </row>
    <row r="138" spans="2:15" s="132" customFormat="1">
      <c r="B138" s="87" t="s">
        <v>1459</v>
      </c>
      <c r="C138" s="84" t="s">
        <v>1460</v>
      </c>
      <c r="D138" s="97" t="s">
        <v>1431</v>
      </c>
      <c r="E138" s="97" t="s">
        <v>922</v>
      </c>
      <c r="F138" s="84" t="s">
        <v>1296</v>
      </c>
      <c r="G138" s="97" t="s">
        <v>1297</v>
      </c>
      <c r="H138" s="97" t="s">
        <v>169</v>
      </c>
      <c r="I138" s="94">
        <v>130522.52501599999</v>
      </c>
      <c r="J138" s="96">
        <v>683</v>
      </c>
      <c r="K138" s="84"/>
      <c r="L138" s="94">
        <v>3080.916331419</v>
      </c>
      <c r="M138" s="95">
        <v>3.241384180756866E-3</v>
      </c>
      <c r="N138" s="95">
        <f t="shared" si="3"/>
        <v>3.6627570094173244E-4</v>
      </c>
      <c r="O138" s="95">
        <f>L138/'סכום נכסי הקרן'!$C$42</f>
        <v>5.3022285762153871E-5</v>
      </c>
    </row>
    <row r="139" spans="2:15" s="132" customFormat="1">
      <c r="B139" s="87" t="s">
        <v>1461</v>
      </c>
      <c r="C139" s="84" t="s">
        <v>1462</v>
      </c>
      <c r="D139" s="97" t="s">
        <v>1431</v>
      </c>
      <c r="E139" s="97" t="s">
        <v>922</v>
      </c>
      <c r="F139" s="84" t="s">
        <v>1463</v>
      </c>
      <c r="G139" s="97" t="s">
        <v>30</v>
      </c>
      <c r="H139" s="97" t="s">
        <v>169</v>
      </c>
      <c r="I139" s="94">
        <v>494765.33721000003</v>
      </c>
      <c r="J139" s="96">
        <v>3423</v>
      </c>
      <c r="K139" s="84"/>
      <c r="L139" s="94">
        <v>58530.185254889999</v>
      </c>
      <c r="M139" s="95">
        <v>1.225422646772909E-2</v>
      </c>
      <c r="N139" s="95">
        <f t="shared" si="3"/>
        <v>6.9583793665082584E-3</v>
      </c>
      <c r="O139" s="95">
        <f>L139/'סכום נכסי הקרן'!$C$42</f>
        <v>1.0072990871735959E-3</v>
      </c>
    </row>
    <row r="140" spans="2:15" s="132" customFormat="1">
      <c r="B140" s="87" t="s">
        <v>1464</v>
      </c>
      <c r="C140" s="84" t="s">
        <v>1465</v>
      </c>
      <c r="D140" s="97" t="s">
        <v>1431</v>
      </c>
      <c r="E140" s="97" t="s">
        <v>922</v>
      </c>
      <c r="F140" s="84" t="s">
        <v>1466</v>
      </c>
      <c r="G140" s="97" t="s">
        <v>959</v>
      </c>
      <c r="H140" s="97" t="s">
        <v>169</v>
      </c>
      <c r="I140" s="94">
        <v>539736.08818700002</v>
      </c>
      <c r="J140" s="96">
        <v>310</v>
      </c>
      <c r="K140" s="84"/>
      <c r="L140" s="94">
        <v>5782.5165534990001</v>
      </c>
      <c r="M140" s="95">
        <v>1.9858688157614091E-2</v>
      </c>
      <c r="N140" s="95">
        <f t="shared" si="3"/>
        <v>6.8745628767676297E-4</v>
      </c>
      <c r="O140" s="95">
        <f>L140/'סכום נכסי הקרן'!$C$42</f>
        <v>9.9516576285210281E-5</v>
      </c>
    </row>
    <row r="141" spans="2:15" s="132" customFormat="1">
      <c r="B141" s="87" t="s">
        <v>1467</v>
      </c>
      <c r="C141" s="84" t="s">
        <v>1468</v>
      </c>
      <c r="D141" s="97" t="s">
        <v>1431</v>
      </c>
      <c r="E141" s="97" t="s">
        <v>922</v>
      </c>
      <c r="F141" s="84" t="s">
        <v>1469</v>
      </c>
      <c r="G141" s="97" t="s">
        <v>1170</v>
      </c>
      <c r="H141" s="97" t="s">
        <v>169</v>
      </c>
      <c r="I141" s="94">
        <v>53652.669865000003</v>
      </c>
      <c r="J141" s="96">
        <v>11718</v>
      </c>
      <c r="K141" s="84"/>
      <c r="L141" s="94">
        <v>21727.940616517</v>
      </c>
      <c r="M141" s="95">
        <v>9.667164619188614E-4</v>
      </c>
      <c r="N141" s="95">
        <f t="shared" si="3"/>
        <v>2.5831330108434451E-3</v>
      </c>
      <c r="O141" s="95">
        <f>L141/'סכום נכסי הקרן'!$C$42</f>
        <v>3.739358529939238E-4</v>
      </c>
    </row>
    <row r="142" spans="2:15" s="132" customFormat="1">
      <c r="B142" s="87" t="s">
        <v>1470</v>
      </c>
      <c r="C142" s="84" t="s">
        <v>1471</v>
      </c>
      <c r="D142" s="97" t="s">
        <v>1431</v>
      </c>
      <c r="E142" s="97" t="s">
        <v>922</v>
      </c>
      <c r="F142" s="84" t="s">
        <v>1183</v>
      </c>
      <c r="G142" s="97" t="s">
        <v>198</v>
      </c>
      <c r="H142" s="97" t="s">
        <v>169</v>
      </c>
      <c r="I142" s="94">
        <v>335292.43360699998</v>
      </c>
      <c r="J142" s="96">
        <v>15515</v>
      </c>
      <c r="K142" s="84"/>
      <c r="L142" s="94">
        <v>179783.266432531</v>
      </c>
      <c r="M142" s="95">
        <v>5.3962996998186234E-3</v>
      </c>
      <c r="N142" s="95">
        <f t="shared" si="3"/>
        <v>2.1373589817624293E-2</v>
      </c>
      <c r="O142" s="95">
        <f>L142/'סכום נכסי הקרן'!$C$42</f>
        <v>3.094053425218673E-3</v>
      </c>
    </row>
    <row r="143" spans="2:15" s="132" customFormat="1">
      <c r="B143" s="87" t="s">
        <v>1472</v>
      </c>
      <c r="C143" s="84" t="s">
        <v>1473</v>
      </c>
      <c r="D143" s="97" t="s">
        <v>1431</v>
      </c>
      <c r="E143" s="97" t="s">
        <v>922</v>
      </c>
      <c r="F143" s="84" t="s">
        <v>1277</v>
      </c>
      <c r="G143" s="97" t="s">
        <v>1170</v>
      </c>
      <c r="H143" s="97" t="s">
        <v>169</v>
      </c>
      <c r="I143" s="94">
        <v>261233.056025</v>
      </c>
      <c r="J143" s="96">
        <v>3783</v>
      </c>
      <c r="K143" s="84"/>
      <c r="L143" s="94">
        <v>34153.735137657</v>
      </c>
      <c r="M143" s="95">
        <v>9.35564944093638E-3</v>
      </c>
      <c r="N143" s="95">
        <f t="shared" si="3"/>
        <v>4.0603774759316235E-3</v>
      </c>
      <c r="O143" s="95">
        <f>L143/'סכום נכסי הקרן'!$C$42</f>
        <v>5.8778263007217132E-4</v>
      </c>
    </row>
    <row r="144" spans="2:15" s="132" customFormat="1">
      <c r="B144" s="87" t="s">
        <v>1476</v>
      </c>
      <c r="C144" s="84" t="s">
        <v>1477</v>
      </c>
      <c r="D144" s="97" t="s">
        <v>1431</v>
      </c>
      <c r="E144" s="97" t="s">
        <v>922</v>
      </c>
      <c r="F144" s="84" t="s">
        <v>862</v>
      </c>
      <c r="G144" s="97" t="s">
        <v>197</v>
      </c>
      <c r="H144" s="97" t="s">
        <v>169</v>
      </c>
      <c r="I144" s="94">
        <v>20908.810941</v>
      </c>
      <c r="J144" s="96">
        <v>436</v>
      </c>
      <c r="K144" s="84"/>
      <c r="L144" s="94">
        <v>315.05730892400004</v>
      </c>
      <c r="M144" s="95">
        <v>1.2738218035425518E-4</v>
      </c>
      <c r="N144" s="95">
        <f t="shared" si="3"/>
        <v>3.7455686636515847E-5</v>
      </c>
      <c r="O144" s="95">
        <f>L144/'סכום נכסי הקרן'!$C$42</f>
        <v>5.4221072136449588E-6</v>
      </c>
    </row>
    <row r="145" spans="2:15" s="132" customFormat="1">
      <c r="B145" s="87" t="s">
        <v>1480</v>
      </c>
      <c r="C145" s="84" t="s">
        <v>1481</v>
      </c>
      <c r="D145" s="97" t="s">
        <v>1431</v>
      </c>
      <c r="E145" s="97" t="s">
        <v>922</v>
      </c>
      <c r="F145" s="84" t="s">
        <v>1306</v>
      </c>
      <c r="G145" s="97" t="s">
        <v>1297</v>
      </c>
      <c r="H145" s="97" t="s">
        <v>169</v>
      </c>
      <c r="I145" s="94">
        <v>110234.840643</v>
      </c>
      <c r="J145" s="96">
        <v>607</v>
      </c>
      <c r="K145" s="84"/>
      <c r="L145" s="94">
        <v>2312.4976685370002</v>
      </c>
      <c r="M145" s="95">
        <v>3.1254945841268766E-3</v>
      </c>
      <c r="N145" s="95">
        <f t="shared" si="3"/>
        <v>2.7492200805057158E-4</v>
      </c>
      <c r="O145" s="95">
        <f>L145/'סכום נכסי הקרן'!$C$42</f>
        <v>3.9797871482284048E-5</v>
      </c>
    </row>
    <row r="146" spans="2:15" s="132" customFormat="1">
      <c r="B146" s="87" t="s">
        <v>1482</v>
      </c>
      <c r="C146" s="84" t="s">
        <v>1483</v>
      </c>
      <c r="D146" s="97" t="s">
        <v>1431</v>
      </c>
      <c r="E146" s="97" t="s">
        <v>922</v>
      </c>
      <c r="F146" s="84" t="s">
        <v>1484</v>
      </c>
      <c r="G146" s="97" t="s">
        <v>1020</v>
      </c>
      <c r="H146" s="97" t="s">
        <v>169</v>
      </c>
      <c r="I146" s="94">
        <v>247376.3075</v>
      </c>
      <c r="J146" s="96">
        <v>1715</v>
      </c>
      <c r="K146" s="84"/>
      <c r="L146" s="94">
        <v>14662.092696047999</v>
      </c>
      <c r="M146" s="95">
        <v>1.213374350851219E-2</v>
      </c>
      <c r="N146" s="95">
        <f t="shared" si="3"/>
        <v>1.7431074725239835E-3</v>
      </c>
      <c r="O146" s="95">
        <f>L146/'סכום נכסי הקרן'!$C$42</f>
        <v>2.5233326230673236E-4</v>
      </c>
    </row>
    <row r="147" spans="2:15" s="132" customFormat="1">
      <c r="B147" s="87" t="s">
        <v>1485</v>
      </c>
      <c r="C147" s="84" t="s">
        <v>1486</v>
      </c>
      <c r="D147" s="97" t="s">
        <v>1431</v>
      </c>
      <c r="E147" s="97" t="s">
        <v>922</v>
      </c>
      <c r="F147" s="84" t="s">
        <v>1487</v>
      </c>
      <c r="G147" s="97" t="s">
        <v>997</v>
      </c>
      <c r="H147" s="97" t="s">
        <v>169</v>
      </c>
      <c r="I147" s="94">
        <v>377589.82416800002</v>
      </c>
      <c r="J147" s="96">
        <v>9509</v>
      </c>
      <c r="K147" s="84"/>
      <c r="L147" s="94">
        <v>124087.736608607</v>
      </c>
      <c r="M147" s="95">
        <v>7.7676453663286134E-3</v>
      </c>
      <c r="N147" s="95">
        <f t="shared" si="3"/>
        <v>1.4752209347943317E-2</v>
      </c>
      <c r="O147" s="95">
        <f>L147/'סכום נכסי הקרן'!$C$42</f>
        <v>2.1355384964349593E-3</v>
      </c>
    </row>
    <row r="148" spans="2:15" s="132" customFormat="1">
      <c r="B148" s="87" t="s">
        <v>1488</v>
      </c>
      <c r="C148" s="84" t="s">
        <v>1489</v>
      </c>
      <c r="D148" s="97" t="s">
        <v>1431</v>
      </c>
      <c r="E148" s="97" t="s">
        <v>922</v>
      </c>
      <c r="F148" s="84" t="s">
        <v>935</v>
      </c>
      <c r="G148" s="97" t="s">
        <v>936</v>
      </c>
      <c r="H148" s="97" t="s">
        <v>169</v>
      </c>
      <c r="I148" s="94">
        <v>3551701.8009839999</v>
      </c>
      <c r="J148" s="96">
        <v>980</v>
      </c>
      <c r="K148" s="84"/>
      <c r="L148" s="94">
        <v>120291.877957167</v>
      </c>
      <c r="M148" s="95">
        <v>3.2522078620007069E-3</v>
      </c>
      <c r="N148" s="95">
        <f t="shared" si="3"/>
        <v>1.4300937505844455E-2</v>
      </c>
      <c r="O148" s="95">
        <f>L148/'סכום נכסי הקרן'!$C$42</f>
        <v>2.0702121193188704E-3</v>
      </c>
    </row>
    <row r="149" spans="2:15" s="132" customFormat="1">
      <c r="B149" s="87" t="s">
        <v>1490</v>
      </c>
      <c r="C149" s="84" t="s">
        <v>1491</v>
      </c>
      <c r="D149" s="97" t="s">
        <v>1431</v>
      </c>
      <c r="E149" s="97" t="s">
        <v>922</v>
      </c>
      <c r="F149" s="84" t="s">
        <v>1169</v>
      </c>
      <c r="G149" s="97" t="s">
        <v>1170</v>
      </c>
      <c r="H149" s="97" t="s">
        <v>169</v>
      </c>
      <c r="I149" s="94">
        <v>417876.540102</v>
      </c>
      <c r="J149" s="96">
        <v>2406</v>
      </c>
      <c r="K149" s="84"/>
      <c r="L149" s="94">
        <v>34747.002621947999</v>
      </c>
      <c r="M149" s="95">
        <v>3.9169800334629542E-3</v>
      </c>
      <c r="N149" s="95">
        <f t="shared" si="3"/>
        <v>4.1309082662158696E-3</v>
      </c>
      <c r="O149" s="95">
        <f>L149/'סכום נכסי הקרן'!$C$42</f>
        <v>5.9799270873113421E-4</v>
      </c>
    </row>
    <row r="150" spans="2:15" s="132" customFormat="1">
      <c r="B150" s="87" t="s">
        <v>1492</v>
      </c>
      <c r="C150" s="84" t="s">
        <v>1493</v>
      </c>
      <c r="D150" s="97" t="s">
        <v>1446</v>
      </c>
      <c r="E150" s="97" t="s">
        <v>922</v>
      </c>
      <c r="F150" s="84" t="s">
        <v>1494</v>
      </c>
      <c r="G150" s="97" t="s">
        <v>941</v>
      </c>
      <c r="H150" s="97" t="s">
        <v>169</v>
      </c>
      <c r="I150" s="94">
        <v>248364.68186700001</v>
      </c>
      <c r="J150" s="96">
        <v>1759</v>
      </c>
      <c r="K150" s="84"/>
      <c r="L150" s="94">
        <v>15098.347311132999</v>
      </c>
      <c r="M150" s="95">
        <v>7.1263161598740356E-3</v>
      </c>
      <c r="N150" s="95">
        <f t="shared" si="3"/>
        <v>1.7949717387813306E-3</v>
      </c>
      <c r="O150" s="95">
        <f>L150/'סכום נכסי הקרן'!$C$42</f>
        <v>2.5984116397553283E-4</v>
      </c>
    </row>
    <row r="151" spans="2:15" s="132" customFormat="1">
      <c r="B151" s="87" t="s">
        <v>1495</v>
      </c>
      <c r="C151" s="84" t="s">
        <v>1496</v>
      </c>
      <c r="D151" s="97" t="s">
        <v>1431</v>
      </c>
      <c r="E151" s="97" t="s">
        <v>922</v>
      </c>
      <c r="F151" s="84" t="s">
        <v>1497</v>
      </c>
      <c r="G151" s="97" t="s">
        <v>1020</v>
      </c>
      <c r="H151" s="97" t="s">
        <v>169</v>
      </c>
      <c r="I151" s="94">
        <v>208729.625806</v>
      </c>
      <c r="J151" s="96">
        <v>3337</v>
      </c>
      <c r="K151" s="84"/>
      <c r="L151" s="94">
        <v>24072.103111141001</v>
      </c>
      <c r="M151" s="95">
        <v>9.9491803842593606E-3</v>
      </c>
      <c r="N151" s="95">
        <f t="shared" si="3"/>
        <v>2.8618195016396003E-3</v>
      </c>
      <c r="O151" s="95">
        <f>L151/'סכום נכסי הקרן'!$C$42</f>
        <v>4.1427867321119037E-4</v>
      </c>
    </row>
    <row r="152" spans="2:15" s="132" customFormat="1">
      <c r="B152" s="87" t="s">
        <v>1498</v>
      </c>
      <c r="C152" s="84" t="s">
        <v>1499</v>
      </c>
      <c r="D152" s="97" t="s">
        <v>1431</v>
      </c>
      <c r="E152" s="97" t="s">
        <v>922</v>
      </c>
      <c r="F152" s="84" t="s">
        <v>1500</v>
      </c>
      <c r="G152" s="97" t="s">
        <v>941</v>
      </c>
      <c r="H152" s="97" t="s">
        <v>169</v>
      </c>
      <c r="I152" s="94">
        <v>433686.00652000005</v>
      </c>
      <c r="J152" s="96">
        <v>5536</v>
      </c>
      <c r="K152" s="84"/>
      <c r="L152" s="94">
        <v>82974.610901194013</v>
      </c>
      <c r="M152" s="95">
        <v>6.4899742453290929E-3</v>
      </c>
      <c r="N152" s="95">
        <f t="shared" si="3"/>
        <v>9.8644625491029411E-3</v>
      </c>
      <c r="O152" s="95">
        <f>L152/'סכום נכסי הקרן'!$C$42</f>
        <v>1.4279853968576699E-3</v>
      </c>
    </row>
    <row r="153" spans="2:15" s="132" customFormat="1">
      <c r="B153" s="87" t="s">
        <v>1501</v>
      </c>
      <c r="C153" s="84" t="s">
        <v>1502</v>
      </c>
      <c r="D153" s="97" t="s">
        <v>1431</v>
      </c>
      <c r="E153" s="97" t="s">
        <v>922</v>
      </c>
      <c r="F153" s="84" t="s">
        <v>1503</v>
      </c>
      <c r="G153" s="97" t="s">
        <v>941</v>
      </c>
      <c r="H153" s="97" t="s">
        <v>169</v>
      </c>
      <c r="I153" s="94">
        <v>76352.202556999997</v>
      </c>
      <c r="J153" s="96">
        <v>12238</v>
      </c>
      <c r="K153" s="84"/>
      <c r="L153" s="94">
        <v>32292.803688134001</v>
      </c>
      <c r="M153" s="95">
        <v>1.4926548068969962E-3</v>
      </c>
      <c r="N153" s="95">
        <f t="shared" si="3"/>
        <v>3.8391400589568446E-3</v>
      </c>
      <c r="O153" s="95">
        <f>L153/'סכום נכסי הקרן'!$C$42</f>
        <v>5.5575617154937781E-4</v>
      </c>
    </row>
    <row r="154" spans="2:15" s="132" customFormat="1">
      <c r="B154" s="83"/>
      <c r="C154" s="84"/>
      <c r="D154" s="84"/>
      <c r="E154" s="84"/>
      <c r="F154" s="84"/>
      <c r="G154" s="84"/>
      <c r="H154" s="84"/>
      <c r="I154" s="94"/>
      <c r="J154" s="96"/>
      <c r="K154" s="84"/>
      <c r="L154" s="84"/>
      <c r="M154" s="84"/>
      <c r="N154" s="95"/>
      <c r="O154" s="84"/>
    </row>
    <row r="155" spans="2:15" s="132" customFormat="1">
      <c r="B155" s="102" t="s">
        <v>68</v>
      </c>
      <c r="C155" s="82"/>
      <c r="D155" s="82"/>
      <c r="E155" s="82"/>
      <c r="F155" s="82"/>
      <c r="G155" s="82"/>
      <c r="H155" s="82"/>
      <c r="I155" s="91"/>
      <c r="J155" s="93"/>
      <c r="K155" s="91">
        <v>579.64648388399996</v>
      </c>
      <c r="L155" s="91">
        <f>SUM(L156:L214)</f>
        <v>1611551.8355264431</v>
      </c>
      <c r="M155" s="82"/>
      <c r="N155" s="92">
        <f t="shared" ref="N155:N214" si="4">L155/$L$11</f>
        <v>0.19158984362600898</v>
      </c>
      <c r="O155" s="92">
        <f>L155/'סכום נכסי הקרן'!$C$42</f>
        <v>2.7734658378227098E-2</v>
      </c>
    </row>
    <row r="156" spans="2:15" s="132" customFormat="1">
      <c r="B156" s="87" t="s">
        <v>1504</v>
      </c>
      <c r="C156" s="84" t="s">
        <v>1505</v>
      </c>
      <c r="D156" s="97" t="s">
        <v>147</v>
      </c>
      <c r="E156" s="97" t="s">
        <v>922</v>
      </c>
      <c r="F156" s="84"/>
      <c r="G156" s="97" t="s">
        <v>1506</v>
      </c>
      <c r="H156" s="97" t="s">
        <v>1507</v>
      </c>
      <c r="I156" s="94">
        <v>179232.530508</v>
      </c>
      <c r="J156" s="96">
        <v>2337</v>
      </c>
      <c r="K156" s="84"/>
      <c r="L156" s="94">
        <v>14974.474651421999</v>
      </c>
      <c r="M156" s="95">
        <v>8.2666178085688324E-5</v>
      </c>
      <c r="N156" s="95">
        <f t="shared" si="4"/>
        <v>1.7802450989175774E-3</v>
      </c>
      <c r="O156" s="95">
        <f>L156/'סכום נכסי הקרן'!$C$42</f>
        <v>2.5770932693265874E-4</v>
      </c>
    </row>
    <row r="157" spans="2:15" s="132" customFormat="1">
      <c r="B157" s="87" t="s">
        <v>1508</v>
      </c>
      <c r="C157" s="84" t="s">
        <v>1509</v>
      </c>
      <c r="D157" s="97" t="s">
        <v>30</v>
      </c>
      <c r="E157" s="97" t="s">
        <v>922</v>
      </c>
      <c r="F157" s="84"/>
      <c r="G157" s="97" t="s">
        <v>1071</v>
      </c>
      <c r="H157" s="97" t="s">
        <v>171</v>
      </c>
      <c r="I157" s="94">
        <v>19866.478449999999</v>
      </c>
      <c r="J157" s="96">
        <v>28980</v>
      </c>
      <c r="K157" s="84"/>
      <c r="L157" s="94">
        <v>22327.982014843998</v>
      </c>
      <c r="M157" s="95">
        <v>9.9126117737815834E-5</v>
      </c>
      <c r="N157" s="95">
        <f t="shared" si="4"/>
        <v>2.6544691200149177E-3</v>
      </c>
      <c r="O157" s="95">
        <f>L157/'סכום נכסי הקרן'!$C$42</f>
        <v>3.8426251008836132E-4</v>
      </c>
    </row>
    <row r="158" spans="2:15" s="132" customFormat="1">
      <c r="B158" s="87" t="s">
        <v>1510</v>
      </c>
      <c r="C158" s="84" t="s">
        <v>1511</v>
      </c>
      <c r="D158" s="97" t="s">
        <v>30</v>
      </c>
      <c r="E158" s="97" t="s">
        <v>922</v>
      </c>
      <c r="F158" s="84"/>
      <c r="G158" s="97" t="s">
        <v>1512</v>
      </c>
      <c r="H158" s="97" t="s">
        <v>171</v>
      </c>
      <c r="I158" s="94">
        <v>99515.954559999998</v>
      </c>
      <c r="J158" s="96">
        <v>3210</v>
      </c>
      <c r="K158" s="84"/>
      <c r="L158" s="94">
        <v>12388.763076683999</v>
      </c>
      <c r="M158" s="95">
        <v>2.2517669307479077E-3</v>
      </c>
      <c r="N158" s="95">
        <f t="shared" si="4"/>
        <v>1.4728419702405625E-3</v>
      </c>
      <c r="O158" s="95">
        <f>L158/'סכום נכסי הקרן'!$C$42</f>
        <v>2.1320946933635663E-4</v>
      </c>
    </row>
    <row r="159" spans="2:15" s="132" customFormat="1">
      <c r="B159" s="87" t="s">
        <v>1513</v>
      </c>
      <c r="C159" s="84" t="s">
        <v>1514</v>
      </c>
      <c r="D159" s="97" t="s">
        <v>30</v>
      </c>
      <c r="E159" s="97" t="s">
        <v>922</v>
      </c>
      <c r="F159" s="84"/>
      <c r="G159" s="97" t="s">
        <v>1506</v>
      </c>
      <c r="H159" s="97" t="s">
        <v>171</v>
      </c>
      <c r="I159" s="94">
        <v>74245.287070000006</v>
      </c>
      <c r="J159" s="96">
        <v>13048</v>
      </c>
      <c r="K159" s="84"/>
      <c r="L159" s="94">
        <v>37570.159677073003</v>
      </c>
      <c r="M159" s="95">
        <v>9.4800607487656167E-5</v>
      </c>
      <c r="N159" s="95">
        <f t="shared" si="4"/>
        <v>4.4665401750376994E-3</v>
      </c>
      <c r="O159" s="95">
        <f>L159/'סכום נכסי הקרן'!$C$42</f>
        <v>6.4657898113384331E-4</v>
      </c>
    </row>
    <row r="160" spans="2:15" s="132" customFormat="1">
      <c r="B160" s="87" t="s">
        <v>1515</v>
      </c>
      <c r="C160" s="84" t="s">
        <v>1516</v>
      </c>
      <c r="D160" s="97" t="s">
        <v>1446</v>
      </c>
      <c r="E160" s="97" t="s">
        <v>922</v>
      </c>
      <c r="F160" s="84"/>
      <c r="G160" s="97" t="s">
        <v>1453</v>
      </c>
      <c r="H160" s="97" t="s">
        <v>169</v>
      </c>
      <c r="I160" s="94">
        <v>66429.814448000005</v>
      </c>
      <c r="J160" s="96">
        <v>21210</v>
      </c>
      <c r="K160" s="84"/>
      <c r="L160" s="94">
        <v>48694.223155305001</v>
      </c>
      <c r="M160" s="95">
        <v>2.476208450550102E-5</v>
      </c>
      <c r="N160" s="95">
        <f t="shared" si="4"/>
        <v>5.7890279382588261E-3</v>
      </c>
      <c r="O160" s="95">
        <f>L160/'סכום נכסי הקרן'!$C$42</f>
        <v>8.3802308708510662E-4</v>
      </c>
    </row>
    <row r="161" spans="2:15" s="132" customFormat="1">
      <c r="B161" s="87" t="s">
        <v>1517</v>
      </c>
      <c r="C161" s="84" t="s">
        <v>1518</v>
      </c>
      <c r="D161" s="97" t="s">
        <v>1431</v>
      </c>
      <c r="E161" s="97" t="s">
        <v>922</v>
      </c>
      <c r="F161" s="84"/>
      <c r="G161" s="97" t="s">
        <v>941</v>
      </c>
      <c r="H161" s="97" t="s">
        <v>169</v>
      </c>
      <c r="I161" s="94">
        <v>16146.241962000002</v>
      </c>
      <c r="J161" s="96">
        <v>133702</v>
      </c>
      <c r="K161" s="84"/>
      <c r="L161" s="94">
        <v>74607.604164734003</v>
      </c>
      <c r="M161" s="95">
        <v>4.6998142305902027E-5</v>
      </c>
      <c r="N161" s="95">
        <f t="shared" si="4"/>
        <v>8.8697483382922937E-3</v>
      </c>
      <c r="O161" s="95">
        <f>L161/'סכום נכסי הקרן'!$C$42</f>
        <v>1.2839899830159314E-3</v>
      </c>
    </row>
    <row r="162" spans="2:15" s="132" customFormat="1">
      <c r="B162" s="87" t="s">
        <v>1519</v>
      </c>
      <c r="C162" s="84" t="s">
        <v>1520</v>
      </c>
      <c r="D162" s="97" t="s">
        <v>1431</v>
      </c>
      <c r="E162" s="97" t="s">
        <v>922</v>
      </c>
      <c r="F162" s="84"/>
      <c r="G162" s="97" t="s">
        <v>1453</v>
      </c>
      <c r="H162" s="97" t="s">
        <v>169</v>
      </c>
      <c r="I162" s="94">
        <v>7476.6072610000001</v>
      </c>
      <c r="J162" s="96">
        <v>184784</v>
      </c>
      <c r="K162" s="84"/>
      <c r="L162" s="94">
        <v>47746.623610256</v>
      </c>
      <c r="M162" s="95">
        <v>1.5079970115604924E-5</v>
      </c>
      <c r="N162" s="95">
        <f t="shared" si="4"/>
        <v>5.6763722701917117E-3</v>
      </c>
      <c r="O162" s="95">
        <f>L162/'סכום נכסי הקרן'!$C$42</f>
        <v>8.2171498635764094E-4</v>
      </c>
    </row>
    <row r="163" spans="2:15" s="132" customFormat="1">
      <c r="B163" s="87" t="s">
        <v>1521</v>
      </c>
      <c r="C163" s="84" t="s">
        <v>1522</v>
      </c>
      <c r="D163" s="97" t="s">
        <v>30</v>
      </c>
      <c r="E163" s="97" t="s">
        <v>922</v>
      </c>
      <c r="F163" s="84"/>
      <c r="G163" s="97" t="s">
        <v>1512</v>
      </c>
      <c r="H163" s="97" t="s">
        <v>171</v>
      </c>
      <c r="I163" s="94">
        <v>2092096.7720000001</v>
      </c>
      <c r="J163" s="96">
        <v>798.4</v>
      </c>
      <c r="K163" s="84"/>
      <c r="L163" s="94">
        <v>64778.740494144004</v>
      </c>
      <c r="M163" s="95">
        <v>1.7098241101362952E-3</v>
      </c>
      <c r="N163" s="95">
        <f t="shared" si="4"/>
        <v>7.7012408089924085E-3</v>
      </c>
      <c r="O163" s="95">
        <f>L163/'סכום נכסי הקרן'!$C$42</f>
        <v>1.1148361462354154E-3</v>
      </c>
    </row>
    <row r="164" spans="2:15" s="132" customFormat="1">
      <c r="B164" s="87" t="s">
        <v>1523</v>
      </c>
      <c r="C164" s="84" t="s">
        <v>1524</v>
      </c>
      <c r="D164" s="97" t="s">
        <v>30</v>
      </c>
      <c r="E164" s="97" t="s">
        <v>922</v>
      </c>
      <c r="F164" s="84"/>
      <c r="G164" s="97" t="s">
        <v>997</v>
      </c>
      <c r="H164" s="97" t="s">
        <v>171</v>
      </c>
      <c r="I164" s="94">
        <v>30476.313170000001</v>
      </c>
      <c r="J164" s="96">
        <v>26370</v>
      </c>
      <c r="K164" s="84"/>
      <c r="L164" s="94">
        <v>31167.556789292998</v>
      </c>
      <c r="M164" s="95">
        <v>7.1597843046694194E-5</v>
      </c>
      <c r="N164" s="95">
        <f t="shared" si="4"/>
        <v>3.7053647297139135E-3</v>
      </c>
      <c r="O164" s="95">
        <f>L164/'סכום נכסי הקרן'!$C$42</f>
        <v>5.3639077625613867E-4</v>
      </c>
    </row>
    <row r="165" spans="2:15" s="132" customFormat="1">
      <c r="B165" s="87" t="s">
        <v>1525</v>
      </c>
      <c r="C165" s="84" t="s">
        <v>1526</v>
      </c>
      <c r="D165" s="97" t="s">
        <v>1446</v>
      </c>
      <c r="E165" s="97" t="s">
        <v>922</v>
      </c>
      <c r="F165" s="84"/>
      <c r="G165" s="97" t="s">
        <v>954</v>
      </c>
      <c r="H165" s="97" t="s">
        <v>169</v>
      </c>
      <c r="I165" s="94">
        <v>200790.49769400002</v>
      </c>
      <c r="J165" s="96">
        <v>3522</v>
      </c>
      <c r="K165" s="84"/>
      <c r="L165" s="94">
        <v>24440.283633199</v>
      </c>
      <c r="M165" s="95">
        <v>2.2322190135459397E-5</v>
      </c>
      <c r="N165" s="95">
        <f t="shared" si="4"/>
        <v>2.9055907580721875E-3</v>
      </c>
      <c r="O165" s="95">
        <f>L165/'סכום נכסי הקרן'!$C$42</f>
        <v>4.2061502602075434E-4</v>
      </c>
    </row>
    <row r="166" spans="2:15" s="132" customFormat="1">
      <c r="B166" s="87" t="s">
        <v>1527</v>
      </c>
      <c r="C166" s="84" t="s">
        <v>1528</v>
      </c>
      <c r="D166" s="97" t="s">
        <v>1446</v>
      </c>
      <c r="E166" s="97" t="s">
        <v>922</v>
      </c>
      <c r="F166" s="84"/>
      <c r="G166" s="97" t="s">
        <v>980</v>
      </c>
      <c r="H166" s="97" t="s">
        <v>169</v>
      </c>
      <c r="I166" s="94">
        <v>6031.4628570000004</v>
      </c>
      <c r="J166" s="96">
        <v>50270</v>
      </c>
      <c r="K166" s="84"/>
      <c r="L166" s="94">
        <v>10478.648605994</v>
      </c>
      <c r="M166" s="95">
        <v>3.9071291524701588E-5</v>
      </c>
      <c r="N166" s="95">
        <f t="shared" si="4"/>
        <v>1.2457574144231402E-3</v>
      </c>
      <c r="O166" s="95">
        <f>L166/'סכום נכסי הקרן'!$C$42</f>
        <v>1.8033657555780217E-4</v>
      </c>
    </row>
    <row r="167" spans="2:15" s="132" customFormat="1">
      <c r="B167" s="87" t="s">
        <v>1529</v>
      </c>
      <c r="C167" s="84" t="s">
        <v>1530</v>
      </c>
      <c r="D167" s="97" t="s">
        <v>1446</v>
      </c>
      <c r="E167" s="97" t="s">
        <v>922</v>
      </c>
      <c r="F167" s="84"/>
      <c r="G167" s="97" t="s">
        <v>1506</v>
      </c>
      <c r="H167" s="97" t="s">
        <v>169</v>
      </c>
      <c r="I167" s="94">
        <v>18365.707907</v>
      </c>
      <c r="J167" s="96">
        <v>32576</v>
      </c>
      <c r="K167" s="84"/>
      <c r="L167" s="94">
        <v>20676.601754158</v>
      </c>
      <c r="M167" s="95">
        <v>3.2633251603974435E-5</v>
      </c>
      <c r="N167" s="95">
        <f t="shared" si="4"/>
        <v>2.4581442616162089E-3</v>
      </c>
      <c r="O167" s="95">
        <f>L167/'סכום נכסי הקרן'!$C$42</f>
        <v>3.5584240818843567E-4</v>
      </c>
    </row>
    <row r="168" spans="2:15" s="132" customFormat="1">
      <c r="B168" s="87" t="s">
        <v>1531</v>
      </c>
      <c r="C168" s="84" t="s">
        <v>1532</v>
      </c>
      <c r="D168" s="97" t="s">
        <v>131</v>
      </c>
      <c r="E168" s="97" t="s">
        <v>922</v>
      </c>
      <c r="F168" s="84"/>
      <c r="G168" s="97" t="s">
        <v>924</v>
      </c>
      <c r="H168" s="97" t="s">
        <v>172</v>
      </c>
      <c r="I168" s="94">
        <v>709517.08750000002</v>
      </c>
      <c r="J168" s="96">
        <v>471.6</v>
      </c>
      <c r="K168" s="84"/>
      <c r="L168" s="94">
        <v>15257.132761229001</v>
      </c>
      <c r="M168" s="95">
        <v>3.4971482673958942E-5</v>
      </c>
      <c r="N168" s="95">
        <f t="shared" si="4"/>
        <v>1.813848996641324E-3</v>
      </c>
      <c r="O168" s="95">
        <f>L168/'סכום נכסי הקרן'!$C$42</f>
        <v>2.6257384691924155E-4</v>
      </c>
    </row>
    <row r="169" spans="2:15" s="132" customFormat="1">
      <c r="B169" s="87" t="s">
        <v>1533</v>
      </c>
      <c r="C169" s="84" t="s">
        <v>1534</v>
      </c>
      <c r="D169" s="97" t="s">
        <v>1446</v>
      </c>
      <c r="E169" s="97" t="s">
        <v>922</v>
      </c>
      <c r="F169" s="84"/>
      <c r="G169" s="97" t="s">
        <v>1506</v>
      </c>
      <c r="H169" s="97" t="s">
        <v>169</v>
      </c>
      <c r="I169" s="94">
        <v>89575.113263000007</v>
      </c>
      <c r="J169" s="96">
        <v>14768</v>
      </c>
      <c r="K169" s="84"/>
      <c r="L169" s="94">
        <v>45717.532623365994</v>
      </c>
      <c r="M169" s="95">
        <v>1.6208043769903017E-4</v>
      </c>
      <c r="N169" s="95">
        <f t="shared" si="4"/>
        <v>5.4351431540620356E-3</v>
      </c>
      <c r="O169" s="95">
        <f>L169/'סכום נכסי הקרן'!$C$42</f>
        <v>7.8679451771422907E-4</v>
      </c>
    </row>
    <row r="170" spans="2:15" s="132" customFormat="1">
      <c r="B170" s="87" t="s">
        <v>1535</v>
      </c>
      <c r="C170" s="84" t="s">
        <v>1536</v>
      </c>
      <c r="D170" s="97" t="s">
        <v>1431</v>
      </c>
      <c r="E170" s="97" t="s">
        <v>922</v>
      </c>
      <c r="F170" s="84"/>
      <c r="G170" s="97" t="s">
        <v>1002</v>
      </c>
      <c r="H170" s="97" t="s">
        <v>169</v>
      </c>
      <c r="I170" s="94">
        <v>109968.62100499999</v>
      </c>
      <c r="J170" s="96">
        <v>4796</v>
      </c>
      <c r="K170" s="84"/>
      <c r="L170" s="94">
        <v>18227.27254043</v>
      </c>
      <c r="M170" s="95">
        <v>2.5922162805919859E-5</v>
      </c>
      <c r="N170" s="95">
        <f t="shared" si="4"/>
        <v>2.1669549925515444E-3</v>
      </c>
      <c r="O170" s="95">
        <f>L170/'סכום נכסי הקרן'!$C$42</f>
        <v>3.1368967843999003E-4</v>
      </c>
    </row>
    <row r="171" spans="2:15" s="132" customFormat="1">
      <c r="B171" s="87" t="s">
        <v>1537</v>
      </c>
      <c r="C171" s="84" t="s">
        <v>1538</v>
      </c>
      <c r="D171" s="97" t="s">
        <v>1446</v>
      </c>
      <c r="E171" s="97" t="s">
        <v>922</v>
      </c>
      <c r="F171" s="84"/>
      <c r="G171" s="97" t="s">
        <v>954</v>
      </c>
      <c r="H171" s="97" t="s">
        <v>169</v>
      </c>
      <c r="I171" s="94">
        <v>47639.247708999996</v>
      </c>
      <c r="J171" s="96">
        <v>7989</v>
      </c>
      <c r="K171" s="84"/>
      <c r="L171" s="94">
        <v>13153.188669521998</v>
      </c>
      <c r="M171" s="95">
        <v>2.1820895906755766E-5</v>
      </c>
      <c r="N171" s="95">
        <f t="shared" si="4"/>
        <v>1.5637209457515853E-3</v>
      </c>
      <c r="O171" s="95">
        <f>L171/'סכום נכסי הקרן'!$C$42</f>
        <v>2.263651632492427E-4</v>
      </c>
    </row>
    <row r="172" spans="2:15" s="132" customFormat="1">
      <c r="B172" s="87" t="s">
        <v>1539</v>
      </c>
      <c r="C172" s="84" t="s">
        <v>1540</v>
      </c>
      <c r="D172" s="97" t="s">
        <v>30</v>
      </c>
      <c r="E172" s="97" t="s">
        <v>922</v>
      </c>
      <c r="F172" s="84"/>
      <c r="G172" s="97" t="s">
        <v>964</v>
      </c>
      <c r="H172" s="97" t="s">
        <v>171</v>
      </c>
      <c r="I172" s="94">
        <v>42359.021544000003</v>
      </c>
      <c r="J172" s="96">
        <v>7390</v>
      </c>
      <c r="K172" s="84"/>
      <c r="L172" s="94">
        <v>12140.052367831</v>
      </c>
      <c r="M172" s="95">
        <v>6.173697280942097E-5</v>
      </c>
      <c r="N172" s="95">
        <f t="shared" si="4"/>
        <v>1.443273919888838E-3</v>
      </c>
      <c r="O172" s="95">
        <f>L172/'סכום נכסי הקרן'!$C$42</f>
        <v>2.0892918098758544E-4</v>
      </c>
    </row>
    <row r="173" spans="2:15" s="132" customFormat="1">
      <c r="B173" s="87" t="s">
        <v>1541</v>
      </c>
      <c r="C173" s="84" t="s">
        <v>1542</v>
      </c>
      <c r="D173" s="97" t="s">
        <v>1446</v>
      </c>
      <c r="E173" s="97" t="s">
        <v>922</v>
      </c>
      <c r="F173" s="84"/>
      <c r="G173" s="97" t="s">
        <v>924</v>
      </c>
      <c r="H173" s="97" t="s">
        <v>169</v>
      </c>
      <c r="I173" s="94">
        <v>316641.67359999998</v>
      </c>
      <c r="J173" s="96">
        <v>3353</v>
      </c>
      <c r="K173" s="84"/>
      <c r="L173" s="94">
        <v>36692.335811432</v>
      </c>
      <c r="M173" s="95">
        <v>4.2653839545951306E-3</v>
      </c>
      <c r="N173" s="95">
        <f t="shared" si="4"/>
        <v>4.3621798104240481E-3</v>
      </c>
      <c r="O173" s="95">
        <f>L173/'סכום נכסי הקרן'!$C$42</f>
        <v>6.3147171341021175E-4</v>
      </c>
    </row>
    <row r="174" spans="2:15" s="132" customFormat="1">
      <c r="B174" s="87" t="s">
        <v>1543</v>
      </c>
      <c r="C174" s="84" t="s">
        <v>1544</v>
      </c>
      <c r="D174" s="97" t="s">
        <v>30</v>
      </c>
      <c r="E174" s="97" t="s">
        <v>922</v>
      </c>
      <c r="F174" s="84"/>
      <c r="G174" s="97" t="s">
        <v>983</v>
      </c>
      <c r="H174" s="97" t="s">
        <v>171</v>
      </c>
      <c r="I174" s="94">
        <v>229668.41076900001</v>
      </c>
      <c r="J174" s="96">
        <v>3401</v>
      </c>
      <c r="K174" s="84"/>
      <c r="L174" s="94">
        <v>30292.708041416001</v>
      </c>
      <c r="M174" s="95">
        <v>1.8573971318582984E-4</v>
      </c>
      <c r="N174" s="95">
        <f t="shared" si="4"/>
        <v>3.6013580629054519E-3</v>
      </c>
      <c r="O174" s="95">
        <f>L174/'סכום נכסי הקרן'!$C$42</f>
        <v>5.213347100346869E-4</v>
      </c>
    </row>
    <row r="175" spans="2:15" s="132" customFormat="1">
      <c r="B175" s="87" t="s">
        <v>1545</v>
      </c>
      <c r="C175" s="84" t="s">
        <v>1546</v>
      </c>
      <c r="D175" s="97" t="s">
        <v>30</v>
      </c>
      <c r="E175" s="97" t="s">
        <v>922</v>
      </c>
      <c r="F175" s="84"/>
      <c r="G175" s="97" t="s">
        <v>1506</v>
      </c>
      <c r="H175" s="97" t="s">
        <v>171</v>
      </c>
      <c r="I175" s="94">
        <v>21279.836488000001</v>
      </c>
      <c r="J175" s="96">
        <v>10200</v>
      </c>
      <c r="K175" s="84"/>
      <c r="L175" s="94">
        <v>8417.801112901001</v>
      </c>
      <c r="M175" s="95">
        <v>2.1714118865306123E-4</v>
      </c>
      <c r="N175" s="95">
        <f t="shared" si="4"/>
        <v>1.0007529161286379E-3</v>
      </c>
      <c r="O175" s="95">
        <f>L175/'סכום נכסי הקרן'!$C$42</f>
        <v>1.4486958037307162E-4</v>
      </c>
    </row>
    <row r="176" spans="2:15" s="132" customFormat="1">
      <c r="B176" s="87" t="s">
        <v>1547</v>
      </c>
      <c r="C176" s="84" t="s">
        <v>1548</v>
      </c>
      <c r="D176" s="97" t="s">
        <v>30</v>
      </c>
      <c r="E176" s="97" t="s">
        <v>922</v>
      </c>
      <c r="F176" s="84"/>
      <c r="G176" s="97" t="s">
        <v>1002</v>
      </c>
      <c r="H176" s="97" t="s">
        <v>176</v>
      </c>
      <c r="I176" s="94">
        <v>918995.19622000004</v>
      </c>
      <c r="J176" s="96">
        <v>8156</v>
      </c>
      <c r="K176" s="84"/>
      <c r="L176" s="94">
        <v>27845.131706680997</v>
      </c>
      <c r="M176" s="95">
        <v>2.9911354864417219E-4</v>
      </c>
      <c r="N176" s="95">
        <f t="shared" si="4"/>
        <v>3.3103771854076985E-3</v>
      </c>
      <c r="O176" s="95">
        <f>L176/'סכום נכסי הקרן'!$C$42</f>
        <v>4.7921214717195812E-4</v>
      </c>
    </row>
    <row r="177" spans="2:15" s="132" customFormat="1">
      <c r="B177" s="87" t="s">
        <v>1549</v>
      </c>
      <c r="C177" s="84" t="s">
        <v>1550</v>
      </c>
      <c r="D177" s="97" t="s">
        <v>1551</v>
      </c>
      <c r="E177" s="97" t="s">
        <v>922</v>
      </c>
      <c r="F177" s="84"/>
      <c r="G177" s="97" t="s">
        <v>1506</v>
      </c>
      <c r="H177" s="97" t="s">
        <v>171</v>
      </c>
      <c r="I177" s="94">
        <v>87850.135320000001</v>
      </c>
      <c r="J177" s="96">
        <v>2697</v>
      </c>
      <c r="K177" s="84"/>
      <c r="L177" s="94">
        <v>9188.6896461630004</v>
      </c>
      <c r="M177" s="95">
        <v>1.1948896905855663E-4</v>
      </c>
      <c r="N177" s="95">
        <f t="shared" si="4"/>
        <v>1.0924002403318355E-3</v>
      </c>
      <c r="O177" s="95">
        <f>L177/'סכום נכסי הקרן'!$C$42</f>
        <v>1.5813650089426592E-4</v>
      </c>
    </row>
    <row r="178" spans="2:15" s="132" customFormat="1">
      <c r="B178" s="87" t="s">
        <v>1552</v>
      </c>
      <c r="C178" s="84" t="s">
        <v>1553</v>
      </c>
      <c r="D178" s="97" t="s">
        <v>1446</v>
      </c>
      <c r="E178" s="97" t="s">
        <v>922</v>
      </c>
      <c r="F178" s="84"/>
      <c r="G178" s="97" t="s">
        <v>980</v>
      </c>
      <c r="H178" s="97" t="s">
        <v>169</v>
      </c>
      <c r="I178" s="94">
        <v>8405.2232249999997</v>
      </c>
      <c r="J178" s="96">
        <v>22993</v>
      </c>
      <c r="K178" s="84"/>
      <c r="L178" s="94">
        <v>6679.1104465429999</v>
      </c>
      <c r="M178" s="95">
        <v>2.3737731565412114E-5</v>
      </c>
      <c r="N178" s="95">
        <f t="shared" si="4"/>
        <v>7.9404813286442953E-4</v>
      </c>
      <c r="O178" s="95">
        <f>L178/'סכום נכסי הקרן'!$C$42</f>
        <v>1.149468744483822E-4</v>
      </c>
    </row>
    <row r="179" spans="2:15" s="132" customFormat="1">
      <c r="B179" s="87" t="s">
        <v>1554</v>
      </c>
      <c r="C179" s="84" t="s">
        <v>1555</v>
      </c>
      <c r="D179" s="97" t="s">
        <v>30</v>
      </c>
      <c r="E179" s="97" t="s">
        <v>922</v>
      </c>
      <c r="F179" s="84"/>
      <c r="G179" s="97" t="s">
        <v>1453</v>
      </c>
      <c r="H179" s="97" t="s">
        <v>176</v>
      </c>
      <c r="I179" s="94">
        <v>212855.12625</v>
      </c>
      <c r="J179" s="96">
        <v>19048</v>
      </c>
      <c r="K179" s="84"/>
      <c r="L179" s="94">
        <v>15062.335412469001</v>
      </c>
      <c r="M179" s="95">
        <v>1.4572410934829996E-4</v>
      </c>
      <c r="N179" s="95">
        <f t="shared" si="4"/>
        <v>1.7906904529538369E-3</v>
      </c>
      <c r="O179" s="95">
        <f>L179/'סכום נכסי הקרן'!$C$42</f>
        <v>2.592214025226404E-4</v>
      </c>
    </row>
    <row r="180" spans="2:15" s="132" customFormat="1">
      <c r="B180" s="87" t="s">
        <v>1556</v>
      </c>
      <c r="C180" s="84" t="s">
        <v>1557</v>
      </c>
      <c r="D180" s="97" t="s">
        <v>1446</v>
      </c>
      <c r="E180" s="97" t="s">
        <v>922</v>
      </c>
      <c r="F180" s="84"/>
      <c r="G180" s="97" t="s">
        <v>954</v>
      </c>
      <c r="H180" s="97" t="s">
        <v>169</v>
      </c>
      <c r="I180" s="94">
        <v>47852.670448999997</v>
      </c>
      <c r="J180" s="96">
        <v>13940</v>
      </c>
      <c r="K180" s="84"/>
      <c r="L180" s="94">
        <v>23053.808771634998</v>
      </c>
      <c r="M180" s="95">
        <v>1.5256783185162855E-5</v>
      </c>
      <c r="N180" s="95">
        <f t="shared" si="4"/>
        <v>2.7407592608391712E-3</v>
      </c>
      <c r="O180" s="95">
        <f>L180/'סכום נכסי הקרן'!$C$42</f>
        <v>3.9675392159471158E-4</v>
      </c>
    </row>
    <row r="181" spans="2:15" s="132" customFormat="1">
      <c r="B181" s="87" t="s">
        <v>1558</v>
      </c>
      <c r="C181" s="84" t="s">
        <v>1559</v>
      </c>
      <c r="D181" s="97" t="s">
        <v>1446</v>
      </c>
      <c r="E181" s="97" t="s">
        <v>922</v>
      </c>
      <c r="F181" s="84"/>
      <c r="G181" s="97" t="s">
        <v>1071</v>
      </c>
      <c r="H181" s="97" t="s">
        <v>169</v>
      </c>
      <c r="I181" s="94">
        <v>128390.522665</v>
      </c>
      <c r="J181" s="96">
        <v>1929</v>
      </c>
      <c r="K181" s="84"/>
      <c r="L181" s="94">
        <v>8559.313396335001</v>
      </c>
      <c r="M181" s="95">
        <v>2.7441729611683684E-3</v>
      </c>
      <c r="N181" s="95">
        <f t="shared" si="4"/>
        <v>1.0175766481716243E-3</v>
      </c>
      <c r="O181" s="95">
        <f>L181/'סכום נכסי הקרן'!$C$42</f>
        <v>1.4730499371246489E-4</v>
      </c>
    </row>
    <row r="182" spans="2:15" s="132" customFormat="1">
      <c r="B182" s="87" t="s">
        <v>1560</v>
      </c>
      <c r="C182" s="84" t="s">
        <v>1561</v>
      </c>
      <c r="D182" s="97" t="s">
        <v>1446</v>
      </c>
      <c r="E182" s="97" t="s">
        <v>922</v>
      </c>
      <c r="F182" s="84"/>
      <c r="G182" s="97" t="s">
        <v>1506</v>
      </c>
      <c r="H182" s="97" t="s">
        <v>169</v>
      </c>
      <c r="I182" s="94">
        <v>14709.708258000001</v>
      </c>
      <c r="J182" s="96">
        <v>38938</v>
      </c>
      <c r="K182" s="84"/>
      <c r="L182" s="94">
        <v>19794.81439177</v>
      </c>
      <c r="M182" s="95">
        <v>5.2148879040271992E-5</v>
      </c>
      <c r="N182" s="95">
        <f t="shared" si="4"/>
        <v>2.3533126954530764E-3</v>
      </c>
      <c r="O182" s="95">
        <f>L182/'סכום נכסי הקרן'!$C$42</f>
        <v>3.4066692905153275E-4</v>
      </c>
    </row>
    <row r="183" spans="2:15" s="132" customFormat="1">
      <c r="B183" s="87" t="s">
        <v>1562</v>
      </c>
      <c r="C183" s="84" t="s">
        <v>1563</v>
      </c>
      <c r="D183" s="97" t="s">
        <v>1446</v>
      </c>
      <c r="E183" s="97" t="s">
        <v>922</v>
      </c>
      <c r="F183" s="84"/>
      <c r="G183" s="97" t="s">
        <v>941</v>
      </c>
      <c r="H183" s="97" t="s">
        <v>169</v>
      </c>
      <c r="I183" s="94">
        <v>42374.91472700001</v>
      </c>
      <c r="J183" s="96">
        <v>29859</v>
      </c>
      <c r="K183" s="84"/>
      <c r="L183" s="94">
        <v>43727.820325818</v>
      </c>
      <c r="M183" s="95">
        <v>4.2483281974810275E-5</v>
      </c>
      <c r="N183" s="95">
        <f t="shared" si="4"/>
        <v>5.198595585721835E-3</v>
      </c>
      <c r="O183" s="95">
        <f>L183/'סכום נכסי הקרן'!$C$42</f>
        <v>7.5255175268059663E-4</v>
      </c>
    </row>
    <row r="184" spans="2:15" s="132" customFormat="1">
      <c r="B184" s="87" t="s">
        <v>1564</v>
      </c>
      <c r="C184" s="84" t="s">
        <v>1565</v>
      </c>
      <c r="D184" s="97" t="s">
        <v>1446</v>
      </c>
      <c r="E184" s="97" t="s">
        <v>922</v>
      </c>
      <c r="F184" s="84"/>
      <c r="G184" s="97" t="s">
        <v>1095</v>
      </c>
      <c r="H184" s="97" t="s">
        <v>169</v>
      </c>
      <c r="I184" s="94">
        <v>66427.543992999999</v>
      </c>
      <c r="J184" s="96">
        <v>19761</v>
      </c>
      <c r="K184" s="84"/>
      <c r="L184" s="94">
        <v>45366.037523326013</v>
      </c>
      <c r="M184" s="95">
        <v>8.8206257710216383E-5</v>
      </c>
      <c r="N184" s="95">
        <f t="shared" si="4"/>
        <v>5.3933555492407673E-3</v>
      </c>
      <c r="O184" s="95">
        <f>L184/'סכום נכסי הקרן'!$C$42</f>
        <v>7.8074531947789369E-4</v>
      </c>
    </row>
    <row r="185" spans="2:15" s="132" customFormat="1">
      <c r="B185" s="87" t="s">
        <v>1566</v>
      </c>
      <c r="C185" s="84" t="s">
        <v>1567</v>
      </c>
      <c r="D185" s="97" t="s">
        <v>1431</v>
      </c>
      <c r="E185" s="97" t="s">
        <v>922</v>
      </c>
      <c r="F185" s="84"/>
      <c r="G185" s="97" t="s">
        <v>970</v>
      </c>
      <c r="H185" s="97" t="s">
        <v>169</v>
      </c>
      <c r="I185" s="94">
        <v>219366.50646500001</v>
      </c>
      <c r="J185" s="96">
        <v>15770</v>
      </c>
      <c r="K185" s="84"/>
      <c r="L185" s="94">
        <v>119557.202928064</v>
      </c>
      <c r="M185" s="95">
        <v>2.8755026336941859E-5</v>
      </c>
      <c r="N185" s="95">
        <f t="shared" si="4"/>
        <v>1.4213595435401032E-2</v>
      </c>
      <c r="O185" s="95">
        <f>L185/'סכום נכסי הקרן'!$C$42</f>
        <v>2.0575684298625337E-3</v>
      </c>
    </row>
    <row r="186" spans="2:15" s="132" customFormat="1">
      <c r="B186" s="87" t="s">
        <v>1568</v>
      </c>
      <c r="C186" s="84" t="s">
        <v>1569</v>
      </c>
      <c r="D186" s="97" t="s">
        <v>1446</v>
      </c>
      <c r="E186" s="97" t="s">
        <v>922</v>
      </c>
      <c r="F186" s="84"/>
      <c r="G186" s="97" t="s">
        <v>980</v>
      </c>
      <c r="H186" s="97" t="s">
        <v>169</v>
      </c>
      <c r="I186" s="94">
        <v>10688.449213</v>
      </c>
      <c r="J186" s="96">
        <v>23741</v>
      </c>
      <c r="K186" s="84"/>
      <c r="L186" s="94">
        <v>8769.7545808449995</v>
      </c>
      <c r="M186" s="95">
        <v>5.6612548797669492E-5</v>
      </c>
      <c r="N186" s="95">
        <f t="shared" si="4"/>
        <v>1.0425950141614293E-3</v>
      </c>
      <c r="O186" s="95">
        <f>L186/'סכום נכסי הקרן'!$C$42</f>
        <v>1.5092666707873777E-4</v>
      </c>
    </row>
    <row r="187" spans="2:15" s="132" customFormat="1">
      <c r="B187" s="87" t="s">
        <v>1570</v>
      </c>
      <c r="C187" s="84" t="s">
        <v>1571</v>
      </c>
      <c r="D187" s="97" t="s">
        <v>147</v>
      </c>
      <c r="E187" s="97" t="s">
        <v>922</v>
      </c>
      <c r="F187" s="84"/>
      <c r="G187" s="97" t="s">
        <v>964</v>
      </c>
      <c r="H187" s="97" t="s">
        <v>1507</v>
      </c>
      <c r="I187" s="94">
        <v>34340.627034999998</v>
      </c>
      <c r="J187" s="96">
        <v>10478</v>
      </c>
      <c r="K187" s="84"/>
      <c r="L187" s="94">
        <v>12863.603970100001</v>
      </c>
      <c r="M187" s="95">
        <v>1.1539189191868278E-5</v>
      </c>
      <c r="N187" s="95">
        <f t="shared" si="4"/>
        <v>1.5292935782566879E-3</v>
      </c>
      <c r="O187" s="95">
        <f>L187/'סכום נכסי הקרן'!$C$42</f>
        <v>2.2138143729455938E-4</v>
      </c>
    </row>
    <row r="188" spans="2:15" s="132" customFormat="1">
      <c r="B188" s="87" t="s">
        <v>1572</v>
      </c>
      <c r="C188" s="84" t="s">
        <v>1573</v>
      </c>
      <c r="D188" s="97" t="s">
        <v>1431</v>
      </c>
      <c r="E188" s="97" t="s">
        <v>922</v>
      </c>
      <c r="F188" s="84"/>
      <c r="G188" s="97" t="s">
        <v>970</v>
      </c>
      <c r="H188" s="97" t="s">
        <v>169</v>
      </c>
      <c r="I188" s="94">
        <v>25451.796963000001</v>
      </c>
      <c r="J188" s="96">
        <v>32357</v>
      </c>
      <c r="K188" s="84"/>
      <c r="L188" s="94">
        <v>28461.673530293996</v>
      </c>
      <c r="M188" s="95">
        <v>5.8075806282454541E-5</v>
      </c>
      <c r="N188" s="95">
        <f t="shared" si="4"/>
        <v>3.3836749527961871E-3</v>
      </c>
      <c r="O188" s="95">
        <f>L188/'סכום נכסי הקרן'!$C$42</f>
        <v>4.8982277506293744E-4</v>
      </c>
    </row>
    <row r="189" spans="2:15" s="132" customFormat="1">
      <c r="B189" s="87" t="s">
        <v>1574</v>
      </c>
      <c r="C189" s="84" t="s">
        <v>1575</v>
      </c>
      <c r="D189" s="97" t="s">
        <v>1446</v>
      </c>
      <c r="E189" s="97" t="s">
        <v>922</v>
      </c>
      <c r="F189" s="84"/>
      <c r="G189" s="97" t="s">
        <v>1071</v>
      </c>
      <c r="H189" s="97" t="s">
        <v>169</v>
      </c>
      <c r="I189" s="94">
        <v>43706.252589999996</v>
      </c>
      <c r="J189" s="96">
        <v>10131</v>
      </c>
      <c r="K189" s="94">
        <v>56.231352059999992</v>
      </c>
      <c r="L189" s="94">
        <v>15358.986186889</v>
      </c>
      <c r="M189" s="95">
        <v>3.5076472829697333E-5</v>
      </c>
      <c r="N189" s="95">
        <f t="shared" si="4"/>
        <v>1.8259578729832371E-3</v>
      </c>
      <c r="O189" s="95">
        <f>L189/'סכום נכסי הקרן'!$C$42</f>
        <v>2.6432673497599429E-4</v>
      </c>
    </row>
    <row r="190" spans="2:15" s="132" customFormat="1">
      <c r="B190" s="87" t="s">
        <v>1576</v>
      </c>
      <c r="C190" s="84" t="s">
        <v>1577</v>
      </c>
      <c r="D190" s="97" t="s">
        <v>1446</v>
      </c>
      <c r="E190" s="97" t="s">
        <v>922</v>
      </c>
      <c r="F190" s="84"/>
      <c r="G190" s="97" t="s">
        <v>1011</v>
      </c>
      <c r="H190" s="97" t="s">
        <v>169</v>
      </c>
      <c r="I190" s="94">
        <v>87924.607579999996</v>
      </c>
      <c r="J190" s="96">
        <v>4791</v>
      </c>
      <c r="K190" s="94">
        <v>136.740349708</v>
      </c>
      <c r="L190" s="94">
        <v>14695.029581998</v>
      </c>
      <c r="M190" s="95">
        <v>1.5347281811717167E-4</v>
      </c>
      <c r="N190" s="95">
        <f t="shared" si="4"/>
        <v>1.7470231845039378E-3</v>
      </c>
      <c r="O190" s="95">
        <f>L190/'סכום נכסי הקרן'!$C$42</f>
        <v>2.5290010307457369E-4</v>
      </c>
    </row>
    <row r="191" spans="2:15" s="132" customFormat="1">
      <c r="B191" s="87" t="s">
        <v>1474</v>
      </c>
      <c r="C191" s="84" t="s">
        <v>1475</v>
      </c>
      <c r="D191" s="97" t="s">
        <v>1446</v>
      </c>
      <c r="E191" s="97" t="s">
        <v>922</v>
      </c>
      <c r="F191" s="84"/>
      <c r="G191" s="97" t="s">
        <v>196</v>
      </c>
      <c r="H191" s="97" t="s">
        <v>169</v>
      </c>
      <c r="I191" s="94">
        <v>257089.57355299999</v>
      </c>
      <c r="J191" s="96">
        <v>7452</v>
      </c>
      <c r="K191" s="84"/>
      <c r="L191" s="94">
        <v>66211.136713326006</v>
      </c>
      <c r="M191" s="95">
        <v>5.0415788981540343E-3</v>
      </c>
      <c r="N191" s="95">
        <f>L191/$L$11</f>
        <v>7.8715316811776761E-3</v>
      </c>
      <c r="O191" s="95">
        <f>L191/'סכום נכסי הקרן'!$C$42</f>
        <v>1.1394875529885215E-3</v>
      </c>
    </row>
    <row r="192" spans="2:15" s="132" customFormat="1">
      <c r="B192" s="87" t="s">
        <v>1578</v>
      </c>
      <c r="C192" s="84" t="s">
        <v>1579</v>
      </c>
      <c r="D192" s="97" t="s">
        <v>1446</v>
      </c>
      <c r="E192" s="97" t="s">
        <v>922</v>
      </c>
      <c r="F192" s="84"/>
      <c r="G192" s="97" t="s">
        <v>1002</v>
      </c>
      <c r="H192" s="97" t="s">
        <v>169</v>
      </c>
      <c r="I192" s="94">
        <v>40824.158631999999</v>
      </c>
      <c r="J192" s="96">
        <v>23125</v>
      </c>
      <c r="K192" s="84"/>
      <c r="L192" s="94">
        <v>32626.667578694</v>
      </c>
      <c r="M192" s="95">
        <v>4.1675405886240283E-4</v>
      </c>
      <c r="N192" s="95">
        <f t="shared" si="4"/>
        <v>3.8788315719287905E-3</v>
      </c>
      <c r="O192" s="95">
        <f>L192/'סכום נכסי הקרן'!$C$42</f>
        <v>5.6150193829753987E-4</v>
      </c>
    </row>
    <row r="193" spans="2:15" s="132" customFormat="1">
      <c r="B193" s="87" t="s">
        <v>1580</v>
      </c>
      <c r="C193" s="84" t="s">
        <v>1581</v>
      </c>
      <c r="D193" s="97" t="s">
        <v>1431</v>
      </c>
      <c r="E193" s="97" t="s">
        <v>922</v>
      </c>
      <c r="F193" s="84"/>
      <c r="G193" s="97" t="s">
        <v>1002</v>
      </c>
      <c r="H193" s="97" t="s">
        <v>169</v>
      </c>
      <c r="I193" s="94">
        <v>56218.444524999999</v>
      </c>
      <c r="J193" s="96">
        <v>10817</v>
      </c>
      <c r="K193" s="84"/>
      <c r="L193" s="94">
        <v>21016.451442393998</v>
      </c>
      <c r="M193" s="95">
        <v>4.7878390440066608E-5</v>
      </c>
      <c r="N193" s="95">
        <f t="shared" si="4"/>
        <v>2.4985473980156116E-3</v>
      </c>
      <c r="O193" s="95">
        <f>L193/'סכום נכסי הקרן'!$C$42</f>
        <v>3.6169118996224274E-4</v>
      </c>
    </row>
    <row r="194" spans="2:15" s="132" customFormat="1">
      <c r="B194" s="87" t="s">
        <v>1478</v>
      </c>
      <c r="C194" s="84" t="s">
        <v>1479</v>
      </c>
      <c r="D194" s="97" t="s">
        <v>1431</v>
      </c>
      <c r="E194" s="97" t="s">
        <v>922</v>
      </c>
      <c r="F194" s="84"/>
      <c r="G194" s="97" t="s">
        <v>936</v>
      </c>
      <c r="H194" s="97" t="s">
        <v>169</v>
      </c>
      <c r="I194" s="94">
        <v>213752.63706900002</v>
      </c>
      <c r="J194" s="96">
        <v>5166</v>
      </c>
      <c r="K194" s="84"/>
      <c r="L194" s="94">
        <v>38162.746014183002</v>
      </c>
      <c r="M194" s="95">
        <v>1.5704450535606262E-3</v>
      </c>
      <c r="N194" s="95">
        <f>L194/$L$11</f>
        <v>4.5369899869264537E-3</v>
      </c>
      <c r="O194" s="95">
        <f>L194/'סכום נכסי הקרן'!$C$42</f>
        <v>6.5677733731267626E-4</v>
      </c>
    </row>
    <row r="195" spans="2:15" s="132" customFormat="1">
      <c r="B195" s="87" t="s">
        <v>1582</v>
      </c>
      <c r="C195" s="84" t="s">
        <v>1583</v>
      </c>
      <c r="D195" s="97" t="s">
        <v>1446</v>
      </c>
      <c r="E195" s="97" t="s">
        <v>922</v>
      </c>
      <c r="F195" s="84"/>
      <c r="G195" s="97" t="s">
        <v>1512</v>
      </c>
      <c r="H195" s="97" t="s">
        <v>169</v>
      </c>
      <c r="I195" s="94">
        <v>100266.684351</v>
      </c>
      <c r="J195" s="96">
        <v>8914</v>
      </c>
      <c r="K195" s="84"/>
      <c r="L195" s="94">
        <v>30888.940872122999</v>
      </c>
      <c r="M195" s="95">
        <v>1.5870633730992093E-4</v>
      </c>
      <c r="N195" s="95">
        <f t="shared" si="4"/>
        <v>3.6722413893251265E-3</v>
      </c>
      <c r="O195" s="95">
        <f>L195/'סכום נכסי הקרן'!$C$42</f>
        <v>5.3159582203183219E-4</v>
      </c>
    </row>
    <row r="196" spans="2:15" s="132" customFormat="1">
      <c r="B196" s="87" t="s">
        <v>1584</v>
      </c>
      <c r="C196" s="84" t="s">
        <v>1585</v>
      </c>
      <c r="D196" s="97" t="s">
        <v>1431</v>
      </c>
      <c r="E196" s="97" t="s">
        <v>922</v>
      </c>
      <c r="F196" s="84"/>
      <c r="G196" s="97" t="s">
        <v>1453</v>
      </c>
      <c r="H196" s="97" t="s">
        <v>169</v>
      </c>
      <c r="I196" s="94">
        <v>51085.230300000003</v>
      </c>
      <c r="J196" s="96">
        <v>11642</v>
      </c>
      <c r="K196" s="84"/>
      <c r="L196" s="94">
        <v>20554.015719833998</v>
      </c>
      <c r="M196" s="95">
        <v>1.4234534364468676E-4</v>
      </c>
      <c r="N196" s="95">
        <f t="shared" si="4"/>
        <v>2.443570582613699E-3</v>
      </c>
      <c r="O196" s="95">
        <f>L196/'סכום נכסי הקרן'!$C$42</f>
        <v>3.5373271384974428E-4</v>
      </c>
    </row>
    <row r="197" spans="2:15" s="132" customFormat="1">
      <c r="B197" s="87" t="s">
        <v>1586</v>
      </c>
      <c r="C197" s="84" t="s">
        <v>1587</v>
      </c>
      <c r="D197" s="97" t="s">
        <v>1446</v>
      </c>
      <c r="E197" s="97" t="s">
        <v>922</v>
      </c>
      <c r="F197" s="84"/>
      <c r="G197" s="97" t="s">
        <v>980</v>
      </c>
      <c r="H197" s="97" t="s">
        <v>169</v>
      </c>
      <c r="I197" s="94">
        <v>9077.8454239999992</v>
      </c>
      <c r="J197" s="96">
        <v>27305</v>
      </c>
      <c r="K197" s="84"/>
      <c r="L197" s="94">
        <v>8566.4068757210007</v>
      </c>
      <c r="M197" s="95">
        <v>3.7143393715220948E-5</v>
      </c>
      <c r="N197" s="95">
        <f t="shared" si="4"/>
        <v>1.018419958685359E-3</v>
      </c>
      <c r="O197" s="95">
        <f>L197/'סכום נכסי הקרן'!$C$42</f>
        <v>1.474270718381241E-4</v>
      </c>
    </row>
    <row r="198" spans="2:15" s="132" customFormat="1">
      <c r="B198" s="87" t="s">
        <v>1588</v>
      </c>
      <c r="C198" s="84" t="s">
        <v>1589</v>
      </c>
      <c r="D198" s="97" t="s">
        <v>30</v>
      </c>
      <c r="E198" s="97" t="s">
        <v>922</v>
      </c>
      <c r="F198" s="84"/>
      <c r="G198" s="97" t="s">
        <v>1506</v>
      </c>
      <c r="H198" s="97" t="s">
        <v>176</v>
      </c>
      <c r="I198" s="94">
        <v>91545.867924999999</v>
      </c>
      <c r="J198" s="96">
        <v>31380</v>
      </c>
      <c r="K198" s="84"/>
      <c r="L198" s="94">
        <v>10672.115181666</v>
      </c>
      <c r="M198" s="95">
        <v>6.8593237278935482E-4</v>
      </c>
      <c r="N198" s="95">
        <f t="shared" si="4"/>
        <v>1.2687577487361533E-3</v>
      </c>
      <c r="O198" s="95">
        <f>L198/'סכום נכסי הקרן'!$C$42</f>
        <v>1.8366611747236029E-4</v>
      </c>
    </row>
    <row r="199" spans="2:15" s="132" customFormat="1">
      <c r="B199" s="87" t="s">
        <v>1590</v>
      </c>
      <c r="C199" s="84" t="s">
        <v>1591</v>
      </c>
      <c r="D199" s="97" t="s">
        <v>30</v>
      </c>
      <c r="E199" s="97" t="s">
        <v>922</v>
      </c>
      <c r="F199" s="84"/>
      <c r="G199" s="97" t="s">
        <v>941</v>
      </c>
      <c r="H199" s="97" t="s">
        <v>171</v>
      </c>
      <c r="I199" s="94">
        <v>28380.683499999999</v>
      </c>
      <c r="J199" s="96">
        <v>12032</v>
      </c>
      <c r="K199" s="84"/>
      <c r="L199" s="94">
        <v>13243.137119324001</v>
      </c>
      <c r="M199" s="95">
        <v>2.3101819136368457E-5</v>
      </c>
      <c r="N199" s="95">
        <f t="shared" si="4"/>
        <v>1.5744144953179497E-3</v>
      </c>
      <c r="O199" s="95">
        <f>L199/'סכום נכסי הקרן'!$C$42</f>
        <v>2.2791316777004964E-4</v>
      </c>
    </row>
    <row r="200" spans="2:15" s="132" customFormat="1">
      <c r="B200" s="87" t="s">
        <v>1592</v>
      </c>
      <c r="C200" s="84" t="s">
        <v>1593</v>
      </c>
      <c r="D200" s="97" t="s">
        <v>131</v>
      </c>
      <c r="E200" s="97" t="s">
        <v>922</v>
      </c>
      <c r="F200" s="84"/>
      <c r="G200" s="97" t="s">
        <v>1512</v>
      </c>
      <c r="H200" s="97" t="s">
        <v>172</v>
      </c>
      <c r="I200" s="94">
        <v>1343463.5100100001</v>
      </c>
      <c r="J200" s="96">
        <v>897.2</v>
      </c>
      <c r="K200" s="84"/>
      <c r="L200" s="94">
        <v>54960.592964110998</v>
      </c>
      <c r="M200" s="95">
        <v>1.2250664429754039E-3</v>
      </c>
      <c r="N200" s="95">
        <f t="shared" si="4"/>
        <v>6.5340072714117651E-3</v>
      </c>
      <c r="O200" s="95">
        <f>L200/'סכום נכסי הקרן'!$C$42</f>
        <v>9.458667332450187E-4</v>
      </c>
    </row>
    <row r="201" spans="2:15" s="132" customFormat="1">
      <c r="B201" s="87" t="s">
        <v>1594</v>
      </c>
      <c r="C201" s="84" t="s">
        <v>1595</v>
      </c>
      <c r="D201" s="97" t="s">
        <v>30</v>
      </c>
      <c r="E201" s="97" t="s">
        <v>922</v>
      </c>
      <c r="F201" s="84"/>
      <c r="G201" s="97" t="s">
        <v>1506</v>
      </c>
      <c r="H201" s="97" t="s">
        <v>171</v>
      </c>
      <c r="I201" s="94">
        <v>34255.484985000003</v>
      </c>
      <c r="J201" s="96">
        <v>11654</v>
      </c>
      <c r="K201" s="84"/>
      <c r="L201" s="94">
        <v>15482.294932481</v>
      </c>
      <c r="M201" s="95">
        <v>4.0300570570588237E-5</v>
      </c>
      <c r="N201" s="95">
        <f t="shared" si="4"/>
        <v>1.8406174717407124E-3</v>
      </c>
      <c r="O201" s="95">
        <f>L201/'סכום נכסי הקרן'!$C$42</f>
        <v>2.6644886710891735E-4</v>
      </c>
    </row>
    <row r="202" spans="2:15" s="132" customFormat="1">
      <c r="B202" s="87" t="s">
        <v>1596</v>
      </c>
      <c r="C202" s="84" t="s">
        <v>1597</v>
      </c>
      <c r="D202" s="97" t="s">
        <v>1431</v>
      </c>
      <c r="E202" s="97" t="s">
        <v>922</v>
      </c>
      <c r="F202" s="84"/>
      <c r="G202" s="97" t="s">
        <v>1095</v>
      </c>
      <c r="H202" s="97" t="s">
        <v>169</v>
      </c>
      <c r="I202" s="94">
        <v>55342.332824999998</v>
      </c>
      <c r="J202" s="96">
        <v>8792</v>
      </c>
      <c r="K202" s="84"/>
      <c r="L202" s="94">
        <v>16815.851949222</v>
      </c>
      <c r="M202" s="95">
        <v>4.6860569707874682E-5</v>
      </c>
      <c r="N202" s="95">
        <f t="shared" si="4"/>
        <v>1.9991578144534943E-3</v>
      </c>
      <c r="O202" s="95">
        <f>L202/'סכום נכסי הקרן'!$C$42</f>
        <v>2.8939926030872236E-4</v>
      </c>
    </row>
    <row r="203" spans="2:15" s="132" customFormat="1">
      <c r="B203" s="87" t="s">
        <v>1598</v>
      </c>
      <c r="C203" s="84" t="s">
        <v>1599</v>
      </c>
      <c r="D203" s="97" t="s">
        <v>1446</v>
      </c>
      <c r="E203" s="97" t="s">
        <v>922</v>
      </c>
      <c r="F203" s="84"/>
      <c r="G203" s="97" t="s">
        <v>1453</v>
      </c>
      <c r="H203" s="97" t="s">
        <v>169</v>
      </c>
      <c r="I203" s="94">
        <v>53639.491815000001</v>
      </c>
      <c r="J203" s="96">
        <v>12821</v>
      </c>
      <c r="K203" s="84"/>
      <c r="L203" s="94">
        <v>23767.324112797996</v>
      </c>
      <c r="M203" s="95">
        <v>1.0585269875068024E-4</v>
      </c>
      <c r="N203" s="95">
        <f t="shared" si="4"/>
        <v>2.8255857551687941E-3</v>
      </c>
      <c r="O203" s="95">
        <f>L203/'סכום נכסי הקרן'!$C$42</f>
        <v>4.0903345477417985E-4</v>
      </c>
    </row>
    <row r="204" spans="2:15" s="132" customFormat="1">
      <c r="B204" s="87" t="s">
        <v>1600</v>
      </c>
      <c r="C204" s="84" t="s">
        <v>1601</v>
      </c>
      <c r="D204" s="97" t="s">
        <v>30</v>
      </c>
      <c r="E204" s="97" t="s">
        <v>922</v>
      </c>
      <c r="F204" s="84"/>
      <c r="G204" s="97" t="s">
        <v>1506</v>
      </c>
      <c r="H204" s="97" t="s">
        <v>171</v>
      </c>
      <c r="I204" s="94">
        <v>25778.174823000001</v>
      </c>
      <c r="J204" s="96">
        <v>9252</v>
      </c>
      <c r="K204" s="84"/>
      <c r="L204" s="94">
        <v>9249.4943353509989</v>
      </c>
      <c r="M204" s="95">
        <v>1.2084415998656951E-4</v>
      </c>
      <c r="N204" s="95">
        <f t="shared" si="4"/>
        <v>1.0996290248092837E-3</v>
      </c>
      <c r="O204" s="95">
        <f>L204/'סכום נכסי הקרן'!$C$42</f>
        <v>1.5918294398424107E-4</v>
      </c>
    </row>
    <row r="205" spans="2:15" s="132" customFormat="1">
      <c r="B205" s="87" t="s">
        <v>1602</v>
      </c>
      <c r="C205" s="84" t="s">
        <v>1603</v>
      </c>
      <c r="D205" s="97" t="s">
        <v>1446</v>
      </c>
      <c r="E205" s="97" t="s">
        <v>922</v>
      </c>
      <c r="F205" s="84"/>
      <c r="G205" s="97" t="s">
        <v>1453</v>
      </c>
      <c r="H205" s="97" t="s">
        <v>169</v>
      </c>
      <c r="I205" s="94">
        <v>105008.52895000001</v>
      </c>
      <c r="J205" s="96">
        <v>6106</v>
      </c>
      <c r="K205" s="84"/>
      <c r="L205" s="94">
        <v>22159.252607685998</v>
      </c>
      <c r="M205" s="95">
        <v>8.7275557912040643E-5</v>
      </c>
      <c r="N205" s="95">
        <f t="shared" si="4"/>
        <v>2.6344096717118163E-3</v>
      </c>
      <c r="O205" s="95">
        <f>L205/'סכום נכסי הקרן'!$C$42</f>
        <v>3.8135869256122651E-4</v>
      </c>
    </row>
    <row r="206" spans="2:15" s="132" customFormat="1">
      <c r="B206" s="87" t="s">
        <v>1604</v>
      </c>
      <c r="C206" s="84" t="s">
        <v>1605</v>
      </c>
      <c r="D206" s="97" t="s">
        <v>30</v>
      </c>
      <c r="E206" s="97" t="s">
        <v>922</v>
      </c>
      <c r="F206" s="84"/>
      <c r="G206" s="97" t="s">
        <v>924</v>
      </c>
      <c r="H206" s="97" t="s">
        <v>171</v>
      </c>
      <c r="I206" s="94">
        <v>79465.913799999995</v>
      </c>
      <c r="J206" s="96">
        <v>4920</v>
      </c>
      <c r="K206" s="84"/>
      <c r="L206" s="94">
        <v>15162.687579439</v>
      </c>
      <c r="M206" s="95">
        <v>3.0541716361882524E-5</v>
      </c>
      <c r="N206" s="95">
        <f t="shared" si="4"/>
        <v>1.8026208516871997E-3</v>
      </c>
      <c r="O206" s="95">
        <f>L206/'סכום נכסי הקרן'!$C$42</f>
        <v>2.6094845405587173E-4</v>
      </c>
    </row>
    <row r="207" spans="2:15" s="132" customFormat="1">
      <c r="B207" s="87" t="s">
        <v>1606</v>
      </c>
      <c r="C207" s="84" t="s">
        <v>1607</v>
      </c>
      <c r="D207" s="97" t="s">
        <v>1446</v>
      </c>
      <c r="E207" s="97" t="s">
        <v>922</v>
      </c>
      <c r="F207" s="84"/>
      <c r="G207" s="97" t="s">
        <v>983</v>
      </c>
      <c r="H207" s="97" t="s">
        <v>169</v>
      </c>
      <c r="I207" s="94">
        <v>107519.084212</v>
      </c>
      <c r="J207" s="96">
        <v>11706</v>
      </c>
      <c r="K207" s="84"/>
      <c r="L207" s="94">
        <v>43497.851897166998</v>
      </c>
      <c r="M207" s="95">
        <v>1.5343319364738415E-4</v>
      </c>
      <c r="N207" s="95">
        <f t="shared" si="4"/>
        <v>5.1712557172094633E-3</v>
      </c>
      <c r="O207" s="95">
        <f>L207/'סכום נכסי הקרן'!$C$42</f>
        <v>7.4859401724459702E-4</v>
      </c>
    </row>
    <row r="208" spans="2:15" s="132" customFormat="1">
      <c r="B208" s="87" t="s">
        <v>1608</v>
      </c>
      <c r="C208" s="84" t="s">
        <v>1609</v>
      </c>
      <c r="D208" s="97" t="s">
        <v>1446</v>
      </c>
      <c r="E208" s="97" t="s">
        <v>922</v>
      </c>
      <c r="F208" s="84"/>
      <c r="G208" s="97" t="s">
        <v>959</v>
      </c>
      <c r="H208" s="97" t="s">
        <v>169</v>
      </c>
      <c r="I208" s="94">
        <v>20238.833018000001</v>
      </c>
      <c r="J208" s="96">
        <v>29398</v>
      </c>
      <c r="K208" s="84"/>
      <c r="L208" s="94">
        <v>20562.550725087</v>
      </c>
      <c r="M208" s="95">
        <v>2.1362163924693657E-5</v>
      </c>
      <c r="N208" s="95">
        <f t="shared" si="4"/>
        <v>2.4445852693806532E-3</v>
      </c>
      <c r="O208" s="95">
        <f>L208/'סכום נכסי הקרן'!$C$42</f>
        <v>3.538796005025531E-4</v>
      </c>
    </row>
    <row r="209" spans="2:15" s="132" customFormat="1">
      <c r="B209" s="87" t="s">
        <v>1610</v>
      </c>
      <c r="C209" s="84" t="s">
        <v>1611</v>
      </c>
      <c r="D209" s="97" t="s">
        <v>1431</v>
      </c>
      <c r="E209" s="97" t="s">
        <v>922</v>
      </c>
      <c r="F209" s="84"/>
      <c r="G209" s="97" t="s">
        <v>941</v>
      </c>
      <c r="H209" s="97" t="s">
        <v>169</v>
      </c>
      <c r="I209" s="94">
        <v>69265.366099999999</v>
      </c>
      <c r="J209" s="96">
        <v>7771</v>
      </c>
      <c r="K209" s="84"/>
      <c r="L209" s="94">
        <v>18602.305688324999</v>
      </c>
      <c r="M209" s="95">
        <v>2.2721553775382794E-3</v>
      </c>
      <c r="N209" s="95">
        <f t="shared" si="4"/>
        <v>2.2115409255484193E-3</v>
      </c>
      <c r="O209" s="95">
        <f>L209/'סכום נכסי הקרן'!$C$42</f>
        <v>3.201439643078604E-4</v>
      </c>
    </row>
    <row r="210" spans="2:15" s="132" customFormat="1">
      <c r="B210" s="87" t="s">
        <v>1612</v>
      </c>
      <c r="C210" s="84" t="s">
        <v>1613</v>
      </c>
      <c r="D210" s="97" t="s">
        <v>30</v>
      </c>
      <c r="E210" s="97" t="s">
        <v>922</v>
      </c>
      <c r="F210" s="84"/>
      <c r="G210" s="97" t="s">
        <v>1506</v>
      </c>
      <c r="H210" s="97" t="s">
        <v>171</v>
      </c>
      <c r="I210" s="94">
        <v>37397.794262000003</v>
      </c>
      <c r="J210" s="96">
        <v>9900</v>
      </c>
      <c r="K210" s="84"/>
      <c r="L210" s="94">
        <v>14358.57644495</v>
      </c>
      <c r="M210" s="95">
        <v>6.1790260160087297E-5</v>
      </c>
      <c r="N210" s="95">
        <f t="shared" si="4"/>
        <v>1.707023848154047E-3</v>
      </c>
      <c r="O210" s="95">
        <f>L210/'סכום נכסי הקרן'!$C$42</f>
        <v>2.4710977563328429E-4</v>
      </c>
    </row>
    <row r="211" spans="2:15" s="132" customFormat="1">
      <c r="B211" s="87" t="s">
        <v>1614</v>
      </c>
      <c r="C211" s="84" t="s">
        <v>1615</v>
      </c>
      <c r="D211" s="97" t="s">
        <v>1446</v>
      </c>
      <c r="E211" s="97" t="s">
        <v>922</v>
      </c>
      <c r="F211" s="84"/>
      <c r="G211" s="97" t="s">
        <v>941</v>
      </c>
      <c r="H211" s="97" t="s">
        <v>169</v>
      </c>
      <c r="I211" s="94">
        <v>61751.258773000001</v>
      </c>
      <c r="J211" s="96">
        <v>18790</v>
      </c>
      <c r="K211" s="84"/>
      <c r="L211" s="94">
        <v>40100.180625919995</v>
      </c>
      <c r="M211" s="95">
        <v>3.6073069023997508E-5</v>
      </c>
      <c r="N211" s="95">
        <f t="shared" si="4"/>
        <v>4.7673225062506309E-3</v>
      </c>
      <c r="O211" s="95">
        <f>L211/'סכום נכסי הקרן'!$C$42</f>
        <v>6.9012040819759477E-4</v>
      </c>
    </row>
    <row r="212" spans="2:15" s="132" customFormat="1">
      <c r="B212" s="87" t="s">
        <v>1616</v>
      </c>
      <c r="C212" s="84" t="s">
        <v>1617</v>
      </c>
      <c r="D212" s="97" t="s">
        <v>1446</v>
      </c>
      <c r="E212" s="97" t="s">
        <v>922</v>
      </c>
      <c r="F212" s="84"/>
      <c r="G212" s="97" t="s">
        <v>1618</v>
      </c>
      <c r="H212" s="97" t="s">
        <v>169</v>
      </c>
      <c r="I212" s="94">
        <v>128073.79423699999</v>
      </c>
      <c r="J212" s="96">
        <v>11884</v>
      </c>
      <c r="K212" s="94">
        <v>234.59020876800002</v>
      </c>
      <c r="L212" s="94">
        <v>52835.911436187002</v>
      </c>
      <c r="M212" s="95">
        <v>4.5141310326660799E-5</v>
      </c>
      <c r="N212" s="95">
        <f t="shared" si="4"/>
        <v>6.2814138439362833E-3</v>
      </c>
      <c r="O212" s="95">
        <f>L212/'סכום נכסי הקרן'!$C$42</f>
        <v>9.0930116021133969E-4</v>
      </c>
    </row>
    <row r="213" spans="2:15" s="132" customFormat="1">
      <c r="B213" s="87" t="s">
        <v>1619</v>
      </c>
      <c r="C213" s="84" t="s">
        <v>1620</v>
      </c>
      <c r="D213" s="97" t="s">
        <v>1446</v>
      </c>
      <c r="E213" s="97" t="s">
        <v>922</v>
      </c>
      <c r="F213" s="84"/>
      <c r="G213" s="97" t="s">
        <v>1131</v>
      </c>
      <c r="H213" s="97" t="s">
        <v>169</v>
      </c>
      <c r="I213" s="94">
        <v>50006.764326999997</v>
      </c>
      <c r="J213" s="96">
        <v>14463</v>
      </c>
      <c r="K213" s="94">
        <v>152.08457334799999</v>
      </c>
      <c r="L213" s="94">
        <v>25147.529661511002</v>
      </c>
      <c r="M213" s="95">
        <v>2.7744569350842297E-5</v>
      </c>
      <c r="N213" s="95">
        <f t="shared" si="4"/>
        <v>2.9896719231841669E-3</v>
      </c>
      <c r="O213" s="95">
        <f>L213/'סכום נכסי הקרן'!$C$42</f>
        <v>4.3278666490457817E-4</v>
      </c>
    </row>
    <row r="214" spans="2:15" s="132" customFormat="1">
      <c r="B214" s="87" t="s">
        <v>1621</v>
      </c>
      <c r="C214" s="84" t="s">
        <v>1622</v>
      </c>
      <c r="D214" s="97" t="s">
        <v>1446</v>
      </c>
      <c r="E214" s="97" t="s">
        <v>922</v>
      </c>
      <c r="F214" s="84"/>
      <c r="G214" s="97" t="s">
        <v>954</v>
      </c>
      <c r="H214" s="97" t="s">
        <v>169</v>
      </c>
      <c r="I214" s="94">
        <v>43966.503457999999</v>
      </c>
      <c r="J214" s="96">
        <v>5380</v>
      </c>
      <c r="K214" s="84"/>
      <c r="L214" s="94">
        <v>8174.8150947800004</v>
      </c>
      <c r="M214" s="95">
        <v>1.0395547256145412E-5</v>
      </c>
      <c r="N214" s="95">
        <f t="shared" si="4"/>
        <v>9.7186544742372885E-4</v>
      </c>
      <c r="O214" s="95">
        <f>L214/'סכום נכסי הקרן'!$C$42</f>
        <v>1.4068781342353371E-4</v>
      </c>
    </row>
    <row r="215" spans="2:15" s="132" customFormat="1">
      <c r="B215" s="131"/>
      <c r="C215" s="131"/>
      <c r="D215" s="131"/>
    </row>
    <row r="216" spans="2:15" s="132" customFormat="1">
      <c r="B216" s="131"/>
      <c r="C216" s="131"/>
      <c r="D216" s="131"/>
    </row>
    <row r="217" spans="2:15" s="132" customFormat="1">
      <c r="B217" s="131"/>
      <c r="C217" s="131"/>
      <c r="D217" s="131"/>
    </row>
    <row r="218" spans="2:15" s="132" customFormat="1">
      <c r="B218" s="138" t="s">
        <v>265</v>
      </c>
      <c r="C218" s="131"/>
      <c r="D218" s="131"/>
    </row>
    <row r="219" spans="2:15" s="132" customFormat="1">
      <c r="B219" s="138" t="s">
        <v>120</v>
      </c>
      <c r="C219" s="131"/>
      <c r="D219" s="131"/>
    </row>
    <row r="220" spans="2:15" s="132" customFormat="1">
      <c r="B220" s="138" t="s">
        <v>247</v>
      </c>
      <c r="C220" s="131"/>
      <c r="D220" s="131"/>
    </row>
    <row r="221" spans="2:15" s="132" customFormat="1">
      <c r="B221" s="138" t="s">
        <v>255</v>
      </c>
      <c r="C221" s="131"/>
      <c r="D221" s="131"/>
    </row>
    <row r="222" spans="2:15" s="132" customFormat="1">
      <c r="B222" s="138" t="s">
        <v>262</v>
      </c>
      <c r="C222" s="131"/>
      <c r="D222" s="131"/>
    </row>
    <row r="223" spans="2:15" s="132" customFormat="1">
      <c r="B223" s="131"/>
      <c r="C223" s="131"/>
      <c r="D223" s="131"/>
    </row>
    <row r="224" spans="2:15" s="132" customFormat="1">
      <c r="B224" s="131"/>
      <c r="C224" s="131"/>
      <c r="D224" s="131"/>
    </row>
    <row r="225" spans="2:4" s="132" customFormat="1">
      <c r="B225" s="131"/>
      <c r="C225" s="131"/>
      <c r="D225" s="131"/>
    </row>
    <row r="226" spans="2:4" s="132" customFormat="1">
      <c r="B226" s="131"/>
      <c r="C226" s="131"/>
      <c r="D226" s="131"/>
    </row>
    <row r="227" spans="2:4" s="132" customFormat="1">
      <c r="B227" s="131"/>
      <c r="C227" s="131"/>
      <c r="D227" s="131"/>
    </row>
    <row r="228" spans="2:4" s="132" customFormat="1">
      <c r="B228" s="131"/>
      <c r="C228" s="131"/>
      <c r="D228" s="131"/>
    </row>
    <row r="229" spans="2:4" s="132" customFormat="1">
      <c r="B229" s="131"/>
      <c r="C229" s="131"/>
      <c r="D229" s="131"/>
    </row>
    <row r="230" spans="2:4" s="132" customFormat="1">
      <c r="B230" s="131"/>
      <c r="C230" s="131"/>
      <c r="D230" s="131"/>
    </row>
    <row r="231" spans="2:4" s="132" customFormat="1">
      <c r="B231" s="131"/>
      <c r="C231" s="131"/>
      <c r="D231" s="131"/>
    </row>
    <row r="232" spans="2:4" s="132" customFormat="1">
      <c r="B232" s="131"/>
      <c r="C232" s="131"/>
      <c r="D232" s="131"/>
    </row>
    <row r="233" spans="2:4" s="132" customFormat="1">
      <c r="B233" s="131"/>
      <c r="C233" s="131"/>
      <c r="D233" s="131"/>
    </row>
    <row r="234" spans="2:4" s="132" customFormat="1">
      <c r="B234" s="131"/>
      <c r="C234" s="131"/>
      <c r="D234" s="131"/>
    </row>
    <row r="235" spans="2:4" s="132" customFormat="1">
      <c r="B235" s="131"/>
      <c r="C235" s="131"/>
      <c r="D235" s="131"/>
    </row>
    <row r="236" spans="2:4" s="132" customFormat="1">
      <c r="B236" s="131"/>
      <c r="C236" s="131"/>
      <c r="D236" s="131"/>
    </row>
    <row r="237" spans="2:4" s="132" customFormat="1">
      <c r="B237" s="131"/>
      <c r="C237" s="131"/>
      <c r="D237" s="131"/>
    </row>
    <row r="238" spans="2:4" s="132" customFormat="1">
      <c r="B238" s="131"/>
      <c r="C238" s="131"/>
      <c r="D238" s="131"/>
    </row>
    <row r="239" spans="2:4" s="132" customFormat="1">
      <c r="B239" s="131"/>
      <c r="C239" s="131"/>
      <c r="D239" s="131"/>
    </row>
    <row r="240" spans="2:4" s="132" customFormat="1">
      <c r="B240" s="131"/>
      <c r="C240" s="131"/>
      <c r="D240" s="131"/>
    </row>
    <row r="241" spans="2:4" s="132" customFormat="1">
      <c r="B241" s="131"/>
      <c r="C241" s="131"/>
      <c r="D241" s="131"/>
    </row>
    <row r="242" spans="2:4" s="132" customFormat="1">
      <c r="B242" s="131"/>
      <c r="C242" s="131"/>
      <c r="D242" s="131"/>
    </row>
    <row r="243" spans="2:4" s="132" customFormat="1">
      <c r="B243" s="131"/>
      <c r="C243" s="131"/>
      <c r="D243" s="131"/>
    </row>
    <row r="244" spans="2:4" s="132" customFormat="1">
      <c r="B244" s="131"/>
      <c r="C244" s="131"/>
      <c r="D244" s="131"/>
    </row>
    <row r="245" spans="2:4" s="132" customFormat="1">
      <c r="B245" s="131"/>
      <c r="C245" s="131"/>
      <c r="D245" s="131"/>
    </row>
    <row r="246" spans="2:4" s="132" customFormat="1">
      <c r="B246" s="131"/>
      <c r="C246" s="131"/>
      <c r="D246" s="131"/>
    </row>
    <row r="247" spans="2:4" s="132" customFormat="1">
      <c r="B247" s="131"/>
      <c r="C247" s="131"/>
      <c r="D247" s="131"/>
    </row>
    <row r="248" spans="2:4" s="132" customFormat="1">
      <c r="B248" s="131"/>
      <c r="C248" s="131"/>
      <c r="D248" s="131"/>
    </row>
    <row r="249" spans="2:4" s="132" customFormat="1">
      <c r="B249" s="131"/>
      <c r="C249" s="131"/>
      <c r="D249" s="131"/>
    </row>
    <row r="250" spans="2:4" s="132" customFormat="1">
      <c r="B250" s="131"/>
      <c r="C250" s="131"/>
      <c r="D250" s="131"/>
    </row>
    <row r="251" spans="2:4" s="132" customFormat="1">
      <c r="B251" s="131"/>
      <c r="C251" s="131"/>
      <c r="D251" s="131"/>
    </row>
    <row r="252" spans="2:4" s="132" customFormat="1">
      <c r="B252" s="131"/>
      <c r="C252" s="131"/>
      <c r="D252" s="131"/>
    </row>
    <row r="253" spans="2:4" s="132" customFormat="1">
      <c r="B253" s="131"/>
      <c r="C253" s="131"/>
      <c r="D253" s="131"/>
    </row>
    <row r="254" spans="2:4" s="132" customFormat="1">
      <c r="B254" s="131"/>
      <c r="C254" s="131"/>
      <c r="D254" s="131"/>
    </row>
    <row r="255" spans="2:4" s="132" customFormat="1">
      <c r="B255" s="131"/>
      <c r="C255" s="131"/>
      <c r="D255" s="131"/>
    </row>
    <row r="256" spans="2:4" s="132" customFormat="1">
      <c r="B256" s="131"/>
      <c r="C256" s="131"/>
      <c r="D256" s="131"/>
    </row>
    <row r="257" spans="2:4" s="132" customFormat="1">
      <c r="B257" s="131"/>
      <c r="C257" s="131"/>
      <c r="D257" s="131"/>
    </row>
    <row r="258" spans="2:4" s="132" customFormat="1">
      <c r="B258" s="131"/>
      <c r="C258" s="131"/>
      <c r="D258" s="131"/>
    </row>
    <row r="259" spans="2:4" s="132" customFormat="1">
      <c r="B259" s="131"/>
      <c r="C259" s="131"/>
      <c r="D259" s="131"/>
    </row>
    <row r="260" spans="2:4" s="132" customFormat="1">
      <c r="B260" s="131"/>
      <c r="C260" s="131"/>
      <c r="D260" s="131"/>
    </row>
    <row r="261" spans="2:4" s="132" customFormat="1">
      <c r="B261" s="131"/>
      <c r="C261" s="131"/>
      <c r="D261" s="131"/>
    </row>
    <row r="262" spans="2:4" s="132" customFormat="1">
      <c r="B262" s="131"/>
      <c r="C262" s="131"/>
      <c r="D262" s="131"/>
    </row>
    <row r="263" spans="2:4" s="132" customFormat="1">
      <c r="B263" s="131"/>
      <c r="C263" s="131"/>
      <c r="D263" s="131"/>
    </row>
    <row r="264" spans="2:4" s="132" customFormat="1">
      <c r="B264" s="131"/>
      <c r="C264" s="131"/>
      <c r="D264" s="131"/>
    </row>
    <row r="265" spans="2:4" s="132" customFormat="1">
      <c r="B265" s="131"/>
      <c r="C265" s="131"/>
      <c r="D265" s="131"/>
    </row>
    <row r="266" spans="2:4" s="132" customFormat="1">
      <c r="B266" s="131"/>
      <c r="C266" s="131"/>
      <c r="D266" s="131"/>
    </row>
    <row r="267" spans="2:4" s="132" customFormat="1">
      <c r="B267" s="131"/>
      <c r="C267" s="131"/>
      <c r="D267" s="131"/>
    </row>
    <row r="268" spans="2:4" s="132" customFormat="1">
      <c r="B268" s="131"/>
      <c r="C268" s="131"/>
      <c r="D268" s="131"/>
    </row>
    <row r="269" spans="2:4" s="132" customFormat="1">
      <c r="B269" s="131"/>
      <c r="C269" s="131"/>
      <c r="D269" s="131"/>
    </row>
    <row r="270" spans="2:4" s="132" customFormat="1">
      <c r="B270" s="131"/>
      <c r="C270" s="131"/>
      <c r="D270" s="131"/>
    </row>
    <row r="271" spans="2:4" s="132" customFormat="1">
      <c r="B271" s="131"/>
      <c r="C271" s="131"/>
      <c r="D271" s="131"/>
    </row>
    <row r="272" spans="2:4" s="132" customFormat="1">
      <c r="B272" s="131"/>
      <c r="C272" s="131"/>
      <c r="D272" s="131"/>
    </row>
    <row r="273" spans="2:4" s="132" customFormat="1">
      <c r="B273" s="143"/>
      <c r="C273" s="131"/>
      <c r="D273" s="131"/>
    </row>
    <row r="274" spans="2:4" s="132" customFormat="1">
      <c r="B274" s="143"/>
      <c r="C274" s="131"/>
      <c r="D274" s="131"/>
    </row>
    <row r="275" spans="2:4" s="132" customFormat="1">
      <c r="B275" s="141"/>
      <c r="C275" s="131"/>
      <c r="D275" s="131"/>
    </row>
    <row r="276" spans="2:4" s="132" customFormat="1">
      <c r="B276" s="131"/>
      <c r="C276" s="131"/>
      <c r="D276" s="131"/>
    </row>
    <row r="277" spans="2:4" s="132" customFormat="1">
      <c r="B277" s="131"/>
      <c r="C277" s="131"/>
      <c r="D277" s="131"/>
    </row>
    <row r="278" spans="2:4" s="132" customFormat="1">
      <c r="B278" s="131"/>
      <c r="C278" s="131"/>
      <c r="D278" s="131"/>
    </row>
    <row r="279" spans="2:4" s="132" customFormat="1">
      <c r="B279" s="131"/>
      <c r="C279" s="131"/>
      <c r="D279" s="131"/>
    </row>
    <row r="280" spans="2:4" s="132" customFormat="1">
      <c r="B280" s="131"/>
      <c r="C280" s="131"/>
      <c r="D280" s="131"/>
    </row>
    <row r="281" spans="2:4" s="132" customFormat="1">
      <c r="B281" s="131"/>
      <c r="C281" s="131"/>
      <c r="D281" s="131"/>
    </row>
    <row r="282" spans="2:4" s="132" customFormat="1">
      <c r="B282" s="131"/>
      <c r="C282" s="131"/>
      <c r="D282" s="131"/>
    </row>
    <row r="283" spans="2:4" s="132" customFormat="1">
      <c r="B283" s="131"/>
      <c r="C283" s="131"/>
      <c r="D283" s="131"/>
    </row>
    <row r="284" spans="2:4" s="132" customFormat="1">
      <c r="B284" s="131"/>
      <c r="C284" s="131"/>
      <c r="D284" s="131"/>
    </row>
    <row r="285" spans="2:4" s="132" customFormat="1">
      <c r="B285" s="131"/>
      <c r="C285" s="131"/>
      <c r="D285" s="131"/>
    </row>
    <row r="286" spans="2:4" s="132" customFormat="1">
      <c r="B286" s="131"/>
      <c r="C286" s="131"/>
      <c r="D286" s="131"/>
    </row>
    <row r="287" spans="2:4" s="132" customFormat="1">
      <c r="B287" s="131"/>
      <c r="C287" s="131"/>
      <c r="D287" s="131"/>
    </row>
    <row r="288" spans="2:4" s="132" customFormat="1">
      <c r="B288" s="131"/>
      <c r="C288" s="131"/>
      <c r="D288" s="131"/>
    </row>
    <row r="289" spans="2:4" s="132" customFormat="1">
      <c r="B289" s="131"/>
      <c r="C289" s="131"/>
      <c r="D289" s="131"/>
    </row>
    <row r="290" spans="2:4" s="132" customFormat="1">
      <c r="B290" s="131"/>
      <c r="C290" s="131"/>
      <c r="D290" s="131"/>
    </row>
    <row r="291" spans="2:4" s="132" customFormat="1">
      <c r="B291" s="131"/>
      <c r="C291" s="131"/>
      <c r="D291" s="131"/>
    </row>
    <row r="292" spans="2:4" s="132" customFormat="1">
      <c r="B292" s="131"/>
      <c r="C292" s="131"/>
      <c r="D292" s="131"/>
    </row>
    <row r="293" spans="2:4" s="132" customFormat="1">
      <c r="B293" s="131"/>
      <c r="C293" s="131"/>
      <c r="D293" s="131"/>
    </row>
    <row r="294" spans="2:4" s="132" customFormat="1">
      <c r="B294" s="143"/>
      <c r="C294" s="131"/>
      <c r="D294" s="131"/>
    </row>
    <row r="295" spans="2:4" s="132" customFormat="1">
      <c r="B295" s="143"/>
      <c r="C295" s="131"/>
      <c r="D295" s="131"/>
    </row>
    <row r="296" spans="2:4" s="132" customFormat="1">
      <c r="B296" s="141"/>
      <c r="C296" s="131"/>
      <c r="D296" s="131"/>
    </row>
    <row r="297" spans="2:4" s="132" customFormat="1">
      <c r="B297" s="131"/>
      <c r="C297" s="131"/>
      <c r="D297" s="131"/>
    </row>
    <row r="298" spans="2:4" s="132" customFormat="1">
      <c r="B298" s="131"/>
      <c r="C298" s="131"/>
      <c r="D298" s="131"/>
    </row>
    <row r="299" spans="2:4" s="132" customFormat="1">
      <c r="B299" s="131"/>
      <c r="C299" s="131"/>
      <c r="D299" s="131"/>
    </row>
    <row r="300" spans="2:4" s="132" customFormat="1">
      <c r="B300" s="131"/>
      <c r="C300" s="131"/>
      <c r="D300" s="131"/>
    </row>
    <row r="301" spans="2:4" s="132" customFormat="1">
      <c r="B301" s="131"/>
      <c r="C301" s="131"/>
      <c r="D301" s="131"/>
    </row>
    <row r="302" spans="2:4" s="132" customFormat="1">
      <c r="B302" s="131"/>
      <c r="C302" s="131"/>
      <c r="D302" s="131"/>
    </row>
    <row r="303" spans="2:4" s="132" customFormat="1">
      <c r="B303" s="131"/>
      <c r="C303" s="131"/>
      <c r="D303" s="131"/>
    </row>
    <row r="304" spans="2:4" s="132" customFormat="1">
      <c r="B304" s="131"/>
      <c r="C304" s="131"/>
      <c r="D304" s="131"/>
    </row>
    <row r="305" spans="2:4" s="132" customFormat="1">
      <c r="B305" s="131"/>
      <c r="C305" s="131"/>
      <c r="D305" s="131"/>
    </row>
    <row r="306" spans="2:4" s="132" customFormat="1">
      <c r="B306" s="131"/>
      <c r="C306" s="131"/>
      <c r="D306" s="131"/>
    </row>
    <row r="307" spans="2:4" s="132" customFormat="1">
      <c r="B307" s="131"/>
      <c r="C307" s="131"/>
      <c r="D307" s="131"/>
    </row>
    <row r="308" spans="2:4" s="132" customFormat="1">
      <c r="B308" s="131"/>
      <c r="C308" s="131"/>
      <c r="D308" s="131"/>
    </row>
    <row r="309" spans="2:4" s="132" customFormat="1">
      <c r="B309" s="131"/>
      <c r="C309" s="131"/>
      <c r="D309" s="131"/>
    </row>
    <row r="310" spans="2:4" s="132" customFormat="1">
      <c r="B310" s="131"/>
      <c r="C310" s="131"/>
      <c r="D310" s="131"/>
    </row>
    <row r="311" spans="2:4" s="132" customFormat="1">
      <c r="B311" s="131"/>
      <c r="C311" s="131"/>
      <c r="D311" s="131"/>
    </row>
    <row r="312" spans="2:4" s="132" customFormat="1">
      <c r="B312" s="131"/>
      <c r="C312" s="131"/>
      <c r="D312" s="131"/>
    </row>
    <row r="313" spans="2:4" s="132" customFormat="1">
      <c r="B313" s="131"/>
      <c r="C313" s="131"/>
      <c r="D313" s="131"/>
    </row>
    <row r="314" spans="2:4" s="132" customFormat="1">
      <c r="B314" s="131"/>
      <c r="C314" s="131"/>
      <c r="D314" s="131"/>
    </row>
    <row r="315" spans="2:4" s="132" customFormat="1">
      <c r="B315" s="131"/>
      <c r="C315" s="131"/>
      <c r="D315" s="131"/>
    </row>
    <row r="316" spans="2:4" s="132" customFormat="1">
      <c r="B316" s="131"/>
      <c r="C316" s="131"/>
      <c r="D316" s="131"/>
    </row>
    <row r="317" spans="2:4" s="132" customFormat="1">
      <c r="B317" s="131"/>
      <c r="C317" s="131"/>
      <c r="D317" s="131"/>
    </row>
    <row r="318" spans="2:4" s="132" customFormat="1">
      <c r="B318" s="131"/>
      <c r="C318" s="131"/>
      <c r="D318" s="131"/>
    </row>
    <row r="319" spans="2:4" s="132" customFormat="1">
      <c r="B319" s="131"/>
      <c r="C319" s="131"/>
      <c r="D319" s="131"/>
    </row>
    <row r="320" spans="2:4" s="132" customFormat="1">
      <c r="B320" s="131"/>
      <c r="C320" s="131"/>
      <c r="D320" s="131"/>
    </row>
    <row r="321" spans="2:4" s="132" customFormat="1">
      <c r="B321" s="131"/>
      <c r="C321" s="131"/>
      <c r="D321" s="131"/>
    </row>
    <row r="322" spans="2:4" s="132" customFormat="1">
      <c r="B322" s="131"/>
      <c r="C322" s="131"/>
      <c r="D322" s="131"/>
    </row>
    <row r="323" spans="2:4" s="132" customFormat="1">
      <c r="B323" s="131"/>
      <c r="C323" s="131"/>
      <c r="D323" s="131"/>
    </row>
    <row r="324" spans="2:4" s="132" customFormat="1">
      <c r="B324" s="131"/>
      <c r="C324" s="131"/>
      <c r="D324" s="131"/>
    </row>
    <row r="325" spans="2:4" s="132" customFormat="1">
      <c r="B325" s="131"/>
      <c r="C325" s="131"/>
      <c r="D325" s="131"/>
    </row>
    <row r="326" spans="2:4" s="132" customFormat="1">
      <c r="B326" s="131"/>
      <c r="C326" s="131"/>
      <c r="D326" s="131"/>
    </row>
    <row r="327" spans="2:4" s="132" customFormat="1">
      <c r="B327" s="131"/>
      <c r="C327" s="131"/>
      <c r="D327" s="131"/>
    </row>
    <row r="328" spans="2:4" s="132" customFormat="1">
      <c r="B328" s="131"/>
      <c r="C328" s="131"/>
      <c r="D328" s="131"/>
    </row>
    <row r="329" spans="2:4" s="132" customFormat="1">
      <c r="B329" s="131"/>
      <c r="C329" s="131"/>
      <c r="D329" s="131"/>
    </row>
    <row r="330" spans="2:4" s="132" customFormat="1">
      <c r="B330" s="131"/>
      <c r="C330" s="131"/>
      <c r="D330" s="131"/>
    </row>
    <row r="331" spans="2:4" s="132" customFormat="1">
      <c r="B331" s="131"/>
      <c r="C331" s="131"/>
      <c r="D331" s="131"/>
    </row>
    <row r="332" spans="2:4" s="132" customFormat="1">
      <c r="B332" s="131"/>
      <c r="C332" s="131"/>
      <c r="D332" s="131"/>
    </row>
    <row r="333" spans="2:4" s="132" customFormat="1">
      <c r="B333" s="131"/>
      <c r="C333" s="131"/>
      <c r="D333" s="131"/>
    </row>
    <row r="334" spans="2:4" s="132" customFormat="1">
      <c r="B334" s="131"/>
      <c r="C334" s="131"/>
      <c r="D334" s="131"/>
    </row>
    <row r="335" spans="2:4" s="132" customFormat="1">
      <c r="B335" s="131"/>
      <c r="C335" s="131"/>
      <c r="D335" s="131"/>
    </row>
    <row r="336" spans="2:4" s="132" customFormat="1">
      <c r="B336" s="131"/>
      <c r="C336" s="131"/>
      <c r="D336" s="131"/>
    </row>
    <row r="337" spans="2:7" s="132" customFormat="1">
      <c r="B337" s="131"/>
      <c r="C337" s="131"/>
      <c r="D337" s="131"/>
    </row>
    <row r="338" spans="2:7" s="132" customFormat="1">
      <c r="B338" s="131"/>
      <c r="C338" s="131"/>
      <c r="D338" s="131"/>
    </row>
    <row r="339" spans="2:7" s="132" customFormat="1">
      <c r="B339" s="131"/>
      <c r="C339" s="131"/>
      <c r="D339" s="131"/>
    </row>
    <row r="340" spans="2:7" s="132" customFormat="1">
      <c r="B340" s="131"/>
      <c r="C340" s="131"/>
      <c r="D340" s="131"/>
    </row>
    <row r="341" spans="2:7" s="132" customFormat="1">
      <c r="B341" s="131"/>
      <c r="C341" s="131"/>
      <c r="D341" s="131"/>
    </row>
    <row r="342" spans="2:7">
      <c r="E342" s="1"/>
      <c r="F342" s="1"/>
      <c r="G342" s="1"/>
    </row>
    <row r="343" spans="2:7">
      <c r="E343" s="1"/>
      <c r="F343" s="1"/>
      <c r="G343" s="1"/>
    </row>
    <row r="344" spans="2:7">
      <c r="E344" s="1"/>
      <c r="F344" s="1"/>
      <c r="G344" s="1"/>
    </row>
    <row r="345" spans="2:7">
      <c r="E345" s="1"/>
      <c r="F345" s="1"/>
      <c r="G345" s="1"/>
    </row>
    <row r="346" spans="2:7">
      <c r="E346" s="1"/>
      <c r="F346" s="1"/>
      <c r="G346" s="1"/>
    </row>
    <row r="347" spans="2:7">
      <c r="E347" s="1"/>
      <c r="F347" s="1"/>
      <c r="G347" s="1"/>
    </row>
    <row r="348" spans="2:7">
      <c r="E348" s="1"/>
      <c r="F348" s="1"/>
      <c r="G348" s="1"/>
    </row>
    <row r="349" spans="2:7">
      <c r="E349" s="1"/>
      <c r="F349" s="1"/>
      <c r="G349" s="1"/>
    </row>
    <row r="350" spans="2:7">
      <c r="E350" s="1"/>
      <c r="F350" s="1"/>
      <c r="G350" s="1"/>
    </row>
    <row r="351" spans="2:7">
      <c r="E351" s="1"/>
      <c r="F351" s="1"/>
      <c r="G351" s="1"/>
    </row>
    <row r="352" spans="2:7">
      <c r="E352" s="1"/>
      <c r="F352" s="1"/>
      <c r="G352" s="1"/>
    </row>
    <row r="353" spans="2:7">
      <c r="E353" s="1"/>
      <c r="F353" s="1"/>
      <c r="G353" s="1"/>
    </row>
    <row r="354" spans="2:7">
      <c r="E354" s="1"/>
      <c r="F354" s="1"/>
      <c r="G354" s="1"/>
    </row>
    <row r="355" spans="2:7">
      <c r="E355" s="1"/>
      <c r="F355" s="1"/>
      <c r="G355" s="1"/>
    </row>
    <row r="356" spans="2:7">
      <c r="E356" s="1"/>
      <c r="F356" s="1"/>
      <c r="G356" s="1"/>
    </row>
    <row r="357" spans="2:7">
      <c r="E357" s="1"/>
      <c r="F357" s="1"/>
      <c r="G357" s="1"/>
    </row>
    <row r="358" spans="2:7">
      <c r="E358" s="1"/>
      <c r="F358" s="1"/>
      <c r="G358" s="1"/>
    </row>
    <row r="359" spans="2:7">
      <c r="E359" s="1"/>
      <c r="F359" s="1"/>
      <c r="G359" s="1"/>
    </row>
    <row r="360" spans="2:7">
      <c r="E360" s="1"/>
      <c r="F360" s="1"/>
      <c r="G360" s="1"/>
    </row>
    <row r="361" spans="2:7">
      <c r="B361" s="44"/>
      <c r="E361" s="1"/>
      <c r="F361" s="1"/>
      <c r="G361" s="1"/>
    </row>
    <row r="362" spans="2:7">
      <c r="B362" s="44"/>
      <c r="E362" s="1"/>
      <c r="F362" s="1"/>
      <c r="G362" s="1"/>
    </row>
    <row r="363" spans="2:7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220 B222"/>
    <dataValidation type="list" allowBlank="1" showInputMessage="1" showErrorMessage="1" sqref="E12:E35 E37:E357">
      <formula1>$AK$6:$AK$23</formula1>
    </dataValidation>
    <dataValidation type="list" allowBlank="1" showInputMessage="1" showErrorMessage="1" sqref="H12:H35 H37:H357">
      <formula1>$AO$6:$AO$19</formula1>
    </dataValidation>
    <dataValidation type="list" allowBlank="1" showInputMessage="1" showErrorMessage="1" sqref="G12:G35 G37:G363">
      <formula1>$AM$6:$AM$29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D255"/>
  <sheetViews>
    <sheetView rightToLeft="1" topLeftCell="B1" zoomScale="90" zoomScaleNormal="90" workbookViewId="0">
      <selection activeCell="B11" sqref="A11:XFD233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8.42578125" style="2" bestFit="1" customWidth="1"/>
    <col min="4" max="4" width="9.710937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" style="1" bestFit="1" customWidth="1"/>
    <col min="11" max="11" width="13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5" width="6.28515625" style="1" customWidth="1"/>
    <col min="16" max="16" width="8" style="1" customWidth="1"/>
    <col min="17" max="17" width="8.7109375" style="1" customWidth="1"/>
    <col min="18" max="18" width="10" style="1" customWidth="1"/>
    <col min="19" max="19" width="9.5703125" style="1" customWidth="1"/>
    <col min="20" max="20" width="6.140625" style="1" customWidth="1"/>
    <col min="21" max="22" width="5.7109375" style="1" customWidth="1"/>
    <col min="23" max="23" width="6.85546875" style="1" customWidth="1"/>
    <col min="24" max="24" width="6.42578125" style="1" customWidth="1"/>
    <col min="25" max="25" width="6.7109375" style="1" customWidth="1"/>
    <col min="26" max="26" width="7.28515625" style="1" customWidth="1"/>
    <col min="27" max="38" width="5.7109375" style="1" customWidth="1"/>
    <col min="39" max="16384" width="9.140625" style="1"/>
  </cols>
  <sheetData>
    <row r="1" spans="2:56">
      <c r="B1" s="57" t="s">
        <v>185</v>
      </c>
      <c r="C1" s="78" t="s" vm="1">
        <v>273</v>
      </c>
    </row>
    <row r="2" spans="2:56">
      <c r="B2" s="57" t="s">
        <v>184</v>
      </c>
      <c r="C2" s="78" t="s">
        <v>274</v>
      </c>
    </row>
    <row r="3" spans="2:56">
      <c r="B3" s="57" t="s">
        <v>186</v>
      </c>
      <c r="C3" s="78" t="s">
        <v>275</v>
      </c>
    </row>
    <row r="4" spans="2:56">
      <c r="B4" s="57" t="s">
        <v>187</v>
      </c>
      <c r="C4" s="78">
        <v>2102</v>
      </c>
    </row>
    <row r="6" spans="2:56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BD6" s="3"/>
    </row>
    <row r="7" spans="2:56" ht="26.25" customHeight="1">
      <c r="B7" s="181" t="s">
        <v>272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3"/>
      <c r="BA7" s="3"/>
      <c r="BD7" s="3"/>
    </row>
    <row r="8" spans="2:56" s="3" customFormat="1" ht="74.25" customHeight="1">
      <c r="B8" s="23" t="s">
        <v>123</v>
      </c>
      <c r="C8" s="31" t="s">
        <v>49</v>
      </c>
      <c r="D8" s="31" t="s">
        <v>127</v>
      </c>
      <c r="E8" s="31" t="s">
        <v>125</v>
      </c>
      <c r="F8" s="31" t="s">
        <v>70</v>
      </c>
      <c r="G8" s="31" t="s">
        <v>109</v>
      </c>
      <c r="H8" s="31" t="s">
        <v>249</v>
      </c>
      <c r="I8" s="31" t="s">
        <v>248</v>
      </c>
      <c r="J8" s="31" t="s">
        <v>264</v>
      </c>
      <c r="K8" s="31" t="s">
        <v>67</v>
      </c>
      <c r="L8" s="31" t="s">
        <v>64</v>
      </c>
      <c r="M8" s="31" t="s">
        <v>188</v>
      </c>
      <c r="N8" s="15" t="s">
        <v>190</v>
      </c>
      <c r="BA8" s="1"/>
      <c r="BB8" s="1"/>
      <c r="BD8" s="4"/>
    </row>
    <row r="9" spans="2:56" s="3" customFormat="1" ht="26.25" customHeight="1">
      <c r="B9" s="16"/>
      <c r="C9" s="17"/>
      <c r="D9" s="17"/>
      <c r="E9" s="17"/>
      <c r="F9" s="17"/>
      <c r="G9" s="17"/>
      <c r="H9" s="33" t="s">
        <v>256</v>
      </c>
      <c r="I9" s="33"/>
      <c r="J9" s="17" t="s">
        <v>252</v>
      </c>
      <c r="K9" s="33" t="s">
        <v>252</v>
      </c>
      <c r="L9" s="33" t="s">
        <v>20</v>
      </c>
      <c r="M9" s="18" t="s">
        <v>20</v>
      </c>
      <c r="N9" s="18" t="s">
        <v>20</v>
      </c>
      <c r="BA9" s="1"/>
      <c r="BD9" s="4"/>
    </row>
    <row r="10" spans="2:56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BA10" s="1"/>
      <c r="BB10" s="3"/>
      <c r="BD10" s="1"/>
    </row>
    <row r="11" spans="2:56" s="135" customFormat="1" ht="18" customHeight="1">
      <c r="B11" s="79" t="s">
        <v>267</v>
      </c>
      <c r="C11" s="80"/>
      <c r="D11" s="80"/>
      <c r="E11" s="80"/>
      <c r="F11" s="80"/>
      <c r="G11" s="80"/>
      <c r="H11" s="88"/>
      <c r="I11" s="90"/>
      <c r="J11" s="88">
        <v>1622.7531305709995</v>
      </c>
      <c r="K11" s="88">
        <v>6719044.4009583984</v>
      </c>
      <c r="L11" s="80"/>
      <c r="M11" s="89">
        <f>K11/$K$11</f>
        <v>1</v>
      </c>
      <c r="N11" s="89">
        <f>K11/'סכום נכסי הקרן'!$C$42</f>
        <v>0.11563413411883579</v>
      </c>
      <c r="BA11" s="132"/>
      <c r="BB11" s="141"/>
      <c r="BD11" s="132"/>
    </row>
    <row r="12" spans="2:56" s="132" customFormat="1" ht="20.25">
      <c r="B12" s="81" t="s">
        <v>243</v>
      </c>
      <c r="C12" s="82"/>
      <c r="D12" s="82"/>
      <c r="E12" s="82"/>
      <c r="F12" s="82"/>
      <c r="G12" s="82"/>
      <c r="H12" s="91"/>
      <c r="I12" s="93"/>
      <c r="J12" s="82"/>
      <c r="K12" s="91">
        <v>518732.34675253998</v>
      </c>
      <c r="L12" s="82"/>
      <c r="M12" s="92">
        <f t="shared" ref="M12:M24" si="0">K12/$K$11</f>
        <v>7.7203291985769362E-2</v>
      </c>
      <c r="N12" s="92">
        <f>K12/'סכום נכסי הקרן'!$C$42</f>
        <v>8.9273358198980936E-3</v>
      </c>
      <c r="BB12" s="135"/>
    </row>
    <row r="13" spans="2:56" s="132" customFormat="1">
      <c r="B13" s="102" t="s">
        <v>268</v>
      </c>
      <c r="C13" s="82"/>
      <c r="D13" s="82"/>
      <c r="E13" s="82"/>
      <c r="F13" s="82"/>
      <c r="G13" s="82"/>
      <c r="H13" s="91"/>
      <c r="I13" s="93"/>
      <c r="J13" s="82"/>
      <c r="K13" s="91">
        <v>437796.54297118401</v>
      </c>
      <c r="L13" s="82"/>
      <c r="M13" s="92">
        <f t="shared" si="0"/>
        <v>6.5157560635964409E-2</v>
      </c>
      <c r="N13" s="92">
        <f>K13/'סכום נכסי הקרן'!$C$42</f>
        <v>7.5344381054352838E-3</v>
      </c>
    </row>
    <row r="14" spans="2:56" s="132" customFormat="1">
      <c r="B14" s="87" t="s">
        <v>1623</v>
      </c>
      <c r="C14" s="84" t="s">
        <v>1624</v>
      </c>
      <c r="D14" s="97" t="s">
        <v>128</v>
      </c>
      <c r="E14" s="84" t="s">
        <v>1625</v>
      </c>
      <c r="F14" s="97" t="s">
        <v>1820</v>
      </c>
      <c r="G14" s="97" t="s">
        <v>170</v>
      </c>
      <c r="H14" s="94">
        <v>2247590.4509999999</v>
      </c>
      <c r="I14" s="96">
        <v>1602</v>
      </c>
      <c r="J14" s="84"/>
      <c r="K14" s="94">
        <v>36006.39902502</v>
      </c>
      <c r="L14" s="95">
        <v>3.2259980420020526E-2</v>
      </c>
      <c r="M14" s="95">
        <f t="shared" si="0"/>
        <v>5.358857134488363E-3</v>
      </c>
      <c r="N14" s="95">
        <f>K14/'סכום נכסי הקרן'!$C$42</f>
        <v>6.1966680461310742E-4</v>
      </c>
    </row>
    <row r="15" spans="2:56" s="132" customFormat="1">
      <c r="B15" s="87" t="s">
        <v>1626</v>
      </c>
      <c r="C15" s="84" t="s">
        <v>1627</v>
      </c>
      <c r="D15" s="97" t="s">
        <v>128</v>
      </c>
      <c r="E15" s="84" t="s">
        <v>1625</v>
      </c>
      <c r="F15" s="97" t="s">
        <v>1820</v>
      </c>
      <c r="G15" s="97" t="s">
        <v>170</v>
      </c>
      <c r="H15" s="94">
        <v>3847747.0645790007</v>
      </c>
      <c r="I15" s="96">
        <v>2462</v>
      </c>
      <c r="J15" s="84"/>
      <c r="K15" s="94">
        <v>94731.532729946004</v>
      </c>
      <c r="L15" s="95">
        <v>8.9458583627779864E-2</v>
      </c>
      <c r="M15" s="95">
        <f t="shared" si="0"/>
        <v>1.4098959178842988E-2</v>
      </c>
      <c r="N15" s="95">
        <f>K15/'סכום נכסי הקרן'!$C$42</f>
        <v>1.6303209366223211E-3</v>
      </c>
    </row>
    <row r="16" spans="2:56" s="132" customFormat="1" ht="20.25">
      <c r="B16" s="87" t="s">
        <v>1628</v>
      </c>
      <c r="C16" s="84" t="s">
        <v>1629</v>
      </c>
      <c r="D16" s="97" t="s">
        <v>128</v>
      </c>
      <c r="E16" s="84" t="s">
        <v>1630</v>
      </c>
      <c r="F16" s="97" t="s">
        <v>1820</v>
      </c>
      <c r="G16" s="97" t="s">
        <v>170</v>
      </c>
      <c r="H16" s="94">
        <v>2261.72624</v>
      </c>
      <c r="I16" s="96">
        <v>1235</v>
      </c>
      <c r="J16" s="84"/>
      <c r="K16" s="94">
        <v>27.932319063999994</v>
      </c>
      <c r="L16" s="95">
        <v>4.1636774397832118E-3</v>
      </c>
      <c r="M16" s="95">
        <f t="shared" si="0"/>
        <v>4.1571862600008643E-6</v>
      </c>
      <c r="N16" s="95">
        <f>K16/'סכום נכסי הקרן'!$C$42</f>
        <v>4.807126335459213E-7</v>
      </c>
      <c r="BA16" s="135"/>
    </row>
    <row r="17" spans="2:14" s="132" customFormat="1">
      <c r="B17" s="87" t="s">
        <v>1631</v>
      </c>
      <c r="C17" s="84" t="s">
        <v>1632</v>
      </c>
      <c r="D17" s="97" t="s">
        <v>128</v>
      </c>
      <c r="E17" s="84" t="s">
        <v>1630</v>
      </c>
      <c r="F17" s="97" t="s">
        <v>1820</v>
      </c>
      <c r="G17" s="97" t="s">
        <v>170</v>
      </c>
      <c r="H17" s="94">
        <v>3222959.892</v>
      </c>
      <c r="I17" s="96">
        <v>1600</v>
      </c>
      <c r="J17" s="84"/>
      <c r="K17" s="94">
        <v>51567.358271999998</v>
      </c>
      <c r="L17" s="95">
        <v>2.8707703415715876E-2</v>
      </c>
      <c r="M17" s="95">
        <f t="shared" si="0"/>
        <v>7.6748054030785209E-3</v>
      </c>
      <c r="N17" s="95">
        <f>K17/'סכום נכסי הקרן'!$C$42</f>
        <v>8.8746947731554722E-4</v>
      </c>
    </row>
    <row r="18" spans="2:14" s="132" customFormat="1">
      <c r="B18" s="87" t="s">
        <v>1633</v>
      </c>
      <c r="C18" s="84" t="s">
        <v>1634</v>
      </c>
      <c r="D18" s="97" t="s">
        <v>128</v>
      </c>
      <c r="E18" s="84" t="s">
        <v>1630</v>
      </c>
      <c r="F18" s="97" t="s">
        <v>1820</v>
      </c>
      <c r="G18" s="97" t="s">
        <v>170</v>
      </c>
      <c r="H18" s="94">
        <v>1300492.588</v>
      </c>
      <c r="I18" s="96">
        <v>2436</v>
      </c>
      <c r="J18" s="84"/>
      <c r="K18" s="94">
        <v>31679.999443680001</v>
      </c>
      <c r="L18" s="95">
        <v>1.8149565891449934E-2</v>
      </c>
      <c r="M18" s="95">
        <f t="shared" si="0"/>
        <v>4.7149561088123178E-3</v>
      </c>
      <c r="N18" s="95">
        <f>K18/'סכום נכסי הקרן'!$C$42</f>
        <v>5.4520986705082768E-4</v>
      </c>
    </row>
    <row r="19" spans="2:14" s="132" customFormat="1">
      <c r="B19" s="87" t="s">
        <v>1635</v>
      </c>
      <c r="C19" s="84" t="s">
        <v>1636</v>
      </c>
      <c r="D19" s="97" t="s">
        <v>128</v>
      </c>
      <c r="E19" s="84" t="s">
        <v>1637</v>
      </c>
      <c r="F19" s="97" t="s">
        <v>1820</v>
      </c>
      <c r="G19" s="97" t="s">
        <v>170</v>
      </c>
      <c r="H19" s="94">
        <v>0.35056799999999994</v>
      </c>
      <c r="I19" s="96">
        <v>16670</v>
      </c>
      <c r="J19" s="84"/>
      <c r="K19" s="94">
        <v>5.8440179000000002E-2</v>
      </c>
      <c r="L19" s="95">
        <v>3.0889968716866354E-8</v>
      </c>
      <c r="M19" s="95">
        <f t="shared" si="0"/>
        <v>8.6976920396097031E-9</v>
      </c>
      <c r="N19" s="95">
        <f>K19/'סכום נכסי הקרן'!$C$42</f>
        <v>1.0057500878325587E-9</v>
      </c>
    </row>
    <row r="20" spans="2:14" s="132" customFormat="1">
      <c r="B20" s="87" t="s">
        <v>1638</v>
      </c>
      <c r="C20" s="84" t="s">
        <v>1639</v>
      </c>
      <c r="D20" s="97" t="s">
        <v>128</v>
      </c>
      <c r="E20" s="84" t="s">
        <v>1637</v>
      </c>
      <c r="F20" s="97" t="s">
        <v>1820</v>
      </c>
      <c r="G20" s="97" t="s">
        <v>170</v>
      </c>
      <c r="H20" s="94">
        <v>74778.323810000002</v>
      </c>
      <c r="I20" s="96">
        <v>23880</v>
      </c>
      <c r="J20" s="84"/>
      <c r="K20" s="94">
        <v>17857.063725828</v>
      </c>
      <c r="L20" s="95">
        <v>9.0996912886695362E-3</v>
      </c>
      <c r="M20" s="95">
        <f t="shared" si="0"/>
        <v>2.6576790775903916E-3</v>
      </c>
      <c r="N20" s="95">
        <f>K20/'סכום נכסי הקרן'!$C$42</f>
        <v>3.0731841890291111E-4</v>
      </c>
    </row>
    <row r="21" spans="2:14" s="132" customFormat="1">
      <c r="B21" s="87" t="s">
        <v>1640</v>
      </c>
      <c r="C21" s="84" t="s">
        <v>1641</v>
      </c>
      <c r="D21" s="97" t="s">
        <v>128</v>
      </c>
      <c r="E21" s="84" t="s">
        <v>1637</v>
      </c>
      <c r="F21" s="97" t="s">
        <v>1820</v>
      </c>
      <c r="G21" s="97" t="s">
        <v>170</v>
      </c>
      <c r="H21" s="94">
        <v>425487.24890000001</v>
      </c>
      <c r="I21" s="96">
        <v>16010</v>
      </c>
      <c r="J21" s="84"/>
      <c r="K21" s="94">
        <v>68120.508548889993</v>
      </c>
      <c r="L21" s="95">
        <v>2.8975014338124785E-2</v>
      </c>
      <c r="M21" s="95">
        <f t="shared" si="0"/>
        <v>1.0138422145145126E-2</v>
      </c>
      <c r="N21" s="95">
        <f>K21/'סכום נכסי הקרן'!$C$42</f>
        <v>1.1723476660850864E-3</v>
      </c>
    </row>
    <row r="22" spans="2:14" s="132" customFormat="1">
      <c r="B22" s="87" t="s">
        <v>1642</v>
      </c>
      <c r="C22" s="84" t="s">
        <v>1643</v>
      </c>
      <c r="D22" s="97" t="s">
        <v>128</v>
      </c>
      <c r="E22" s="84" t="s">
        <v>1644</v>
      </c>
      <c r="F22" s="97" t="s">
        <v>1820</v>
      </c>
      <c r="G22" s="97" t="s">
        <v>170</v>
      </c>
      <c r="H22" s="94">
        <v>2289997.818</v>
      </c>
      <c r="I22" s="96">
        <v>1603</v>
      </c>
      <c r="J22" s="84"/>
      <c r="K22" s="94">
        <v>36708.665022540001</v>
      </c>
      <c r="L22" s="95">
        <v>1.2349573519745272E-2</v>
      </c>
      <c r="M22" s="95">
        <f t="shared" si="0"/>
        <v>5.4633758659644975E-3</v>
      </c>
      <c r="N22" s="95">
        <f>K22/'סכום נכסי הקרן'!$C$42</f>
        <v>6.3175273762654932E-4</v>
      </c>
    </row>
    <row r="23" spans="2:14" s="132" customFormat="1">
      <c r="B23" s="87" t="s">
        <v>1645</v>
      </c>
      <c r="C23" s="84" t="s">
        <v>1646</v>
      </c>
      <c r="D23" s="97" t="s">
        <v>128</v>
      </c>
      <c r="E23" s="84" t="s">
        <v>1644</v>
      </c>
      <c r="F23" s="97" t="s">
        <v>1820</v>
      </c>
      <c r="G23" s="97" t="s">
        <v>170</v>
      </c>
      <c r="H23" s="94">
        <v>0.66720900000000005</v>
      </c>
      <c r="I23" s="96">
        <v>1672</v>
      </c>
      <c r="J23" s="84"/>
      <c r="K23" s="94">
        <v>1.1155965000000002E-2</v>
      </c>
      <c r="L23" s="95">
        <v>8.4104522662220159E-9</v>
      </c>
      <c r="M23" s="95">
        <f t="shared" si="0"/>
        <v>1.6603499447642771E-9</v>
      </c>
      <c r="N23" s="95">
        <f>K23/'סכום נכסי הקרן'!$C$42</f>
        <v>1.9199312819707402E-10</v>
      </c>
    </row>
    <row r="24" spans="2:14" s="132" customFormat="1">
      <c r="B24" s="87" t="s">
        <v>1647</v>
      </c>
      <c r="C24" s="84" t="s">
        <v>1648</v>
      </c>
      <c r="D24" s="97" t="s">
        <v>128</v>
      </c>
      <c r="E24" s="84" t="s">
        <v>1644</v>
      </c>
      <c r="F24" s="97" t="s">
        <v>1820</v>
      </c>
      <c r="G24" s="97" t="s">
        <v>170</v>
      </c>
      <c r="H24" s="94">
        <v>4167230.5972000002</v>
      </c>
      <c r="I24" s="96">
        <v>2426</v>
      </c>
      <c r="J24" s="84"/>
      <c r="K24" s="94">
        <v>101097.01428807202</v>
      </c>
      <c r="L24" s="95">
        <v>5.1881771697702854E-2</v>
      </c>
      <c r="M24" s="95">
        <f t="shared" si="0"/>
        <v>1.5046338177740221E-2</v>
      </c>
      <c r="N24" s="95">
        <f>K24/'סכום נכסי הקרן'!$C$42</f>
        <v>1.7398702868421721E-3</v>
      </c>
    </row>
    <row r="25" spans="2:14" s="132" customFormat="1">
      <c r="B25" s="83"/>
      <c r="C25" s="84"/>
      <c r="D25" s="84"/>
      <c r="E25" s="84"/>
      <c r="F25" s="84"/>
      <c r="G25" s="84"/>
      <c r="H25" s="94"/>
      <c r="I25" s="96"/>
      <c r="J25" s="84"/>
      <c r="K25" s="84"/>
      <c r="L25" s="84"/>
      <c r="M25" s="95"/>
      <c r="N25" s="84"/>
    </row>
    <row r="26" spans="2:14" s="132" customFormat="1">
      <c r="B26" s="102" t="s">
        <v>269</v>
      </c>
      <c r="C26" s="82"/>
      <c r="D26" s="82"/>
      <c r="E26" s="82"/>
      <c r="F26" s="82"/>
      <c r="G26" s="82"/>
      <c r="H26" s="91"/>
      <c r="I26" s="93"/>
      <c r="J26" s="82"/>
      <c r="K26" s="91">
        <v>80935.803781356008</v>
      </c>
      <c r="L26" s="82"/>
      <c r="M26" s="92">
        <f t="shared" ref="M26:M89" si="1">K26/$K$11</f>
        <v>1.2045731349804951E-2</v>
      </c>
      <c r="N26" s="92">
        <f>K26/'סכום נכסי הקרן'!$C$42</f>
        <v>1.3928977144628107E-3</v>
      </c>
    </row>
    <row r="27" spans="2:14" s="132" customFormat="1">
      <c r="B27" s="87" t="s">
        <v>1649</v>
      </c>
      <c r="C27" s="84" t="s">
        <v>1650</v>
      </c>
      <c r="D27" s="97" t="s">
        <v>128</v>
      </c>
      <c r="E27" s="84" t="s">
        <v>1625</v>
      </c>
      <c r="F27" s="97" t="s">
        <v>1784</v>
      </c>
      <c r="G27" s="97" t="s">
        <v>170</v>
      </c>
      <c r="H27" s="94">
        <v>202064.67350999999</v>
      </c>
      <c r="I27" s="96">
        <v>358.97</v>
      </c>
      <c r="J27" s="84"/>
      <c r="K27" s="94">
        <v>725.35155849900002</v>
      </c>
      <c r="L27" s="95">
        <v>1.3747758089903482E-3</v>
      </c>
      <c r="M27" s="95">
        <f t="shared" si="1"/>
        <v>1.0795457139642306E-4</v>
      </c>
      <c r="N27" s="95">
        <f>K27/'סכום נכסי הקרן'!$C$42</f>
        <v>1.2483233387595419E-5</v>
      </c>
    </row>
    <row r="28" spans="2:14" s="132" customFormat="1">
      <c r="B28" s="87" t="s">
        <v>1651</v>
      </c>
      <c r="C28" s="84" t="s">
        <v>1652</v>
      </c>
      <c r="D28" s="97" t="s">
        <v>128</v>
      </c>
      <c r="E28" s="84" t="s">
        <v>1625</v>
      </c>
      <c r="F28" s="97" t="s">
        <v>1784</v>
      </c>
      <c r="G28" s="97" t="s">
        <v>170</v>
      </c>
      <c r="H28" s="94">
        <v>802739.83102499996</v>
      </c>
      <c r="I28" s="96">
        <v>330.01</v>
      </c>
      <c r="J28" s="84"/>
      <c r="K28" s="94">
        <v>2649.12171687</v>
      </c>
      <c r="L28" s="95">
        <v>2.9266003029083356E-2</v>
      </c>
      <c r="M28" s="95">
        <f t="shared" si="1"/>
        <v>3.9427060736376915E-4</v>
      </c>
      <c r="N28" s="95">
        <f>K28/'סכום נכסי הקרן'!$C$42</f>
        <v>4.5591140291016926E-5</v>
      </c>
    </row>
    <row r="29" spans="2:14" s="132" customFormat="1">
      <c r="B29" s="87" t="s">
        <v>1653</v>
      </c>
      <c r="C29" s="84" t="s">
        <v>1654</v>
      </c>
      <c r="D29" s="97" t="s">
        <v>128</v>
      </c>
      <c r="E29" s="84" t="s">
        <v>1625</v>
      </c>
      <c r="F29" s="97" t="s">
        <v>1784</v>
      </c>
      <c r="G29" s="97" t="s">
        <v>170</v>
      </c>
      <c r="H29" s="94">
        <v>5206264.1003310001</v>
      </c>
      <c r="I29" s="96">
        <v>344.97</v>
      </c>
      <c r="J29" s="84"/>
      <c r="K29" s="94">
        <v>17960.049267303002</v>
      </c>
      <c r="L29" s="95">
        <v>2.2281718298338624E-2</v>
      </c>
      <c r="M29" s="95">
        <f t="shared" si="1"/>
        <v>2.673006486568417E-3</v>
      </c>
      <c r="N29" s="95">
        <f>K29/'סכום נכסי הקרן'!$C$42</f>
        <v>3.0909079056837035E-4</v>
      </c>
    </row>
    <row r="30" spans="2:14" s="132" customFormat="1">
      <c r="B30" s="87" t="s">
        <v>1655</v>
      </c>
      <c r="C30" s="84" t="s">
        <v>1656</v>
      </c>
      <c r="D30" s="97" t="s">
        <v>128</v>
      </c>
      <c r="E30" s="84" t="s">
        <v>1625</v>
      </c>
      <c r="F30" s="97" t="s">
        <v>1784</v>
      </c>
      <c r="G30" s="97" t="s">
        <v>170</v>
      </c>
      <c r="H30" s="94">
        <v>80798.624729000003</v>
      </c>
      <c r="I30" s="96">
        <v>383.04</v>
      </c>
      <c r="J30" s="84"/>
      <c r="K30" s="94">
        <v>309.49105268099999</v>
      </c>
      <c r="L30" s="95">
        <v>5.664203539454194E-4</v>
      </c>
      <c r="M30" s="95">
        <f t="shared" si="1"/>
        <v>4.6061766259031485E-5</v>
      </c>
      <c r="N30" s="95">
        <f>K30/'סכום נכסי הקרן'!$C$42</f>
        <v>5.3263124573473122E-6</v>
      </c>
    </row>
    <row r="31" spans="2:14" s="132" customFormat="1">
      <c r="B31" s="87" t="s">
        <v>1657</v>
      </c>
      <c r="C31" s="84" t="s">
        <v>1658</v>
      </c>
      <c r="D31" s="97" t="s">
        <v>128</v>
      </c>
      <c r="E31" s="84" t="s">
        <v>1630</v>
      </c>
      <c r="F31" s="97" t="s">
        <v>1784</v>
      </c>
      <c r="G31" s="97" t="s">
        <v>170</v>
      </c>
      <c r="H31" s="94">
        <v>1814248.3886460001</v>
      </c>
      <c r="I31" s="96">
        <v>345.66</v>
      </c>
      <c r="J31" s="84"/>
      <c r="K31" s="94">
        <v>6271.130981753</v>
      </c>
      <c r="L31" s="95">
        <v>4.6954281307361985E-3</v>
      </c>
      <c r="M31" s="95">
        <f t="shared" si="1"/>
        <v>9.3333673771503749E-4</v>
      </c>
      <c r="N31" s="95">
        <f>K31/'סכום נכסי הקרן'!$C$42</f>
        <v>1.0792558550697731E-4</v>
      </c>
    </row>
    <row r="32" spans="2:14" s="132" customFormat="1">
      <c r="B32" s="87" t="s">
        <v>1659</v>
      </c>
      <c r="C32" s="84" t="s">
        <v>1660</v>
      </c>
      <c r="D32" s="97" t="s">
        <v>128</v>
      </c>
      <c r="E32" s="84" t="s">
        <v>1630</v>
      </c>
      <c r="F32" s="97" t="s">
        <v>1784</v>
      </c>
      <c r="G32" s="97" t="s">
        <v>170</v>
      </c>
      <c r="H32" s="94">
        <v>437937.70153899997</v>
      </c>
      <c r="I32" s="96">
        <v>355.06</v>
      </c>
      <c r="J32" s="84"/>
      <c r="K32" s="94">
        <v>1554.9416032239999</v>
      </c>
      <c r="L32" s="95">
        <v>1.659758844797991E-3</v>
      </c>
      <c r="M32" s="95">
        <f t="shared" si="1"/>
        <v>2.3142302840002134E-4</v>
      </c>
      <c r="N32" s="95">
        <f>K32/'סכום נכסי הקרן'!$C$42</f>
        <v>2.6760401504195215E-5</v>
      </c>
    </row>
    <row r="33" spans="2:14" s="132" customFormat="1">
      <c r="B33" s="87" t="s">
        <v>1661</v>
      </c>
      <c r="C33" s="84" t="s">
        <v>1662</v>
      </c>
      <c r="D33" s="97" t="s">
        <v>128</v>
      </c>
      <c r="E33" s="84" t="s">
        <v>1630</v>
      </c>
      <c r="F33" s="97" t="s">
        <v>1784</v>
      </c>
      <c r="G33" s="97" t="s">
        <v>170</v>
      </c>
      <c r="H33" s="94">
        <v>410741.44803099998</v>
      </c>
      <c r="I33" s="96">
        <v>331.05</v>
      </c>
      <c r="J33" s="84"/>
      <c r="K33" s="94">
        <v>1359.7595651589997</v>
      </c>
      <c r="L33" s="95">
        <v>7.961543905877725E-3</v>
      </c>
      <c r="M33" s="95">
        <f t="shared" si="1"/>
        <v>2.0237395141562762E-4</v>
      </c>
      <c r="N33" s="95">
        <f>K33/'סכום נכסי הקרן'!$C$42</f>
        <v>2.3401336640153442E-5</v>
      </c>
    </row>
    <row r="34" spans="2:14" s="132" customFormat="1">
      <c r="B34" s="87" t="s">
        <v>1663</v>
      </c>
      <c r="C34" s="84" t="s">
        <v>1664</v>
      </c>
      <c r="D34" s="97" t="s">
        <v>128</v>
      </c>
      <c r="E34" s="84" t="s">
        <v>1630</v>
      </c>
      <c r="F34" s="97" t="s">
        <v>1784</v>
      </c>
      <c r="G34" s="97" t="s">
        <v>170</v>
      </c>
      <c r="H34" s="94">
        <v>1924022.3169209999</v>
      </c>
      <c r="I34" s="96">
        <v>380.44</v>
      </c>
      <c r="J34" s="84"/>
      <c r="K34" s="94">
        <v>7319.7505024880002</v>
      </c>
      <c r="L34" s="95">
        <v>8.0175639157177951E-3</v>
      </c>
      <c r="M34" s="95">
        <f t="shared" si="1"/>
        <v>1.0894035022962368E-3</v>
      </c>
      <c r="N34" s="95">
        <f>K34/'סכום נכסי הקרן'!$C$42</f>
        <v>1.259722306940525E-4</v>
      </c>
    </row>
    <row r="35" spans="2:14" s="132" customFormat="1">
      <c r="B35" s="87" t="s">
        <v>1665</v>
      </c>
      <c r="C35" s="84" t="s">
        <v>1666</v>
      </c>
      <c r="D35" s="97" t="s">
        <v>128</v>
      </c>
      <c r="E35" s="84" t="s">
        <v>1637</v>
      </c>
      <c r="F35" s="97" t="s">
        <v>1784</v>
      </c>
      <c r="G35" s="97" t="s">
        <v>170</v>
      </c>
      <c r="H35" s="94">
        <v>4040.7745239999999</v>
      </c>
      <c r="I35" s="96">
        <v>3556.21</v>
      </c>
      <c r="J35" s="84"/>
      <c r="K35" s="94">
        <v>143.69842814100002</v>
      </c>
      <c r="L35" s="95">
        <v>1.7504448587332534E-4</v>
      </c>
      <c r="M35" s="95">
        <f t="shared" si="1"/>
        <v>2.1386735905555709E-5</v>
      </c>
      <c r="N35" s="95">
        <f>K35/'סכום נכסי הקרן'!$C$42</f>
        <v>2.4730366880671498E-6</v>
      </c>
    </row>
    <row r="36" spans="2:14" s="132" customFormat="1">
      <c r="B36" s="87" t="s">
        <v>1667</v>
      </c>
      <c r="C36" s="84" t="s">
        <v>1668</v>
      </c>
      <c r="D36" s="97" t="s">
        <v>128</v>
      </c>
      <c r="E36" s="84" t="s">
        <v>1637</v>
      </c>
      <c r="F36" s="97" t="s">
        <v>1784</v>
      </c>
      <c r="G36" s="97" t="s">
        <v>170</v>
      </c>
      <c r="H36" s="94">
        <v>17903.643624</v>
      </c>
      <c r="I36" s="96">
        <v>3292.1</v>
      </c>
      <c r="J36" s="84"/>
      <c r="K36" s="94">
        <v>589.40585174600005</v>
      </c>
      <c r="L36" s="95">
        <v>2.8735858092369068E-3</v>
      </c>
      <c r="M36" s="95">
        <f t="shared" si="1"/>
        <v>8.7721678347880508E-5</v>
      </c>
      <c r="N36" s="95">
        <f>K36/'סכום נכסי הקרן'!$C$42</f>
        <v>1.0143620319208188E-5</v>
      </c>
    </row>
    <row r="37" spans="2:14" s="132" customFormat="1">
      <c r="B37" s="87" t="s">
        <v>1669</v>
      </c>
      <c r="C37" s="84" t="s">
        <v>1670</v>
      </c>
      <c r="D37" s="97" t="s">
        <v>128</v>
      </c>
      <c r="E37" s="84" t="s">
        <v>1637</v>
      </c>
      <c r="F37" s="97" t="s">
        <v>1784</v>
      </c>
      <c r="G37" s="97" t="s">
        <v>170</v>
      </c>
      <c r="H37" s="94">
        <v>281390.91815600003</v>
      </c>
      <c r="I37" s="96">
        <v>3438.64</v>
      </c>
      <c r="J37" s="84"/>
      <c r="K37" s="94">
        <v>9676.0206677570004</v>
      </c>
      <c r="L37" s="95">
        <v>6.7481644090082709E-3</v>
      </c>
      <c r="M37" s="95">
        <f t="shared" si="1"/>
        <v>1.4400888117924659E-3</v>
      </c>
      <c r="N37" s="95">
        <f>K37/'סכום נכסי הקרן'!$C$42</f>
        <v>1.6652342280584488E-4</v>
      </c>
    </row>
    <row r="38" spans="2:14" s="132" customFormat="1">
      <c r="B38" s="87" t="s">
        <v>1671</v>
      </c>
      <c r="C38" s="84" t="s">
        <v>1672</v>
      </c>
      <c r="D38" s="97" t="s">
        <v>128</v>
      </c>
      <c r="E38" s="84" t="s">
        <v>1637</v>
      </c>
      <c r="F38" s="97" t="s">
        <v>1784</v>
      </c>
      <c r="G38" s="97" t="s">
        <v>170</v>
      </c>
      <c r="H38" s="94">
        <v>221780.3475</v>
      </c>
      <c r="I38" s="96">
        <v>3819.31</v>
      </c>
      <c r="J38" s="84"/>
      <c r="K38" s="94">
        <v>8470.4789903970013</v>
      </c>
      <c r="L38" s="95">
        <v>1.2914627128722085E-2</v>
      </c>
      <c r="M38" s="95">
        <f t="shared" si="1"/>
        <v>1.2606672146992777E-3</v>
      </c>
      <c r="N38" s="95">
        <f>K38/'סכום נכסי הקרן'!$C$42</f>
        <v>1.4577616178375544E-4</v>
      </c>
    </row>
    <row r="39" spans="2:14" s="132" customFormat="1">
      <c r="B39" s="87" t="s">
        <v>1673</v>
      </c>
      <c r="C39" s="84" t="s">
        <v>1674</v>
      </c>
      <c r="D39" s="97" t="s">
        <v>128</v>
      </c>
      <c r="E39" s="84" t="s">
        <v>1644</v>
      </c>
      <c r="F39" s="97" t="s">
        <v>1784</v>
      </c>
      <c r="G39" s="97" t="s">
        <v>170</v>
      </c>
      <c r="H39" s="94">
        <v>564892.04926700005</v>
      </c>
      <c r="I39" s="96">
        <v>356.06</v>
      </c>
      <c r="J39" s="84"/>
      <c r="K39" s="94">
        <v>2011.354631188</v>
      </c>
      <c r="L39" s="95">
        <v>1.6940422202617561E-3</v>
      </c>
      <c r="M39" s="95">
        <f t="shared" si="1"/>
        <v>2.993512933031224E-4</v>
      </c>
      <c r="N39" s="95">
        <f>K39/'סכום נכסי הקרן'!$C$42</f>
        <v>3.4615227598460206E-5</v>
      </c>
    </row>
    <row r="40" spans="2:14" s="132" customFormat="1">
      <c r="B40" s="87" t="s">
        <v>1675</v>
      </c>
      <c r="C40" s="84" t="s">
        <v>1676</v>
      </c>
      <c r="D40" s="97" t="s">
        <v>128</v>
      </c>
      <c r="E40" s="84" t="s">
        <v>1644</v>
      </c>
      <c r="F40" s="97" t="s">
        <v>1784</v>
      </c>
      <c r="G40" s="97" t="s">
        <v>170</v>
      </c>
      <c r="H40" s="94">
        <v>362723.53721899999</v>
      </c>
      <c r="I40" s="96">
        <v>330.15</v>
      </c>
      <c r="J40" s="84"/>
      <c r="K40" s="94">
        <v>1197.531755859</v>
      </c>
      <c r="L40" s="95">
        <v>8.3071231379063804E-3</v>
      </c>
      <c r="M40" s="95">
        <f t="shared" si="1"/>
        <v>1.7822947496643797E-4</v>
      </c>
      <c r="N40" s="95">
        <f>K40/'סכום נכסי הקרן'!$C$42</f>
        <v>2.0609411012198772E-5</v>
      </c>
    </row>
    <row r="41" spans="2:14" s="132" customFormat="1">
      <c r="B41" s="87" t="s">
        <v>1677</v>
      </c>
      <c r="C41" s="84" t="s">
        <v>1678</v>
      </c>
      <c r="D41" s="97" t="s">
        <v>128</v>
      </c>
      <c r="E41" s="84" t="s">
        <v>1644</v>
      </c>
      <c r="F41" s="97" t="s">
        <v>1784</v>
      </c>
      <c r="G41" s="97" t="s">
        <v>170</v>
      </c>
      <c r="H41" s="94">
        <v>4924036.5708569996</v>
      </c>
      <c r="I41" s="96">
        <v>344.97</v>
      </c>
      <c r="J41" s="84"/>
      <c r="K41" s="94">
        <v>16986.448958372002</v>
      </c>
      <c r="L41" s="95">
        <v>1.2500585632745965E-2</v>
      </c>
      <c r="M41" s="95">
        <f t="shared" si="1"/>
        <v>2.5281048828832073E-3</v>
      </c>
      <c r="N41" s="95">
        <f>K41/'סכום נכסי הקרן'!$C$42</f>
        <v>2.9233521909380046E-4</v>
      </c>
    </row>
    <row r="42" spans="2:14" s="132" customFormat="1">
      <c r="B42" s="87" t="s">
        <v>1679</v>
      </c>
      <c r="C42" s="84" t="s">
        <v>1680</v>
      </c>
      <c r="D42" s="97" t="s">
        <v>128</v>
      </c>
      <c r="E42" s="84" t="s">
        <v>1644</v>
      </c>
      <c r="F42" s="97" t="s">
        <v>1784</v>
      </c>
      <c r="G42" s="97" t="s">
        <v>170</v>
      </c>
      <c r="H42" s="94">
        <v>967181.34282700007</v>
      </c>
      <c r="I42" s="96">
        <v>383.72</v>
      </c>
      <c r="J42" s="84"/>
      <c r="K42" s="94">
        <v>3711.268249919</v>
      </c>
      <c r="L42" s="95">
        <v>4.709603232411274E-3</v>
      </c>
      <c r="M42" s="95">
        <f t="shared" si="1"/>
        <v>5.5235060649243934E-4</v>
      </c>
      <c r="N42" s="95">
        <f>K42/'סכום נכסי הקרן'!$C$42</f>
        <v>6.3870584111767022E-5</v>
      </c>
    </row>
    <row r="43" spans="2:14" s="132" customFormat="1">
      <c r="B43" s="83"/>
      <c r="C43" s="84"/>
      <c r="D43" s="84"/>
      <c r="E43" s="84"/>
      <c r="F43" s="84"/>
      <c r="G43" s="84"/>
      <c r="H43" s="94"/>
      <c r="I43" s="96"/>
      <c r="J43" s="84"/>
      <c r="K43" s="84"/>
      <c r="L43" s="84"/>
      <c r="M43" s="95"/>
      <c r="N43" s="84"/>
    </row>
    <row r="44" spans="2:14" s="132" customFormat="1">
      <c r="B44" s="81" t="s">
        <v>242</v>
      </c>
      <c r="C44" s="82"/>
      <c r="D44" s="82"/>
      <c r="E44" s="82"/>
      <c r="F44" s="82"/>
      <c r="G44" s="82"/>
      <c r="H44" s="91"/>
      <c r="I44" s="93"/>
      <c r="J44" s="91">
        <v>1622.7531305709995</v>
      </c>
      <c r="K44" s="91">
        <v>6200312.0542058581</v>
      </c>
      <c r="L44" s="82"/>
      <c r="M44" s="92">
        <f t="shared" si="1"/>
        <v>0.92279670801423064</v>
      </c>
      <c r="N44" s="92">
        <f>K44/'סכום נכסי הקרן'!$C$42</f>
        <v>0.10670679829893769</v>
      </c>
    </row>
    <row r="45" spans="2:14" s="132" customFormat="1">
      <c r="B45" s="102" t="s">
        <v>270</v>
      </c>
      <c r="C45" s="82"/>
      <c r="D45" s="82"/>
      <c r="E45" s="82"/>
      <c r="F45" s="82"/>
      <c r="G45" s="82"/>
      <c r="H45" s="91"/>
      <c r="I45" s="93"/>
      <c r="J45" s="91">
        <v>1036.0920771400001</v>
      </c>
      <c r="K45" s="91">
        <v>6011230.4394898722</v>
      </c>
      <c r="L45" s="82"/>
      <c r="M45" s="92">
        <f t="shared" si="1"/>
        <v>0.89465556123314738</v>
      </c>
      <c r="N45" s="92">
        <f>K45/'סכום נכסי הקרן'!$C$42</f>
        <v>0.10345272115779607</v>
      </c>
    </row>
    <row r="46" spans="2:14" s="132" customFormat="1">
      <c r="B46" s="87" t="s">
        <v>1681</v>
      </c>
      <c r="C46" s="84" t="s">
        <v>1682</v>
      </c>
      <c r="D46" s="97" t="s">
        <v>30</v>
      </c>
      <c r="E46" s="84"/>
      <c r="F46" s="97" t="s">
        <v>1820</v>
      </c>
      <c r="G46" s="97" t="s">
        <v>169</v>
      </c>
      <c r="H46" s="94">
        <v>22691.491683999997</v>
      </c>
      <c r="I46" s="96">
        <v>501.76</v>
      </c>
      <c r="J46" s="84"/>
      <c r="K46" s="94">
        <v>393.4891999159999</v>
      </c>
      <c r="L46" s="95">
        <v>3.9674262816425042E-5</v>
      </c>
      <c r="M46" s="95">
        <f t="shared" si="1"/>
        <v>5.8563268291525648E-5</v>
      </c>
      <c r="N46" s="95">
        <f>K46/'סכום נכסי הקרן'!$C$42</f>
        <v>6.7719128200596403E-6</v>
      </c>
    </row>
    <row r="47" spans="2:14" s="132" customFormat="1">
      <c r="B47" s="87" t="s">
        <v>1683</v>
      </c>
      <c r="C47" s="84" t="s">
        <v>1684</v>
      </c>
      <c r="D47" s="97" t="s">
        <v>30</v>
      </c>
      <c r="E47" s="84"/>
      <c r="F47" s="97" t="s">
        <v>1820</v>
      </c>
      <c r="G47" s="97" t="s">
        <v>169</v>
      </c>
      <c r="H47" s="94">
        <v>678407.03366700013</v>
      </c>
      <c r="I47" s="96">
        <v>6612.3</v>
      </c>
      <c r="J47" s="84"/>
      <c r="K47" s="94">
        <v>155030.313441554</v>
      </c>
      <c r="L47" s="95">
        <v>1.2828988494611912E-2</v>
      </c>
      <c r="M47" s="95">
        <f t="shared" si="1"/>
        <v>2.3073268189661111E-2</v>
      </c>
      <c r="N47" s="95">
        <f>K47/'סכום נכסי הקרן'!$C$42</f>
        <v>2.6680573884031401E-3</v>
      </c>
    </row>
    <row r="48" spans="2:14" s="132" customFormat="1">
      <c r="B48" s="87" t="s">
        <v>1685</v>
      </c>
      <c r="C48" s="84" t="s">
        <v>1686</v>
      </c>
      <c r="D48" s="97" t="s">
        <v>1446</v>
      </c>
      <c r="E48" s="84"/>
      <c r="F48" s="97" t="s">
        <v>1820</v>
      </c>
      <c r="G48" s="97" t="s">
        <v>169</v>
      </c>
      <c r="H48" s="94">
        <v>13480.824662999999</v>
      </c>
      <c r="I48" s="96">
        <v>6298</v>
      </c>
      <c r="J48" s="84"/>
      <c r="K48" s="94">
        <v>2934.2211975159998</v>
      </c>
      <c r="L48" s="95">
        <v>6.2520691786794168E-5</v>
      </c>
      <c r="M48" s="95">
        <f t="shared" si="1"/>
        <v>4.3670215917868696E-4</v>
      </c>
      <c r="N48" s="95">
        <f>K48/'סכום נכסי הקרן'!$C$42</f>
        <v>5.0497676044453465E-5</v>
      </c>
    </row>
    <row r="49" spans="2:14" s="132" customFormat="1">
      <c r="B49" s="87" t="s">
        <v>1687</v>
      </c>
      <c r="C49" s="84" t="s">
        <v>1688</v>
      </c>
      <c r="D49" s="97" t="s">
        <v>132</v>
      </c>
      <c r="E49" s="84"/>
      <c r="F49" s="97" t="s">
        <v>1820</v>
      </c>
      <c r="G49" s="97" t="s">
        <v>179</v>
      </c>
      <c r="H49" s="94">
        <v>8495021.4107949995</v>
      </c>
      <c r="I49" s="96">
        <v>1805</v>
      </c>
      <c r="J49" s="84"/>
      <c r="K49" s="94">
        <v>488326.40910045599</v>
      </c>
      <c r="L49" s="95">
        <v>2.980786222478759E-3</v>
      </c>
      <c r="M49" s="95">
        <f t="shared" si="1"/>
        <v>7.2677955369784664E-2</v>
      </c>
      <c r="N49" s="95">
        <f>K49/'סכום נכסי הקרן'!$C$42</f>
        <v>8.4040524387124418E-3</v>
      </c>
    </row>
    <row r="50" spans="2:14" s="132" customFormat="1">
      <c r="B50" s="87" t="s">
        <v>1689</v>
      </c>
      <c r="C50" s="84" t="s">
        <v>1690</v>
      </c>
      <c r="D50" s="97" t="s">
        <v>30</v>
      </c>
      <c r="E50" s="84"/>
      <c r="F50" s="97" t="s">
        <v>1820</v>
      </c>
      <c r="G50" s="97" t="s">
        <v>171</v>
      </c>
      <c r="H50" s="94">
        <v>312311.25828000001</v>
      </c>
      <c r="I50" s="96">
        <v>1028.4000000000001</v>
      </c>
      <c r="J50" s="84"/>
      <c r="K50" s="94">
        <v>12456.037582218001</v>
      </c>
      <c r="L50" s="95">
        <v>7.3894826131363422E-3</v>
      </c>
      <c r="M50" s="95">
        <f t="shared" si="1"/>
        <v>1.8538406414521213E-3</v>
      </c>
      <c r="N50" s="95">
        <f>K50/'סכום נכסי הקרן'!$C$42</f>
        <v>2.1436725736862316E-4</v>
      </c>
    </row>
    <row r="51" spans="2:14" s="132" customFormat="1">
      <c r="B51" s="87" t="s">
        <v>1691</v>
      </c>
      <c r="C51" s="84" t="s">
        <v>1692</v>
      </c>
      <c r="D51" s="97" t="s">
        <v>1446</v>
      </c>
      <c r="E51" s="84"/>
      <c r="F51" s="97" t="s">
        <v>1820</v>
      </c>
      <c r="G51" s="97" t="s">
        <v>169</v>
      </c>
      <c r="H51" s="94">
        <v>2526092.8352060001</v>
      </c>
      <c r="I51" s="96">
        <v>3078</v>
      </c>
      <c r="J51" s="84"/>
      <c r="K51" s="94">
        <v>268714.84308729897</v>
      </c>
      <c r="L51" s="95">
        <v>3.184302782078183E-3</v>
      </c>
      <c r="M51" s="95">
        <f t="shared" si="1"/>
        <v>3.9993014936613565E-2</v>
      </c>
      <c r="N51" s="95">
        <f>K51/'סכום נכסי הקרן'!$C$42</f>
        <v>4.6245576529969764E-3</v>
      </c>
    </row>
    <row r="52" spans="2:14" s="132" customFormat="1">
      <c r="B52" s="87" t="s">
        <v>1693</v>
      </c>
      <c r="C52" s="84" t="s">
        <v>1694</v>
      </c>
      <c r="D52" s="97" t="s">
        <v>1446</v>
      </c>
      <c r="E52" s="84"/>
      <c r="F52" s="97" t="s">
        <v>1820</v>
      </c>
      <c r="G52" s="97" t="s">
        <v>169</v>
      </c>
      <c r="H52" s="94">
        <v>401586.67152500001</v>
      </c>
      <c r="I52" s="96">
        <v>10186</v>
      </c>
      <c r="J52" s="94">
        <v>923.69200918900003</v>
      </c>
      <c r="K52" s="94">
        <v>142293.509066659</v>
      </c>
      <c r="L52" s="95">
        <v>2.0393876076653132E-3</v>
      </c>
      <c r="M52" s="95">
        <f t="shared" si="1"/>
        <v>2.1177640833324806E-2</v>
      </c>
      <c r="N52" s="95">
        <f>K52/'סכום נכסי הקרן'!$C$42</f>
        <v>2.4488581604412141E-3</v>
      </c>
    </row>
    <row r="53" spans="2:14" s="132" customFormat="1">
      <c r="B53" s="87" t="s">
        <v>1695</v>
      </c>
      <c r="C53" s="84" t="s">
        <v>1696</v>
      </c>
      <c r="D53" s="97" t="s">
        <v>30</v>
      </c>
      <c r="E53" s="84"/>
      <c r="F53" s="97" t="s">
        <v>1820</v>
      </c>
      <c r="G53" s="97" t="s">
        <v>178</v>
      </c>
      <c r="H53" s="94">
        <v>1214801.9518180001</v>
      </c>
      <c r="I53" s="96">
        <v>3768</v>
      </c>
      <c r="J53" s="84"/>
      <c r="K53" s="94">
        <v>121460.612575441</v>
      </c>
      <c r="L53" s="95">
        <v>2.2658764310675632E-2</v>
      </c>
      <c r="M53" s="95">
        <f t="shared" si="1"/>
        <v>1.8077066518285841E-2</v>
      </c>
      <c r="N53" s="95">
        <f>K53/'סכום נכסי הקרן'!$C$42</f>
        <v>2.0903259342505806E-3</v>
      </c>
    </row>
    <row r="54" spans="2:14" s="132" customFormat="1">
      <c r="B54" s="87" t="s">
        <v>1697</v>
      </c>
      <c r="C54" s="84" t="s">
        <v>1698</v>
      </c>
      <c r="D54" s="97" t="s">
        <v>131</v>
      </c>
      <c r="E54" s="84"/>
      <c r="F54" s="97" t="s">
        <v>1820</v>
      </c>
      <c r="G54" s="97" t="s">
        <v>169</v>
      </c>
      <c r="H54" s="94">
        <v>1817180.256264</v>
      </c>
      <c r="I54" s="96">
        <v>441.6</v>
      </c>
      <c r="J54" s="84"/>
      <c r="K54" s="94">
        <v>27733.252645641998</v>
      </c>
      <c r="L54" s="95">
        <v>1.0816549144428571E-2</v>
      </c>
      <c r="M54" s="95">
        <f t="shared" si="1"/>
        <v>4.127559068025529E-3</v>
      </c>
      <c r="N54" s="95">
        <f>K54/'סכום נכסי הקרן'!$C$42</f>
        <v>4.7728671885548094E-4</v>
      </c>
    </row>
    <row r="55" spans="2:14" s="132" customFormat="1">
      <c r="B55" s="87" t="s">
        <v>1699</v>
      </c>
      <c r="C55" s="84" t="s">
        <v>1700</v>
      </c>
      <c r="D55" s="97" t="s">
        <v>1446</v>
      </c>
      <c r="E55" s="84"/>
      <c r="F55" s="97" t="s">
        <v>1820</v>
      </c>
      <c r="G55" s="97" t="s">
        <v>169</v>
      </c>
      <c r="H55" s="94">
        <v>419261.30978800001</v>
      </c>
      <c r="I55" s="96">
        <v>8147</v>
      </c>
      <c r="J55" s="84"/>
      <c r="K55" s="94">
        <v>118047.34854515899</v>
      </c>
      <c r="L55" s="95">
        <v>3.2368891943548015E-3</v>
      </c>
      <c r="M55" s="95">
        <f t="shared" si="1"/>
        <v>1.7569068084789086E-2</v>
      </c>
      <c r="N55" s="95">
        <f>K55/'סכום נכסי הקרן'!$C$42</f>
        <v>2.0315839752594587E-3</v>
      </c>
    </row>
    <row r="56" spans="2:14" s="132" customFormat="1">
      <c r="B56" s="87" t="s">
        <v>1701</v>
      </c>
      <c r="C56" s="84" t="s">
        <v>1702</v>
      </c>
      <c r="D56" s="97" t="s">
        <v>30</v>
      </c>
      <c r="E56" s="84"/>
      <c r="F56" s="97" t="s">
        <v>1820</v>
      </c>
      <c r="G56" s="97" t="s">
        <v>171</v>
      </c>
      <c r="H56" s="94">
        <v>146268.366622</v>
      </c>
      <c r="I56" s="96">
        <v>4745</v>
      </c>
      <c r="J56" s="84"/>
      <c r="K56" s="94">
        <v>26916.391122978999</v>
      </c>
      <c r="L56" s="95">
        <v>1.9095087026370756E-2</v>
      </c>
      <c r="M56" s="95">
        <f t="shared" si="1"/>
        <v>4.0059850057159426E-3</v>
      </c>
      <c r="N56" s="95">
        <f>K56/'סכום נכסי הקרן'!$C$42</f>
        <v>4.6322860742900243E-4</v>
      </c>
    </row>
    <row r="57" spans="2:14" s="132" customFormat="1">
      <c r="B57" s="87" t="s">
        <v>1703</v>
      </c>
      <c r="C57" s="84" t="s">
        <v>1704</v>
      </c>
      <c r="D57" s="97" t="s">
        <v>131</v>
      </c>
      <c r="E57" s="84"/>
      <c r="F57" s="97" t="s">
        <v>1820</v>
      </c>
      <c r="G57" s="97" t="s">
        <v>169</v>
      </c>
      <c r="H57" s="94">
        <v>8377321.3239909997</v>
      </c>
      <c r="I57" s="96">
        <v>3021</v>
      </c>
      <c r="J57" s="84"/>
      <c r="K57" s="94">
        <v>874640.59959626594</v>
      </c>
      <c r="L57" s="95">
        <v>1.6974159334050307E-2</v>
      </c>
      <c r="M57" s="95">
        <f t="shared" si="1"/>
        <v>0.13017336207385502</v>
      </c>
      <c r="N57" s="95">
        <f>K57/'סכום נכסי הקרן'!$C$42</f>
        <v>1.5052484008747924E-2</v>
      </c>
    </row>
    <row r="58" spans="2:14" s="132" customFormat="1">
      <c r="B58" s="87" t="s">
        <v>1705</v>
      </c>
      <c r="C58" s="84" t="s">
        <v>1706</v>
      </c>
      <c r="D58" s="97" t="s">
        <v>1707</v>
      </c>
      <c r="E58" s="84"/>
      <c r="F58" s="97" t="s">
        <v>1820</v>
      </c>
      <c r="G58" s="97" t="s">
        <v>174</v>
      </c>
      <c r="H58" s="94">
        <v>16349544.434487</v>
      </c>
      <c r="I58" s="96">
        <v>2710</v>
      </c>
      <c r="J58" s="84"/>
      <c r="K58" s="94">
        <v>196507.15285379099</v>
      </c>
      <c r="L58" s="95">
        <v>7.3251074077662973E-2</v>
      </c>
      <c r="M58" s="95">
        <f t="shared" si="1"/>
        <v>2.9246294729911502E-2</v>
      </c>
      <c r="N58" s="95">
        <f>K58/'סכום נכסי הקרן'!$C$42</f>
        <v>3.381869967277587E-3</v>
      </c>
    </row>
    <row r="59" spans="2:14" s="132" customFormat="1">
      <c r="B59" s="87" t="s">
        <v>1708</v>
      </c>
      <c r="C59" s="84" t="s">
        <v>1709</v>
      </c>
      <c r="D59" s="97" t="s">
        <v>1446</v>
      </c>
      <c r="E59" s="84"/>
      <c r="F59" s="97" t="s">
        <v>1820</v>
      </c>
      <c r="G59" s="97" t="s">
        <v>169</v>
      </c>
      <c r="H59" s="94">
        <v>699459.82468900015</v>
      </c>
      <c r="I59" s="96">
        <v>5376</v>
      </c>
      <c r="J59" s="84"/>
      <c r="K59" s="94">
        <v>129955.83036637201</v>
      </c>
      <c r="L59" s="95">
        <v>6.0748638586850801E-4</v>
      </c>
      <c r="M59" s="95">
        <f t="shared" si="1"/>
        <v>1.9341415625685587E-2</v>
      </c>
      <c r="N59" s="95">
        <f>K59/'סכום נכסי הקרן'!$C$42</f>
        <v>2.2365278485086734E-3</v>
      </c>
    </row>
    <row r="60" spans="2:14" s="132" customFormat="1">
      <c r="B60" s="87" t="s">
        <v>1710</v>
      </c>
      <c r="C60" s="84" t="s">
        <v>1711</v>
      </c>
      <c r="D60" s="97" t="s">
        <v>30</v>
      </c>
      <c r="E60" s="84"/>
      <c r="F60" s="97" t="s">
        <v>1820</v>
      </c>
      <c r="G60" s="97" t="s">
        <v>171</v>
      </c>
      <c r="H60" s="94">
        <v>3865722.9662949997</v>
      </c>
      <c r="I60" s="96">
        <v>2580.5</v>
      </c>
      <c r="J60" s="84"/>
      <c r="K60" s="94">
        <v>386869.76788388286</v>
      </c>
      <c r="L60" s="95">
        <v>1.7067209564216333E-2</v>
      </c>
      <c r="M60" s="95">
        <f t="shared" si="1"/>
        <v>5.7578093668900314E-2</v>
      </c>
      <c r="N60" s="95">
        <f>K60/'סכום נכסי הקרן'!$C$42</f>
        <v>6.6579930056165091E-3</v>
      </c>
    </row>
    <row r="61" spans="2:14" s="132" customFormat="1">
      <c r="B61" s="87" t="s">
        <v>1712</v>
      </c>
      <c r="C61" s="84" t="s">
        <v>1713</v>
      </c>
      <c r="D61" s="97" t="s">
        <v>131</v>
      </c>
      <c r="E61" s="84"/>
      <c r="F61" s="97" t="s">
        <v>1820</v>
      </c>
      <c r="G61" s="97" t="s">
        <v>169</v>
      </c>
      <c r="H61" s="94">
        <v>14865.234403999999</v>
      </c>
      <c r="I61" s="96">
        <v>32030</v>
      </c>
      <c r="J61" s="84"/>
      <c r="K61" s="94">
        <v>16455.172306578999</v>
      </c>
      <c r="L61" s="95">
        <v>1.2791960958019038E-4</v>
      </c>
      <c r="M61" s="95">
        <f t="shared" si="1"/>
        <v>2.449034613349459E-3</v>
      </c>
      <c r="N61" s="95">
        <f>K61/'סכום נכסי הקרן'!$C$42</f>
        <v>2.831919969417225E-4</v>
      </c>
    </row>
    <row r="62" spans="2:14" s="132" customFormat="1">
      <c r="B62" s="87" t="s">
        <v>1714</v>
      </c>
      <c r="C62" s="84" t="s">
        <v>1715</v>
      </c>
      <c r="D62" s="97" t="s">
        <v>1446</v>
      </c>
      <c r="E62" s="84"/>
      <c r="F62" s="97" t="s">
        <v>1820</v>
      </c>
      <c r="G62" s="97" t="s">
        <v>169</v>
      </c>
      <c r="H62" s="94">
        <v>431612.01563400001</v>
      </c>
      <c r="I62" s="96">
        <v>20582</v>
      </c>
      <c r="J62" s="84"/>
      <c r="K62" s="94">
        <v>307011.63475778105</v>
      </c>
      <c r="L62" s="95">
        <v>1.656541990535406E-3</v>
      </c>
      <c r="M62" s="95">
        <f t="shared" si="1"/>
        <v>4.5692752784010353E-2</v>
      </c>
      <c r="N62" s="95">
        <f>K62/'סכום נכסי הקרן'!$C$42</f>
        <v>5.2836419036850612E-3</v>
      </c>
    </row>
    <row r="63" spans="2:14" s="132" customFormat="1">
      <c r="B63" s="87" t="s">
        <v>1716</v>
      </c>
      <c r="C63" s="84" t="s">
        <v>1717</v>
      </c>
      <c r="D63" s="97" t="s">
        <v>1446</v>
      </c>
      <c r="E63" s="84"/>
      <c r="F63" s="97" t="s">
        <v>1820</v>
      </c>
      <c r="G63" s="97" t="s">
        <v>169</v>
      </c>
      <c r="H63" s="94">
        <v>74346.889916999993</v>
      </c>
      <c r="I63" s="96">
        <v>26432</v>
      </c>
      <c r="J63" s="94">
        <v>9.4328906129999996</v>
      </c>
      <c r="K63" s="94">
        <v>67924.567412397999</v>
      </c>
      <c r="L63" s="95">
        <v>4.0626715801639337E-3</v>
      </c>
      <c r="M63" s="95">
        <f t="shared" si="1"/>
        <v>1.0109260091019685E-2</v>
      </c>
      <c r="N63" s="95">
        <f>K63/'סכום נכסי הקרן'!$C$42</f>
        <v>1.1689755372071642E-3</v>
      </c>
    </row>
    <row r="64" spans="2:14" s="132" customFormat="1">
      <c r="B64" s="87" t="s">
        <v>1718</v>
      </c>
      <c r="C64" s="84" t="s">
        <v>1719</v>
      </c>
      <c r="D64" s="97" t="s">
        <v>30</v>
      </c>
      <c r="E64" s="84"/>
      <c r="F64" s="97" t="s">
        <v>1820</v>
      </c>
      <c r="G64" s="97" t="s">
        <v>171</v>
      </c>
      <c r="H64" s="94">
        <v>286417.85788100003</v>
      </c>
      <c r="I64" s="96">
        <v>3239</v>
      </c>
      <c r="J64" s="84"/>
      <c r="K64" s="94">
        <v>35978.350002771986</v>
      </c>
      <c r="L64" s="95">
        <v>5.2075974160181823E-2</v>
      </c>
      <c r="M64" s="95">
        <f t="shared" si="1"/>
        <v>5.354682579213209E-3</v>
      </c>
      <c r="N64" s="95">
        <f>K64/'סכום נכסי הקרן'!$C$42</f>
        <v>6.1918408352853375E-4</v>
      </c>
    </row>
    <row r="65" spans="2:14" s="132" customFormat="1">
      <c r="B65" s="87" t="s">
        <v>1720</v>
      </c>
      <c r="C65" s="84" t="s">
        <v>1721</v>
      </c>
      <c r="D65" s="97" t="s">
        <v>1431</v>
      </c>
      <c r="E65" s="84"/>
      <c r="F65" s="97" t="s">
        <v>1820</v>
      </c>
      <c r="G65" s="97" t="s">
        <v>169</v>
      </c>
      <c r="H65" s="94">
        <v>325100.72949300002</v>
      </c>
      <c r="I65" s="96">
        <v>6409</v>
      </c>
      <c r="J65" s="84"/>
      <c r="K65" s="94">
        <v>72008.199082969993</v>
      </c>
      <c r="L65" s="95">
        <v>4.4412667963524589E-3</v>
      </c>
      <c r="M65" s="95">
        <f t="shared" si="1"/>
        <v>1.0717029801544221E-2</v>
      </c>
      <c r="N65" s="95">
        <f>K65/'סכום נכסי הקרן'!$C$42</f>
        <v>1.2392544614273245E-3</v>
      </c>
    </row>
    <row r="66" spans="2:14" s="132" customFormat="1">
      <c r="B66" s="87" t="s">
        <v>1722</v>
      </c>
      <c r="C66" s="84" t="s">
        <v>1723</v>
      </c>
      <c r="D66" s="97" t="s">
        <v>1446</v>
      </c>
      <c r="E66" s="84"/>
      <c r="F66" s="97" t="s">
        <v>1820</v>
      </c>
      <c r="G66" s="97" t="s">
        <v>169</v>
      </c>
      <c r="H66" s="94">
        <v>615599.44585500006</v>
      </c>
      <c r="I66" s="96">
        <v>16567</v>
      </c>
      <c r="J66" s="84"/>
      <c r="K66" s="94">
        <v>352464.86083431396</v>
      </c>
      <c r="L66" s="95">
        <v>2.1231227654940508E-3</v>
      </c>
      <c r="M66" s="95">
        <f t="shared" si="1"/>
        <v>5.2457587686730971E-2</v>
      </c>
      <c r="N66" s="95">
        <f>K66/'סכום נכסי הקרן'!$C$42</f>
        <v>6.0658877301180379E-3</v>
      </c>
    </row>
    <row r="67" spans="2:14" s="132" customFormat="1">
      <c r="B67" s="87" t="s">
        <v>1724</v>
      </c>
      <c r="C67" s="84" t="s">
        <v>1725</v>
      </c>
      <c r="D67" s="97" t="s">
        <v>131</v>
      </c>
      <c r="E67" s="84"/>
      <c r="F67" s="97" t="s">
        <v>1820</v>
      </c>
      <c r="G67" s="97" t="s">
        <v>169</v>
      </c>
      <c r="H67" s="94">
        <v>6605852.1317990003</v>
      </c>
      <c r="I67" s="96">
        <v>752.25</v>
      </c>
      <c r="J67" s="84"/>
      <c r="K67" s="94">
        <v>171737.35832303399</v>
      </c>
      <c r="L67" s="95">
        <v>4.3819914638799341E-2</v>
      </c>
      <c r="M67" s="95">
        <f t="shared" si="1"/>
        <v>2.5559789171587782E-2</v>
      </c>
      <c r="N67" s="95">
        <f>K67/'סכום נכסי הקרן'!$C$42</f>
        <v>2.9555840891165482E-3</v>
      </c>
    </row>
    <row r="68" spans="2:14" s="132" customFormat="1">
      <c r="B68" s="87" t="s">
        <v>1726</v>
      </c>
      <c r="C68" s="84" t="s">
        <v>1727</v>
      </c>
      <c r="D68" s="97" t="s">
        <v>1446</v>
      </c>
      <c r="E68" s="84"/>
      <c r="F68" s="97" t="s">
        <v>1820</v>
      </c>
      <c r="G68" s="97" t="s">
        <v>169</v>
      </c>
      <c r="H68" s="94">
        <v>153653.87189000001</v>
      </c>
      <c r="I68" s="96">
        <v>23304</v>
      </c>
      <c r="J68" s="84"/>
      <c r="K68" s="94">
        <v>123750.71414119101</v>
      </c>
      <c r="L68" s="95">
        <v>1.2646409209053499E-2</v>
      </c>
      <c r="M68" s="95">
        <f t="shared" si="1"/>
        <v>1.8417903909600495E-2</v>
      </c>
      <c r="N68" s="95">
        <f>K68/'סכום נכסי הקרן'!$C$42</f>
        <v>2.1297383708705738E-3</v>
      </c>
    </row>
    <row r="69" spans="2:14" s="132" customFormat="1">
      <c r="B69" s="87" t="s">
        <v>1728</v>
      </c>
      <c r="C69" s="84" t="s">
        <v>1729</v>
      </c>
      <c r="D69" s="97" t="s">
        <v>30</v>
      </c>
      <c r="E69" s="84"/>
      <c r="F69" s="97" t="s">
        <v>1820</v>
      </c>
      <c r="G69" s="97" t="s">
        <v>171</v>
      </c>
      <c r="H69" s="94">
        <v>659459.23794199992</v>
      </c>
      <c r="I69" s="96">
        <v>3119</v>
      </c>
      <c r="J69" s="84"/>
      <c r="K69" s="94">
        <v>79768.887129432012</v>
      </c>
      <c r="L69" s="95">
        <v>3.7152633123492956E-2</v>
      </c>
      <c r="M69" s="95">
        <f t="shared" si="1"/>
        <v>1.1872058341816264E-2</v>
      </c>
      <c r="N69" s="95">
        <f>K69/'סכום נכסי הקרן'!$C$42</f>
        <v>1.3728151865642251E-3</v>
      </c>
    </row>
    <row r="70" spans="2:14" s="132" customFormat="1">
      <c r="B70" s="87" t="s">
        <v>1730</v>
      </c>
      <c r="C70" s="84" t="s">
        <v>1731</v>
      </c>
      <c r="D70" s="97" t="s">
        <v>1446</v>
      </c>
      <c r="E70" s="84"/>
      <c r="F70" s="97" t="s">
        <v>1820</v>
      </c>
      <c r="G70" s="97" t="s">
        <v>169</v>
      </c>
      <c r="H70" s="94">
        <v>51770.907613000003</v>
      </c>
      <c r="I70" s="96">
        <v>22208</v>
      </c>
      <c r="J70" s="94">
        <v>102.967177338</v>
      </c>
      <c r="K70" s="94">
        <v>39837.577785708003</v>
      </c>
      <c r="L70" s="95">
        <v>2.1130982699183675E-3</v>
      </c>
      <c r="M70" s="95">
        <f t="shared" si="1"/>
        <v>5.9290541047809725E-3</v>
      </c>
      <c r="N70" s="95">
        <f>K70/'סכום נכסי הקרן'!$C$42</f>
        <v>6.8560103755007686E-4</v>
      </c>
    </row>
    <row r="71" spans="2:14" s="132" customFormat="1">
      <c r="B71" s="87" t="s">
        <v>1732</v>
      </c>
      <c r="C71" s="84" t="s">
        <v>1733</v>
      </c>
      <c r="D71" s="97" t="s">
        <v>30</v>
      </c>
      <c r="E71" s="84"/>
      <c r="F71" s="97" t="s">
        <v>1820</v>
      </c>
      <c r="G71" s="97" t="s">
        <v>171</v>
      </c>
      <c r="H71" s="94">
        <v>592522.82829500001</v>
      </c>
      <c r="I71" s="96">
        <v>6109</v>
      </c>
      <c r="J71" s="84"/>
      <c r="K71" s="94">
        <v>140380.05697686202</v>
      </c>
      <c r="L71" s="95">
        <v>0.10972644968425926</v>
      </c>
      <c r="M71" s="95">
        <f t="shared" si="1"/>
        <v>2.0892860442600785E-2</v>
      </c>
      <c r="N71" s="95">
        <f>K71/'סכום נכסי הקרן'!$C$42</f>
        <v>2.4159278265458183E-3</v>
      </c>
    </row>
    <row r="72" spans="2:14" s="132" customFormat="1">
      <c r="B72" s="87" t="s">
        <v>1734</v>
      </c>
      <c r="C72" s="84" t="s">
        <v>1735</v>
      </c>
      <c r="D72" s="97" t="s">
        <v>1431</v>
      </c>
      <c r="E72" s="84"/>
      <c r="F72" s="97" t="s">
        <v>1820</v>
      </c>
      <c r="G72" s="97" t="s">
        <v>169</v>
      </c>
      <c r="H72" s="94">
        <v>341482.34381599998</v>
      </c>
      <c r="I72" s="96">
        <v>4868</v>
      </c>
      <c r="J72" s="84"/>
      <c r="K72" s="94">
        <v>57450.333875812998</v>
      </c>
      <c r="L72" s="95">
        <v>8.8581671547600521E-3</v>
      </c>
      <c r="M72" s="95">
        <f t="shared" si="1"/>
        <v>8.5503727088956771E-3</v>
      </c>
      <c r="N72" s="95">
        <f>K72/'סכום נכסי הקרן'!$C$42</f>
        <v>9.8871494458647601E-4</v>
      </c>
    </row>
    <row r="73" spans="2:14" s="132" customFormat="1">
      <c r="B73" s="87" t="s">
        <v>1736</v>
      </c>
      <c r="C73" s="84" t="s">
        <v>1737</v>
      </c>
      <c r="D73" s="97" t="s">
        <v>131</v>
      </c>
      <c r="E73" s="84"/>
      <c r="F73" s="97" t="s">
        <v>1820</v>
      </c>
      <c r="G73" s="97" t="s">
        <v>169</v>
      </c>
      <c r="H73" s="94">
        <v>141903.41750000001</v>
      </c>
      <c r="I73" s="96">
        <v>2718.5</v>
      </c>
      <c r="J73" s="84"/>
      <c r="K73" s="94">
        <v>13332.019062773001</v>
      </c>
      <c r="L73" s="95">
        <v>2.9258436597938146E-2</v>
      </c>
      <c r="M73" s="95">
        <f t="shared" si="1"/>
        <v>1.9842135677614115E-3</v>
      </c>
      <c r="N73" s="95">
        <f>K73/'סכום נכסי הקרן'!$C$42</f>
        <v>2.2944281781493673E-4</v>
      </c>
    </row>
    <row r="74" spans="2:14" s="132" customFormat="1">
      <c r="B74" s="87" t="s">
        <v>1738</v>
      </c>
      <c r="C74" s="84" t="s">
        <v>1739</v>
      </c>
      <c r="D74" s="97" t="s">
        <v>131</v>
      </c>
      <c r="E74" s="84"/>
      <c r="F74" s="97" t="s">
        <v>1820</v>
      </c>
      <c r="G74" s="97" t="s">
        <v>169</v>
      </c>
      <c r="H74" s="94">
        <v>174800.31916499999</v>
      </c>
      <c r="I74" s="96">
        <v>3282.875</v>
      </c>
      <c r="J74" s="84"/>
      <c r="K74" s="94">
        <v>19832.172980955998</v>
      </c>
      <c r="L74" s="95">
        <v>1.6535116950029463E-3</v>
      </c>
      <c r="M74" s="95">
        <f t="shared" si="1"/>
        <v>2.951635946642525E-3</v>
      </c>
      <c r="N74" s="95">
        <f>K74/'סכום נכסי הקרן'!$C$42</f>
        <v>3.4130986692403856E-4</v>
      </c>
    </row>
    <row r="75" spans="2:14" s="132" customFormat="1">
      <c r="B75" s="87" t="s">
        <v>1740</v>
      </c>
      <c r="C75" s="84" t="s">
        <v>1741</v>
      </c>
      <c r="D75" s="97" t="s">
        <v>30</v>
      </c>
      <c r="E75" s="84"/>
      <c r="F75" s="97" t="s">
        <v>1820</v>
      </c>
      <c r="G75" s="97" t="s">
        <v>171</v>
      </c>
      <c r="H75" s="94">
        <v>218531.26295100001</v>
      </c>
      <c r="I75" s="96">
        <v>4482.6000000000004</v>
      </c>
      <c r="J75" s="84"/>
      <c r="K75" s="94">
        <v>37990.391095385996</v>
      </c>
      <c r="L75" s="95">
        <v>2.4798954411290094E-2</v>
      </c>
      <c r="M75" s="95">
        <f t="shared" si="1"/>
        <v>5.654136039042558E-3</v>
      </c>
      <c r="N75" s="95">
        <f>K75/'סכום נכסי הקרן'!$C$42</f>
        <v>6.5381112506479014E-4</v>
      </c>
    </row>
    <row r="76" spans="2:14" s="132" customFormat="1">
      <c r="B76" s="87" t="s">
        <v>1742</v>
      </c>
      <c r="C76" s="84" t="s">
        <v>1743</v>
      </c>
      <c r="D76" s="97" t="s">
        <v>30</v>
      </c>
      <c r="E76" s="84"/>
      <c r="F76" s="97" t="s">
        <v>1820</v>
      </c>
      <c r="G76" s="97" t="s">
        <v>171</v>
      </c>
      <c r="H76" s="94">
        <v>70951.708751000013</v>
      </c>
      <c r="I76" s="96">
        <v>10859</v>
      </c>
      <c r="J76" s="84"/>
      <c r="K76" s="94">
        <v>29880.158323375003</v>
      </c>
      <c r="L76" s="95">
        <v>3.0929766382791001E-2</v>
      </c>
      <c r="M76" s="95">
        <f t="shared" si="1"/>
        <v>4.4470845168269645E-3</v>
      </c>
      <c r="N76" s="95">
        <f>K76/'סכום נכסי הקרן'!$C$42</f>
        <v>5.1423476745656729E-4</v>
      </c>
    </row>
    <row r="77" spans="2:14" s="132" customFormat="1">
      <c r="B77" s="87" t="s">
        <v>1744</v>
      </c>
      <c r="C77" s="84" t="s">
        <v>1745</v>
      </c>
      <c r="D77" s="97" t="s">
        <v>30</v>
      </c>
      <c r="E77" s="84"/>
      <c r="F77" s="97" t="s">
        <v>1820</v>
      </c>
      <c r="G77" s="97" t="s">
        <v>171</v>
      </c>
      <c r="H77" s="94">
        <v>682970.93138300022</v>
      </c>
      <c r="I77" s="96">
        <v>5964.4</v>
      </c>
      <c r="J77" s="84"/>
      <c r="K77" s="94">
        <v>157978.93552859797</v>
      </c>
      <c r="L77" s="95">
        <v>0.11830378264002581</v>
      </c>
      <c r="M77" s="95">
        <f t="shared" si="1"/>
        <v>2.3512113643134134E-2</v>
      </c>
      <c r="N77" s="95">
        <f>K77/'סכום נכסי הקרן'!$C$42</f>
        <v>2.718802902427481E-3</v>
      </c>
    </row>
    <row r="78" spans="2:14" s="132" customFormat="1">
      <c r="B78" s="87" t="s">
        <v>1746</v>
      </c>
      <c r="C78" s="84" t="s">
        <v>1747</v>
      </c>
      <c r="D78" s="97" t="s">
        <v>30</v>
      </c>
      <c r="E78" s="84"/>
      <c r="F78" s="97" t="s">
        <v>1820</v>
      </c>
      <c r="G78" s="97" t="s">
        <v>171</v>
      </c>
      <c r="H78" s="94">
        <v>2469119.464501</v>
      </c>
      <c r="I78" s="96">
        <v>1900</v>
      </c>
      <c r="J78" s="84"/>
      <c r="K78" s="94">
        <v>181939.04303725302</v>
      </c>
      <c r="L78" s="95">
        <v>6.6117224867405094E-2</v>
      </c>
      <c r="M78" s="95">
        <f t="shared" si="1"/>
        <v>2.7078112925001865E-2</v>
      </c>
      <c r="N78" s="95">
        <f>K78/'סכום נכסי הקרן'!$C$42</f>
        <v>3.1311541416546465E-3</v>
      </c>
    </row>
    <row r="79" spans="2:14" s="132" customFormat="1">
      <c r="B79" s="87" t="s">
        <v>1748</v>
      </c>
      <c r="C79" s="84" t="s">
        <v>1749</v>
      </c>
      <c r="D79" s="97" t="s">
        <v>1446</v>
      </c>
      <c r="E79" s="84"/>
      <c r="F79" s="97" t="s">
        <v>1820</v>
      </c>
      <c r="G79" s="97" t="s">
        <v>169</v>
      </c>
      <c r="H79" s="94">
        <v>94692.71811099998</v>
      </c>
      <c r="I79" s="96">
        <v>14141</v>
      </c>
      <c r="J79" s="84"/>
      <c r="K79" s="94">
        <v>46277.558558699995</v>
      </c>
      <c r="L79" s="95">
        <v>9.0004072936659529E-3</v>
      </c>
      <c r="M79" s="95">
        <f t="shared" si="1"/>
        <v>6.887520873072219E-3</v>
      </c>
      <c r="N79" s="95">
        <f>K79/'סכום נכסי הקרן'!$C$42</f>
        <v>7.9643251238311404E-4</v>
      </c>
    </row>
    <row r="80" spans="2:14" s="132" customFormat="1">
      <c r="B80" s="87" t="s">
        <v>1750</v>
      </c>
      <c r="C80" s="84" t="s">
        <v>1751</v>
      </c>
      <c r="D80" s="97" t="s">
        <v>132</v>
      </c>
      <c r="E80" s="84"/>
      <c r="F80" s="97" t="s">
        <v>1820</v>
      </c>
      <c r="G80" s="97" t="s">
        <v>179</v>
      </c>
      <c r="H80" s="94">
        <v>33436.702266</v>
      </c>
      <c r="I80" s="96">
        <v>21360</v>
      </c>
      <c r="J80" s="84"/>
      <c r="K80" s="94">
        <v>22745.380913229001</v>
      </c>
      <c r="L80" s="95">
        <v>0.22189948678028193</v>
      </c>
      <c r="M80" s="95">
        <f t="shared" si="1"/>
        <v>3.3852106871007761E-3</v>
      </c>
      <c r="N80" s="95">
        <f>K80/'סכום נכסי הקרן'!$C$42</f>
        <v>3.9144590661272736E-4</v>
      </c>
    </row>
    <row r="81" spans="2:14" s="132" customFormat="1">
      <c r="B81" s="87" t="s">
        <v>1752</v>
      </c>
      <c r="C81" s="84" t="s">
        <v>1753</v>
      </c>
      <c r="D81" s="97" t="s">
        <v>132</v>
      </c>
      <c r="E81" s="84"/>
      <c r="F81" s="97" t="s">
        <v>1820</v>
      </c>
      <c r="G81" s="97" t="s">
        <v>179</v>
      </c>
      <c r="H81" s="94">
        <v>19428.848310000001</v>
      </c>
      <c r="I81" s="96">
        <v>34500</v>
      </c>
      <c r="J81" s="84"/>
      <c r="K81" s="94">
        <v>21346.893359760001</v>
      </c>
      <c r="L81" s="95">
        <v>0.22125000922404173</v>
      </c>
      <c r="M81" s="95">
        <f t="shared" si="1"/>
        <v>3.1770728225452862E-3</v>
      </c>
      <c r="N81" s="95">
        <f>K81/'סכום נכסי הקרן'!$C$42</f>
        <v>3.6737806486750982E-4</v>
      </c>
    </row>
    <row r="82" spans="2:14" s="132" customFormat="1">
      <c r="B82" s="87" t="s">
        <v>1754</v>
      </c>
      <c r="C82" s="84" t="s">
        <v>1755</v>
      </c>
      <c r="D82" s="97" t="s">
        <v>1446</v>
      </c>
      <c r="E82" s="84"/>
      <c r="F82" s="97" t="s">
        <v>1820</v>
      </c>
      <c r="G82" s="97" t="s">
        <v>169</v>
      </c>
      <c r="H82" s="94">
        <v>561937.5333009999</v>
      </c>
      <c r="I82" s="96">
        <v>2984</v>
      </c>
      <c r="J82" s="84"/>
      <c r="K82" s="94">
        <v>57950.954474131991</v>
      </c>
      <c r="L82" s="95">
        <v>5.6704090141372343E-3</v>
      </c>
      <c r="M82" s="95">
        <f t="shared" si="1"/>
        <v>8.6248804169036172E-3</v>
      </c>
      <c r="N82" s="95">
        <f>K82/'סכום נכסי הקרן'!$C$42</f>
        <v>9.9733057888715332E-4</v>
      </c>
    </row>
    <row r="83" spans="2:14" s="132" customFormat="1">
      <c r="B83" s="87" t="s">
        <v>1756</v>
      </c>
      <c r="C83" s="84" t="s">
        <v>1757</v>
      </c>
      <c r="D83" s="97" t="s">
        <v>131</v>
      </c>
      <c r="E83" s="84"/>
      <c r="F83" s="97" t="s">
        <v>1820</v>
      </c>
      <c r="G83" s="97" t="s">
        <v>169</v>
      </c>
      <c r="H83" s="94">
        <v>23601.660205</v>
      </c>
      <c r="I83" s="96">
        <v>58895.5</v>
      </c>
      <c r="J83" s="84"/>
      <c r="K83" s="94">
        <v>48039.491361603003</v>
      </c>
      <c r="L83" s="95">
        <v>1.8186672915198735E-3</v>
      </c>
      <c r="M83" s="95">
        <f t="shared" si="1"/>
        <v>7.1497505441027731E-3</v>
      </c>
      <c r="N83" s="95">
        <f>K83/'סכום נכסי הקרן'!$C$42</f>
        <v>8.2675521333299925E-4</v>
      </c>
    </row>
    <row r="84" spans="2:14" s="132" customFormat="1">
      <c r="B84" s="87" t="s">
        <v>1758</v>
      </c>
      <c r="C84" s="84" t="s">
        <v>1759</v>
      </c>
      <c r="D84" s="97" t="s">
        <v>30</v>
      </c>
      <c r="E84" s="84"/>
      <c r="F84" s="97" t="s">
        <v>1820</v>
      </c>
      <c r="G84" s="97" t="s">
        <v>171</v>
      </c>
      <c r="H84" s="94">
        <v>193131.11882999996</v>
      </c>
      <c r="I84" s="96">
        <v>13188</v>
      </c>
      <c r="J84" s="84"/>
      <c r="K84" s="94">
        <v>98778.26573639299</v>
      </c>
      <c r="L84" s="95">
        <v>0.15000475248932035</v>
      </c>
      <c r="M84" s="95">
        <f t="shared" si="1"/>
        <v>1.4701237235804446E-2</v>
      </c>
      <c r="N84" s="95">
        <f>K84/'סכום נכסי הקרן'!$C$42</f>
        <v>1.6999648382378342E-3</v>
      </c>
    </row>
    <row r="85" spans="2:14" s="132" customFormat="1">
      <c r="B85" s="87" t="s">
        <v>1760</v>
      </c>
      <c r="C85" s="84" t="s">
        <v>1761</v>
      </c>
      <c r="D85" s="97" t="s">
        <v>30</v>
      </c>
      <c r="E85" s="84"/>
      <c r="F85" s="97" t="s">
        <v>1820</v>
      </c>
      <c r="G85" s="97" t="s">
        <v>171</v>
      </c>
      <c r="H85" s="94">
        <v>83096.370833999987</v>
      </c>
      <c r="I85" s="96">
        <v>25550</v>
      </c>
      <c r="J85" s="84"/>
      <c r="K85" s="94">
        <v>82338.54024118399</v>
      </c>
      <c r="L85" s="95">
        <v>0.12310555219029304</v>
      </c>
      <c r="M85" s="95">
        <f t="shared" si="1"/>
        <v>1.2254501582016528E-2</v>
      </c>
      <c r="N85" s="95">
        <f>K85/'סכום נכסי הקרן'!$C$42</f>
        <v>1.4170386794943846E-3</v>
      </c>
    </row>
    <row r="86" spans="2:14" s="132" customFormat="1">
      <c r="B86" s="87" t="s">
        <v>1762</v>
      </c>
      <c r="C86" s="84" t="s">
        <v>1763</v>
      </c>
      <c r="D86" s="97" t="s">
        <v>30</v>
      </c>
      <c r="E86" s="84"/>
      <c r="F86" s="97" t="s">
        <v>1820</v>
      </c>
      <c r="G86" s="97" t="s">
        <v>171</v>
      </c>
      <c r="H86" s="94">
        <v>159647.020823</v>
      </c>
      <c r="I86" s="96">
        <v>20180</v>
      </c>
      <c r="J86" s="84"/>
      <c r="K86" s="94">
        <v>124943.072767698</v>
      </c>
      <c r="L86" s="95">
        <v>6.1699331719033815E-2</v>
      </c>
      <c r="M86" s="95">
        <f t="shared" si="1"/>
        <v>1.8595363464167052E-2</v>
      </c>
      <c r="N86" s="95">
        <f>K86/'סכום נכסי הקרן'!$C$42</f>
        <v>2.1502587528039918E-3</v>
      </c>
    </row>
    <row r="87" spans="2:14" s="132" customFormat="1">
      <c r="B87" s="87" t="s">
        <v>1764</v>
      </c>
      <c r="C87" s="84" t="s">
        <v>1765</v>
      </c>
      <c r="D87" s="97" t="s">
        <v>1446</v>
      </c>
      <c r="E87" s="84"/>
      <c r="F87" s="97" t="s">
        <v>1820</v>
      </c>
      <c r="G87" s="97" t="s">
        <v>169</v>
      </c>
      <c r="H87" s="94">
        <v>368948.88549999997</v>
      </c>
      <c r="I87" s="96">
        <v>2370</v>
      </c>
      <c r="J87" s="84"/>
      <c r="K87" s="94">
        <v>30219.570154426001</v>
      </c>
      <c r="L87" s="95">
        <v>3.2392351668129936E-3</v>
      </c>
      <c r="M87" s="95">
        <f t="shared" si="1"/>
        <v>4.4975994131123036E-3</v>
      </c>
      <c r="N87" s="95">
        <f>K87/'סכום נכסי הקרן'!$C$42</f>
        <v>5.2007601374862524E-4</v>
      </c>
    </row>
    <row r="88" spans="2:14" s="132" customFormat="1">
      <c r="B88" s="87" t="s">
        <v>1766</v>
      </c>
      <c r="C88" s="84" t="s">
        <v>1767</v>
      </c>
      <c r="D88" s="97" t="s">
        <v>143</v>
      </c>
      <c r="E88" s="84"/>
      <c r="F88" s="97" t="s">
        <v>1820</v>
      </c>
      <c r="G88" s="97" t="s">
        <v>173</v>
      </c>
      <c r="H88" s="94">
        <v>526573.49881799996</v>
      </c>
      <c r="I88" s="96">
        <v>8545</v>
      </c>
      <c r="J88" s="84"/>
      <c r="K88" s="94">
        <v>109029.09393414801</v>
      </c>
      <c r="L88" s="95">
        <v>1.001212750635453E-2</v>
      </c>
      <c r="M88" s="95">
        <f t="shared" si="1"/>
        <v>1.6226875047677346E-2</v>
      </c>
      <c r="N88" s="95">
        <f>K88/'סכום נכסי הקרן'!$C$42</f>
        <v>1.8763806455927121E-3</v>
      </c>
    </row>
    <row r="89" spans="2:14" s="132" customFormat="1">
      <c r="B89" s="87" t="s">
        <v>1768</v>
      </c>
      <c r="C89" s="84" t="s">
        <v>1769</v>
      </c>
      <c r="D89" s="97" t="s">
        <v>131</v>
      </c>
      <c r="E89" s="84"/>
      <c r="F89" s="97" t="s">
        <v>1820</v>
      </c>
      <c r="G89" s="97" t="s">
        <v>172</v>
      </c>
      <c r="H89" s="94">
        <v>283806.83500000002</v>
      </c>
      <c r="I89" s="96">
        <v>3470</v>
      </c>
      <c r="J89" s="84"/>
      <c r="K89" s="94">
        <v>44904.368686567999</v>
      </c>
      <c r="L89" s="95">
        <v>3.2437143575752133E-3</v>
      </c>
      <c r="M89" s="95">
        <f t="shared" si="1"/>
        <v>6.6831480798315432E-3</v>
      </c>
      <c r="N89" s="95">
        <f>K89/'סכום נכסי הקרן'!$C$42</f>
        <v>7.7280004139928052E-4</v>
      </c>
    </row>
    <row r="90" spans="2:14" s="132" customFormat="1">
      <c r="B90" s="87" t="s">
        <v>1770</v>
      </c>
      <c r="C90" s="84" t="s">
        <v>1771</v>
      </c>
      <c r="D90" s="97" t="s">
        <v>1446</v>
      </c>
      <c r="E90" s="84"/>
      <c r="F90" s="97" t="s">
        <v>1820</v>
      </c>
      <c r="G90" s="97" t="s">
        <v>169</v>
      </c>
      <c r="H90" s="94">
        <v>483653.39116100001</v>
      </c>
      <c r="I90" s="96">
        <v>24485</v>
      </c>
      <c r="J90" s="84"/>
      <c r="K90" s="94">
        <v>409268.27344796999</v>
      </c>
      <c r="L90" s="95">
        <v>4.6480262355864388E-3</v>
      </c>
      <c r="M90" s="95">
        <f t="shared" ref="M90:M97" si="2">K90/$K$11</f>
        <v>6.0911678659184385E-2</v>
      </c>
      <c r="N90" s="95">
        <f>K90/'סכום נכסי הקרן'!$C$42</f>
        <v>7.0434692194795544E-3</v>
      </c>
    </row>
    <row r="91" spans="2:14" s="132" customFormat="1">
      <c r="B91" s="87" t="s">
        <v>1772</v>
      </c>
      <c r="C91" s="84" t="s">
        <v>1773</v>
      </c>
      <c r="D91" s="97" t="s">
        <v>1446</v>
      </c>
      <c r="E91" s="84"/>
      <c r="F91" s="97" t="s">
        <v>1820</v>
      </c>
      <c r="G91" s="97" t="s">
        <v>169</v>
      </c>
      <c r="H91" s="94">
        <v>531888.06561200018</v>
      </c>
      <c r="I91" s="96">
        <v>3122</v>
      </c>
      <c r="J91" s="84"/>
      <c r="K91" s="94">
        <v>57388.764931715006</v>
      </c>
      <c r="L91" s="95">
        <v>2.1978845686446289E-2</v>
      </c>
      <c r="M91" s="95">
        <f t="shared" si="2"/>
        <v>8.5412093605943609E-3</v>
      </c>
      <c r="N91" s="95">
        <f>K91/'סכום נכסי הקרן'!$C$42</f>
        <v>9.876553487400241E-4</v>
      </c>
    </row>
    <row r="92" spans="2:14" s="132" customFormat="1">
      <c r="B92" s="83"/>
      <c r="C92" s="84"/>
      <c r="D92" s="84"/>
      <c r="E92" s="84"/>
      <c r="F92" s="84"/>
      <c r="G92" s="84"/>
      <c r="H92" s="94"/>
      <c r="I92" s="96"/>
      <c r="J92" s="84"/>
      <c r="K92" s="84"/>
      <c r="L92" s="84"/>
      <c r="M92" s="95"/>
      <c r="N92" s="84"/>
    </row>
    <row r="93" spans="2:14" s="132" customFormat="1">
      <c r="B93" s="102" t="s">
        <v>271</v>
      </c>
      <c r="C93" s="82"/>
      <c r="D93" s="82"/>
      <c r="E93" s="82"/>
      <c r="F93" s="82"/>
      <c r="G93" s="82"/>
      <c r="H93" s="91"/>
      <c r="I93" s="93"/>
      <c r="J93" s="91">
        <v>586.66105343100003</v>
      </c>
      <c r="K93" s="91">
        <v>189081.61471598703</v>
      </c>
      <c r="L93" s="82"/>
      <c r="M93" s="92">
        <f t="shared" si="2"/>
        <v>2.8141146781083422E-2</v>
      </c>
      <c r="N93" s="92">
        <f>K93/'סכום נכסי הקרן'!$C$42</f>
        <v>3.2540771411416446E-3</v>
      </c>
    </row>
    <row r="94" spans="2:14" s="132" customFormat="1">
      <c r="B94" s="87" t="s">
        <v>1774</v>
      </c>
      <c r="C94" s="84" t="s">
        <v>1775</v>
      </c>
      <c r="D94" s="97" t="s">
        <v>131</v>
      </c>
      <c r="E94" s="84"/>
      <c r="F94" s="97" t="s">
        <v>1784</v>
      </c>
      <c r="G94" s="97" t="s">
        <v>169</v>
      </c>
      <c r="H94" s="94">
        <v>28356.093141000001</v>
      </c>
      <c r="I94" s="96">
        <v>10286</v>
      </c>
      <c r="J94" s="84"/>
      <c r="K94" s="94">
        <v>10080.141951151001</v>
      </c>
      <c r="L94" s="95">
        <v>4.1753870519252055E-3</v>
      </c>
      <c r="M94" s="95">
        <f t="shared" si="2"/>
        <v>1.500234460381476E-3</v>
      </c>
      <c r="N94" s="95">
        <f>K94/'סכום נכסי הקרן'!$C$42</f>
        <v>1.7347831280145086E-4</v>
      </c>
    </row>
    <row r="95" spans="2:14" s="132" customFormat="1">
      <c r="B95" s="87" t="s">
        <v>1776</v>
      </c>
      <c r="C95" s="84" t="s">
        <v>1777</v>
      </c>
      <c r="D95" s="97" t="s">
        <v>131</v>
      </c>
      <c r="E95" s="84"/>
      <c r="F95" s="97" t="s">
        <v>1784</v>
      </c>
      <c r="G95" s="97" t="s">
        <v>169</v>
      </c>
      <c r="H95" s="94">
        <v>296562.09844099998</v>
      </c>
      <c r="I95" s="96">
        <v>10350</v>
      </c>
      <c r="J95" s="84"/>
      <c r="K95" s="94">
        <v>106079.07636411498</v>
      </c>
      <c r="L95" s="95">
        <v>6.5352749512149668E-3</v>
      </c>
      <c r="M95" s="95">
        <f t="shared" si="2"/>
        <v>1.5787821903511155E-2</v>
      </c>
      <c r="N95" s="95">
        <f>K95/'סכום נכסי הקרן'!$C$42</f>
        <v>1.8256111154349021E-3</v>
      </c>
    </row>
    <row r="96" spans="2:14" s="132" customFormat="1">
      <c r="B96" s="87" t="s">
        <v>1778</v>
      </c>
      <c r="C96" s="84" t="s">
        <v>1779</v>
      </c>
      <c r="D96" s="97" t="s">
        <v>131</v>
      </c>
      <c r="E96" s="84"/>
      <c r="F96" s="97" t="s">
        <v>1784</v>
      </c>
      <c r="G96" s="97" t="s">
        <v>172</v>
      </c>
      <c r="H96" s="94">
        <v>4288740.1507970002</v>
      </c>
      <c r="I96" s="96">
        <v>168</v>
      </c>
      <c r="J96" s="94">
        <v>586.66105343100003</v>
      </c>
      <c r="K96" s="94">
        <v>33439.680076181998</v>
      </c>
      <c r="L96" s="95">
        <v>2.047990466452717E-2</v>
      </c>
      <c r="M96" s="95">
        <f t="shared" si="2"/>
        <v>4.9768505877728969E-3</v>
      </c>
      <c r="N96" s="95">
        <f>K96/'סכום נכסי הקרן'!$C$42</f>
        <v>5.7549380835593791E-4</v>
      </c>
    </row>
    <row r="97" spans="2:14" s="132" customFormat="1">
      <c r="B97" s="87" t="s">
        <v>1780</v>
      </c>
      <c r="C97" s="84" t="s">
        <v>1781</v>
      </c>
      <c r="D97" s="97" t="s">
        <v>131</v>
      </c>
      <c r="E97" s="84"/>
      <c r="F97" s="97" t="s">
        <v>1784</v>
      </c>
      <c r="G97" s="97" t="s">
        <v>169</v>
      </c>
      <c r="H97" s="94">
        <v>154592.65338000003</v>
      </c>
      <c r="I97" s="96">
        <v>7390</v>
      </c>
      <c r="J97" s="84"/>
      <c r="K97" s="94">
        <v>39482.716324539018</v>
      </c>
      <c r="L97" s="95">
        <v>2.7774757032988928E-3</v>
      </c>
      <c r="M97" s="95">
        <f t="shared" si="2"/>
        <v>5.8762398294178913E-3</v>
      </c>
      <c r="N97" s="95">
        <f>K97/'סכום נכסי הקרן'!$C$42</f>
        <v>6.7949390454935326E-4</v>
      </c>
    </row>
    <row r="98" spans="2:14" s="132" customFormat="1">
      <c r="B98" s="131"/>
      <c r="C98" s="131"/>
    </row>
    <row r="99" spans="2:14" s="132" customFormat="1">
      <c r="B99" s="131"/>
      <c r="C99" s="131"/>
    </row>
    <row r="100" spans="2:14" s="132" customFormat="1">
      <c r="B100" s="131"/>
      <c r="C100" s="131"/>
    </row>
    <row r="101" spans="2:14" s="132" customFormat="1">
      <c r="B101" s="138" t="s">
        <v>265</v>
      </c>
      <c r="C101" s="131"/>
    </row>
    <row r="102" spans="2:14" s="132" customFormat="1">
      <c r="B102" s="138" t="s">
        <v>120</v>
      </c>
      <c r="C102" s="131"/>
    </row>
    <row r="103" spans="2:14" s="132" customFormat="1">
      <c r="B103" s="138" t="s">
        <v>247</v>
      </c>
      <c r="C103" s="131"/>
    </row>
    <row r="104" spans="2:14" s="132" customFormat="1">
      <c r="B104" s="138" t="s">
        <v>255</v>
      </c>
      <c r="C104" s="131"/>
    </row>
    <row r="105" spans="2:14" s="132" customFormat="1">
      <c r="B105" s="138" t="s">
        <v>263</v>
      </c>
      <c r="C105" s="131"/>
    </row>
    <row r="106" spans="2:14" s="132" customFormat="1">
      <c r="B106" s="131"/>
      <c r="C106" s="131"/>
    </row>
    <row r="107" spans="2:14" s="132" customFormat="1">
      <c r="B107" s="131"/>
      <c r="C107" s="131"/>
    </row>
    <row r="108" spans="2:14" s="132" customFormat="1">
      <c r="B108" s="131"/>
      <c r="C108" s="131"/>
    </row>
    <row r="109" spans="2:14" s="132" customFormat="1">
      <c r="B109" s="131"/>
      <c r="C109" s="131"/>
    </row>
    <row r="110" spans="2:14" s="132" customFormat="1">
      <c r="B110" s="131"/>
      <c r="C110" s="131"/>
    </row>
    <row r="111" spans="2:14" s="132" customFormat="1">
      <c r="B111" s="131"/>
      <c r="C111" s="131"/>
    </row>
    <row r="112" spans="2:14" s="132" customFormat="1">
      <c r="B112" s="131"/>
      <c r="C112" s="131"/>
    </row>
    <row r="113" spans="2:3" s="132" customFormat="1">
      <c r="B113" s="131"/>
      <c r="C113" s="131"/>
    </row>
    <row r="114" spans="2:3" s="132" customFormat="1">
      <c r="B114" s="131"/>
      <c r="C114" s="131"/>
    </row>
    <row r="115" spans="2:3" s="132" customFormat="1">
      <c r="B115" s="131"/>
      <c r="C115" s="131"/>
    </row>
    <row r="116" spans="2:3" s="132" customFormat="1">
      <c r="B116" s="131"/>
      <c r="C116" s="131"/>
    </row>
    <row r="117" spans="2:3" s="132" customFormat="1">
      <c r="B117" s="131"/>
      <c r="C117" s="131"/>
    </row>
    <row r="118" spans="2:3" s="132" customFormat="1">
      <c r="B118" s="131"/>
      <c r="C118" s="131"/>
    </row>
    <row r="119" spans="2:3" s="132" customFormat="1">
      <c r="B119" s="131"/>
      <c r="C119" s="131"/>
    </row>
    <row r="120" spans="2:3" s="132" customFormat="1">
      <c r="B120" s="131"/>
      <c r="C120" s="131"/>
    </row>
    <row r="121" spans="2:3" s="132" customFormat="1">
      <c r="B121" s="131"/>
      <c r="C121" s="131"/>
    </row>
    <row r="122" spans="2:3" s="132" customFormat="1">
      <c r="B122" s="131"/>
      <c r="C122" s="131"/>
    </row>
    <row r="123" spans="2:3" s="132" customFormat="1">
      <c r="B123" s="131"/>
      <c r="C123" s="131"/>
    </row>
    <row r="124" spans="2:3" s="132" customFormat="1">
      <c r="B124" s="131"/>
      <c r="C124" s="131"/>
    </row>
    <row r="125" spans="2:3" s="132" customFormat="1">
      <c r="B125" s="131"/>
      <c r="C125" s="131"/>
    </row>
    <row r="126" spans="2:3" s="132" customFormat="1">
      <c r="B126" s="131"/>
      <c r="C126" s="131"/>
    </row>
    <row r="127" spans="2:3" s="132" customFormat="1">
      <c r="B127" s="131"/>
      <c r="C127" s="131"/>
    </row>
    <row r="128" spans="2:3" s="132" customFormat="1">
      <c r="B128" s="131"/>
      <c r="C128" s="131"/>
    </row>
    <row r="129" spans="2:3" s="132" customFormat="1">
      <c r="B129" s="131"/>
      <c r="C129" s="131"/>
    </row>
    <row r="130" spans="2:3" s="132" customFormat="1">
      <c r="B130" s="131"/>
      <c r="C130" s="131"/>
    </row>
    <row r="131" spans="2:3" s="132" customFormat="1">
      <c r="B131" s="131"/>
      <c r="C131" s="131"/>
    </row>
    <row r="132" spans="2:3" s="132" customFormat="1">
      <c r="B132" s="131"/>
      <c r="C132" s="131"/>
    </row>
    <row r="133" spans="2:3" s="132" customFormat="1">
      <c r="B133" s="131"/>
      <c r="C133" s="131"/>
    </row>
    <row r="134" spans="2:3" s="132" customFormat="1">
      <c r="B134" s="131"/>
      <c r="C134" s="131"/>
    </row>
    <row r="135" spans="2:3" s="132" customFormat="1">
      <c r="B135" s="131"/>
      <c r="C135" s="131"/>
    </row>
    <row r="136" spans="2:3" s="132" customFormat="1">
      <c r="B136" s="131"/>
      <c r="C136" s="131"/>
    </row>
    <row r="137" spans="2:3" s="132" customFormat="1">
      <c r="B137" s="131"/>
      <c r="C137" s="131"/>
    </row>
    <row r="138" spans="2:3" s="132" customFormat="1">
      <c r="B138" s="131"/>
      <c r="C138" s="131"/>
    </row>
    <row r="139" spans="2:3" s="132" customFormat="1">
      <c r="B139" s="131"/>
      <c r="C139" s="131"/>
    </row>
    <row r="140" spans="2:3" s="132" customFormat="1">
      <c r="B140" s="131"/>
      <c r="C140" s="131"/>
    </row>
    <row r="141" spans="2:3" s="132" customFormat="1">
      <c r="B141" s="131"/>
      <c r="C141" s="131"/>
    </row>
    <row r="142" spans="2:3" s="132" customFormat="1">
      <c r="B142" s="131"/>
      <c r="C142" s="131"/>
    </row>
    <row r="143" spans="2:3" s="132" customFormat="1">
      <c r="B143" s="131"/>
      <c r="C143" s="131"/>
    </row>
    <row r="144" spans="2:3" s="132" customFormat="1">
      <c r="B144" s="131"/>
      <c r="C144" s="131"/>
    </row>
    <row r="145" spans="2:3" s="132" customFormat="1">
      <c r="B145" s="131"/>
      <c r="C145" s="131"/>
    </row>
    <row r="146" spans="2:3" s="132" customFormat="1">
      <c r="B146" s="131"/>
      <c r="C146" s="131"/>
    </row>
    <row r="147" spans="2:3" s="132" customFormat="1">
      <c r="B147" s="131"/>
      <c r="C147" s="131"/>
    </row>
    <row r="148" spans="2:3" s="132" customFormat="1">
      <c r="B148" s="131"/>
      <c r="C148" s="131"/>
    </row>
    <row r="149" spans="2:3" s="132" customFormat="1">
      <c r="B149" s="131"/>
      <c r="C149" s="131"/>
    </row>
    <row r="150" spans="2:3" s="132" customFormat="1">
      <c r="B150" s="131"/>
      <c r="C150" s="131"/>
    </row>
    <row r="151" spans="2:3" s="132" customFormat="1">
      <c r="B151" s="131"/>
      <c r="C151" s="131"/>
    </row>
    <row r="152" spans="2:3" s="132" customFormat="1">
      <c r="B152" s="131"/>
      <c r="C152" s="131"/>
    </row>
    <row r="153" spans="2:3" s="132" customFormat="1">
      <c r="B153" s="131"/>
      <c r="C153" s="131"/>
    </row>
    <row r="154" spans="2:3" s="132" customFormat="1">
      <c r="B154" s="131"/>
      <c r="C154" s="131"/>
    </row>
    <row r="155" spans="2:3" s="132" customFormat="1">
      <c r="B155" s="131"/>
      <c r="C155" s="131"/>
    </row>
    <row r="156" spans="2:3" s="132" customFormat="1">
      <c r="B156" s="131"/>
      <c r="C156" s="131"/>
    </row>
    <row r="157" spans="2:3" s="132" customFormat="1">
      <c r="B157" s="131"/>
      <c r="C157" s="131"/>
    </row>
    <row r="158" spans="2:3" s="132" customFormat="1">
      <c r="B158" s="131"/>
      <c r="C158" s="131"/>
    </row>
    <row r="159" spans="2:3" s="132" customFormat="1">
      <c r="B159" s="131"/>
      <c r="C159" s="131"/>
    </row>
    <row r="160" spans="2:3" s="132" customFormat="1">
      <c r="B160" s="131"/>
      <c r="C160" s="131"/>
    </row>
    <row r="161" spans="2:3" s="132" customFormat="1">
      <c r="B161" s="131"/>
      <c r="C161" s="131"/>
    </row>
    <row r="162" spans="2:3" s="132" customFormat="1">
      <c r="B162" s="131"/>
      <c r="C162" s="131"/>
    </row>
    <row r="163" spans="2:3" s="132" customFormat="1">
      <c r="B163" s="131"/>
      <c r="C163" s="131"/>
    </row>
    <row r="164" spans="2:3" s="132" customFormat="1">
      <c r="B164" s="131"/>
      <c r="C164" s="131"/>
    </row>
    <row r="165" spans="2:3" s="132" customFormat="1">
      <c r="B165" s="131"/>
      <c r="C165" s="131"/>
    </row>
    <row r="166" spans="2:3" s="132" customFormat="1">
      <c r="B166" s="131"/>
      <c r="C166" s="131"/>
    </row>
    <row r="167" spans="2:3" s="132" customFormat="1">
      <c r="B167" s="131"/>
      <c r="C167" s="131"/>
    </row>
    <row r="168" spans="2:3" s="132" customFormat="1">
      <c r="B168" s="131"/>
      <c r="C168" s="131"/>
    </row>
    <row r="169" spans="2:3" s="132" customFormat="1">
      <c r="B169" s="131"/>
      <c r="C169" s="131"/>
    </row>
    <row r="170" spans="2:3" s="132" customFormat="1">
      <c r="B170" s="131"/>
      <c r="C170" s="131"/>
    </row>
    <row r="171" spans="2:3" s="132" customFormat="1">
      <c r="B171" s="131"/>
      <c r="C171" s="131"/>
    </row>
    <row r="172" spans="2:3" s="132" customFormat="1">
      <c r="B172" s="131"/>
      <c r="C172" s="131"/>
    </row>
    <row r="173" spans="2:3" s="132" customFormat="1">
      <c r="B173" s="131"/>
      <c r="C173" s="131"/>
    </row>
    <row r="174" spans="2:3" s="132" customFormat="1">
      <c r="B174" s="131"/>
      <c r="C174" s="131"/>
    </row>
    <row r="175" spans="2:3" s="132" customFormat="1">
      <c r="B175" s="131"/>
      <c r="C175" s="131"/>
    </row>
    <row r="176" spans="2:3" s="132" customFormat="1">
      <c r="B176" s="131"/>
      <c r="C176" s="131"/>
    </row>
    <row r="177" spans="2:3" s="132" customFormat="1">
      <c r="B177" s="131"/>
      <c r="C177" s="131"/>
    </row>
    <row r="178" spans="2:3" s="132" customFormat="1">
      <c r="B178" s="131"/>
      <c r="C178" s="131"/>
    </row>
    <row r="179" spans="2:3" s="132" customFormat="1">
      <c r="B179" s="131"/>
      <c r="C179" s="131"/>
    </row>
    <row r="180" spans="2:3" s="132" customFormat="1">
      <c r="B180" s="131"/>
      <c r="C180" s="131"/>
    </row>
    <row r="181" spans="2:3" s="132" customFormat="1">
      <c r="B181" s="131"/>
      <c r="C181" s="131"/>
    </row>
    <row r="182" spans="2:3" s="132" customFormat="1">
      <c r="B182" s="131"/>
      <c r="C182" s="131"/>
    </row>
    <row r="183" spans="2:3" s="132" customFormat="1">
      <c r="B183" s="131"/>
      <c r="C183" s="131"/>
    </row>
    <row r="184" spans="2:3" s="132" customFormat="1">
      <c r="B184" s="131"/>
      <c r="C184" s="131"/>
    </row>
    <row r="185" spans="2:3" s="132" customFormat="1">
      <c r="B185" s="131"/>
      <c r="C185" s="131"/>
    </row>
    <row r="186" spans="2:3" s="132" customFormat="1">
      <c r="B186" s="131"/>
      <c r="C186" s="131"/>
    </row>
    <row r="187" spans="2:3" s="132" customFormat="1">
      <c r="B187" s="131"/>
      <c r="C187" s="131"/>
    </row>
    <row r="188" spans="2:3" s="132" customFormat="1">
      <c r="B188" s="131"/>
      <c r="C188" s="131"/>
    </row>
    <row r="189" spans="2:3" s="132" customFormat="1">
      <c r="B189" s="131"/>
      <c r="C189" s="131"/>
    </row>
    <row r="190" spans="2:3" s="132" customFormat="1">
      <c r="B190" s="131"/>
      <c r="C190" s="131"/>
    </row>
    <row r="191" spans="2:3" s="132" customFormat="1">
      <c r="B191" s="131"/>
      <c r="C191" s="131"/>
    </row>
    <row r="192" spans="2:3" s="132" customFormat="1">
      <c r="B192" s="131"/>
      <c r="C192" s="131"/>
    </row>
    <row r="193" spans="2:3" s="132" customFormat="1">
      <c r="B193" s="131"/>
      <c r="C193" s="131"/>
    </row>
    <row r="194" spans="2:3" s="132" customFormat="1">
      <c r="B194" s="131"/>
      <c r="C194" s="131"/>
    </row>
    <row r="195" spans="2:3" s="132" customFormat="1">
      <c r="B195" s="131"/>
      <c r="C195" s="131"/>
    </row>
    <row r="196" spans="2:3" s="132" customFormat="1">
      <c r="B196" s="131"/>
      <c r="C196" s="131"/>
    </row>
    <row r="197" spans="2:3" s="132" customFormat="1">
      <c r="B197" s="131"/>
      <c r="C197" s="131"/>
    </row>
    <row r="198" spans="2:3" s="132" customFormat="1">
      <c r="B198" s="131"/>
      <c r="C198" s="131"/>
    </row>
    <row r="199" spans="2:3" s="132" customFormat="1">
      <c r="B199" s="131"/>
      <c r="C199" s="131"/>
    </row>
    <row r="200" spans="2:3" s="132" customFormat="1">
      <c r="B200" s="131"/>
      <c r="C200" s="131"/>
    </row>
    <row r="201" spans="2:3" s="132" customFormat="1">
      <c r="B201" s="131"/>
      <c r="C201" s="131"/>
    </row>
    <row r="202" spans="2:3" s="132" customFormat="1">
      <c r="B202" s="131"/>
      <c r="C202" s="131"/>
    </row>
    <row r="203" spans="2:3" s="132" customFormat="1">
      <c r="B203" s="131"/>
      <c r="C203" s="131"/>
    </row>
    <row r="204" spans="2:3" s="132" customFormat="1">
      <c r="B204" s="131"/>
      <c r="C204" s="131"/>
    </row>
    <row r="205" spans="2:3" s="132" customFormat="1">
      <c r="B205" s="131"/>
      <c r="C205" s="131"/>
    </row>
    <row r="206" spans="2:3" s="132" customFormat="1">
      <c r="B206" s="131"/>
      <c r="C206" s="131"/>
    </row>
    <row r="207" spans="2:3" s="132" customFormat="1">
      <c r="B207" s="131"/>
      <c r="C207" s="131"/>
    </row>
    <row r="208" spans="2:3" s="132" customFormat="1">
      <c r="B208" s="131"/>
      <c r="C208" s="131"/>
    </row>
    <row r="209" spans="2:3" s="132" customFormat="1">
      <c r="B209" s="131"/>
      <c r="C209" s="131"/>
    </row>
    <row r="210" spans="2:3" s="132" customFormat="1">
      <c r="B210" s="131"/>
      <c r="C210" s="131"/>
    </row>
    <row r="211" spans="2:3" s="132" customFormat="1">
      <c r="B211" s="131"/>
      <c r="C211" s="131"/>
    </row>
    <row r="212" spans="2:3" s="132" customFormat="1">
      <c r="B212" s="131"/>
      <c r="C212" s="131"/>
    </row>
    <row r="213" spans="2:3" s="132" customFormat="1">
      <c r="B213" s="131"/>
      <c r="C213" s="131"/>
    </row>
    <row r="214" spans="2:3" s="132" customFormat="1">
      <c r="B214" s="131"/>
      <c r="C214" s="131"/>
    </row>
    <row r="215" spans="2:3" s="132" customFormat="1">
      <c r="B215" s="131"/>
      <c r="C215" s="131"/>
    </row>
    <row r="216" spans="2:3" s="132" customFormat="1">
      <c r="B216" s="131"/>
      <c r="C216" s="131"/>
    </row>
    <row r="217" spans="2:3" s="132" customFormat="1">
      <c r="B217" s="131"/>
      <c r="C217" s="131"/>
    </row>
    <row r="218" spans="2:3" s="132" customFormat="1">
      <c r="B218" s="131"/>
      <c r="C218" s="131"/>
    </row>
    <row r="219" spans="2:3" s="132" customFormat="1">
      <c r="B219" s="131"/>
      <c r="C219" s="131"/>
    </row>
    <row r="220" spans="2:3" s="132" customFormat="1">
      <c r="B220" s="131"/>
      <c r="C220" s="131"/>
    </row>
    <row r="221" spans="2:3" s="132" customFormat="1">
      <c r="B221" s="131"/>
      <c r="C221" s="131"/>
    </row>
    <row r="222" spans="2:3" s="132" customFormat="1">
      <c r="B222" s="131"/>
      <c r="C222" s="131"/>
    </row>
    <row r="223" spans="2:3" s="132" customFormat="1">
      <c r="B223" s="131"/>
      <c r="C223" s="131"/>
    </row>
    <row r="224" spans="2:3" s="132" customFormat="1">
      <c r="B224" s="131"/>
      <c r="C224" s="131"/>
    </row>
    <row r="225" spans="2:7" s="132" customFormat="1">
      <c r="B225" s="131"/>
      <c r="C225" s="131"/>
    </row>
    <row r="226" spans="2:7" s="132" customFormat="1">
      <c r="B226" s="131"/>
      <c r="C226" s="131"/>
    </row>
    <row r="227" spans="2:7" s="132" customFormat="1">
      <c r="B227" s="131"/>
      <c r="C227" s="131"/>
    </row>
    <row r="228" spans="2:7" s="132" customFormat="1">
      <c r="B228" s="131"/>
      <c r="C228" s="131"/>
    </row>
    <row r="229" spans="2:7" s="132" customFormat="1">
      <c r="B229" s="131"/>
      <c r="C229" s="131"/>
    </row>
    <row r="230" spans="2:7" s="132" customFormat="1">
      <c r="B230" s="131"/>
      <c r="C230" s="131"/>
    </row>
    <row r="231" spans="2:7" s="132" customFormat="1">
      <c r="B231" s="131"/>
      <c r="C231" s="131"/>
    </row>
    <row r="232" spans="2:7" s="132" customFormat="1">
      <c r="B232" s="131"/>
      <c r="C232" s="131"/>
    </row>
    <row r="233" spans="2:7" s="132" customFormat="1">
      <c r="B233" s="131"/>
      <c r="C233" s="131"/>
    </row>
    <row r="234" spans="2:7">
      <c r="D234" s="1"/>
      <c r="E234" s="1"/>
      <c r="F234" s="1"/>
      <c r="G234" s="1"/>
    </row>
    <row r="235" spans="2:7">
      <c r="D235" s="1"/>
      <c r="E235" s="1"/>
      <c r="F235" s="1"/>
      <c r="G235" s="1"/>
    </row>
    <row r="236" spans="2:7">
      <c r="D236" s="1"/>
      <c r="E236" s="1"/>
      <c r="F236" s="1"/>
      <c r="G236" s="1"/>
    </row>
    <row r="237" spans="2:7">
      <c r="D237" s="1"/>
      <c r="E237" s="1"/>
      <c r="F237" s="1"/>
      <c r="G237" s="1"/>
    </row>
    <row r="238" spans="2:7">
      <c r="D238" s="1"/>
      <c r="E238" s="1"/>
      <c r="F238" s="1"/>
      <c r="G238" s="1"/>
    </row>
    <row r="239" spans="2:7">
      <c r="D239" s="1"/>
      <c r="E239" s="1"/>
      <c r="F239" s="1"/>
      <c r="G239" s="1"/>
    </row>
    <row r="240" spans="2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Z49:Z1048576 D1:I1048576 AA1:XFD1048576 Z1:Z43 B45:B100 B102:B1048576 K1:Y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G327"/>
  <sheetViews>
    <sheetView rightToLeft="1" workbookViewId="0">
      <selection activeCell="A11" sqref="A11:XFD152"/>
    </sheetView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48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10" style="1" customWidth="1"/>
    <col min="15" max="15" width="9" style="1" bestFit="1" customWidth="1"/>
    <col min="16" max="16" width="8.140625" style="1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2:59">
      <c r="B1" s="57" t="s">
        <v>185</v>
      </c>
      <c r="C1" s="78" t="s" vm="1">
        <v>273</v>
      </c>
    </row>
    <row r="2" spans="2:59">
      <c r="B2" s="57" t="s">
        <v>184</v>
      </c>
      <c r="C2" s="78" t="s">
        <v>274</v>
      </c>
    </row>
    <row r="3" spans="2:59">
      <c r="B3" s="57" t="s">
        <v>186</v>
      </c>
      <c r="C3" s="78" t="s">
        <v>275</v>
      </c>
    </row>
    <row r="4" spans="2:59">
      <c r="B4" s="57" t="s">
        <v>187</v>
      </c>
      <c r="C4" s="78">
        <v>2102</v>
      </c>
    </row>
    <row r="6" spans="2:59" ht="26.25" customHeight="1">
      <c r="B6" s="181" t="s">
        <v>215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3"/>
    </row>
    <row r="7" spans="2:59" ht="26.25" customHeight="1">
      <c r="B7" s="181" t="s">
        <v>99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3"/>
      <c r="BG7" s="3"/>
    </row>
    <row r="8" spans="2:59" s="3" customFormat="1" ht="78.75">
      <c r="B8" s="23" t="s">
        <v>123</v>
      </c>
      <c r="C8" s="31" t="s">
        <v>49</v>
      </c>
      <c r="D8" s="31" t="s">
        <v>127</v>
      </c>
      <c r="E8" s="31" t="s">
        <v>125</v>
      </c>
      <c r="F8" s="31" t="s">
        <v>70</v>
      </c>
      <c r="G8" s="31" t="s">
        <v>15</v>
      </c>
      <c r="H8" s="31" t="s">
        <v>71</v>
      </c>
      <c r="I8" s="31" t="s">
        <v>109</v>
      </c>
      <c r="J8" s="31" t="s">
        <v>249</v>
      </c>
      <c r="K8" s="31" t="s">
        <v>248</v>
      </c>
      <c r="L8" s="31" t="s">
        <v>67</v>
      </c>
      <c r="M8" s="31" t="s">
        <v>64</v>
      </c>
      <c r="N8" s="31" t="s">
        <v>188</v>
      </c>
      <c r="O8" s="21" t="s">
        <v>190</v>
      </c>
      <c r="BB8" s="1"/>
      <c r="BC8" s="1"/>
    </row>
    <row r="9" spans="2:59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256</v>
      </c>
      <c r="K9" s="33"/>
      <c r="L9" s="33" t="s">
        <v>252</v>
      </c>
      <c r="M9" s="33" t="s">
        <v>20</v>
      </c>
      <c r="N9" s="33" t="s">
        <v>20</v>
      </c>
      <c r="O9" s="34" t="s">
        <v>20</v>
      </c>
      <c r="BA9" s="1"/>
      <c r="BB9" s="1"/>
      <c r="BC9" s="1"/>
      <c r="BG9" s="4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BA10" s="1"/>
      <c r="BB10" s="3"/>
      <c r="BC10" s="1"/>
    </row>
    <row r="11" spans="2:59" s="135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8"/>
      <c r="K11" s="90"/>
      <c r="L11" s="88">
        <v>2112089.4961245069</v>
      </c>
      <c r="M11" s="80"/>
      <c r="N11" s="89">
        <f>L11/$L$11</f>
        <v>1</v>
      </c>
      <c r="O11" s="89">
        <f>L11/'סכום נכסי הקרן'!$C$42</f>
        <v>3.6348865328380456E-2</v>
      </c>
      <c r="BA11" s="132"/>
      <c r="BB11" s="141"/>
      <c r="BC11" s="132"/>
      <c r="BG11" s="132"/>
    </row>
    <row r="12" spans="2:59" s="135" customFormat="1" ht="18" customHeight="1">
      <c r="B12" s="81" t="s">
        <v>242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2112089.4961245065</v>
      </c>
      <c r="M12" s="82"/>
      <c r="N12" s="92">
        <f t="shared" ref="N12:N29" si="0">L12/$L$11</f>
        <v>0.99999999999999978</v>
      </c>
      <c r="O12" s="92">
        <f>L12/'סכום נכסי הקרן'!$C$42</f>
        <v>3.6348865328380442E-2</v>
      </c>
      <c r="BA12" s="132"/>
      <c r="BB12" s="141"/>
      <c r="BC12" s="132"/>
      <c r="BG12" s="132"/>
    </row>
    <row r="13" spans="2:59" s="132" customFormat="1">
      <c r="B13" s="102" t="s">
        <v>56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1335939.5194365361</v>
      </c>
      <c r="M13" s="82"/>
      <c r="N13" s="92">
        <f t="shared" si="0"/>
        <v>0.63252031785957186</v>
      </c>
      <c r="O13" s="92">
        <f>L13/'סכום נכסי הקרן'!$C$42</f>
        <v>2.2991395851341977E-2</v>
      </c>
      <c r="BB13" s="141"/>
    </row>
    <row r="14" spans="2:59" s="132" customFormat="1" ht="20.25">
      <c r="B14" s="87" t="s">
        <v>1782</v>
      </c>
      <c r="C14" s="84" t="s">
        <v>1783</v>
      </c>
      <c r="D14" s="97" t="s">
        <v>30</v>
      </c>
      <c r="E14" s="84"/>
      <c r="F14" s="97" t="s">
        <v>1784</v>
      </c>
      <c r="G14" s="84" t="s">
        <v>1785</v>
      </c>
      <c r="H14" s="84" t="s">
        <v>926</v>
      </c>
      <c r="I14" s="97" t="s">
        <v>172</v>
      </c>
      <c r="J14" s="94">
        <v>21986.803152</v>
      </c>
      <c r="K14" s="96">
        <v>114692</v>
      </c>
      <c r="L14" s="94">
        <v>114982.43034115601</v>
      </c>
      <c r="M14" s="95">
        <v>4.1914609821933846E-2</v>
      </c>
      <c r="N14" s="95">
        <f t="shared" si="0"/>
        <v>5.4440131704711549E-2</v>
      </c>
      <c r="O14" s="95">
        <f>L14/'סכום נכסי הקרן'!$C$42</f>
        <v>1.9788370157938552E-3</v>
      </c>
      <c r="BB14" s="135"/>
    </row>
    <row r="15" spans="2:59" s="132" customFormat="1">
      <c r="B15" s="87" t="s">
        <v>1786</v>
      </c>
      <c r="C15" s="84" t="s">
        <v>1787</v>
      </c>
      <c r="D15" s="97" t="s">
        <v>30</v>
      </c>
      <c r="E15" s="84"/>
      <c r="F15" s="97" t="s">
        <v>1784</v>
      </c>
      <c r="G15" s="84" t="s">
        <v>925</v>
      </c>
      <c r="H15" s="84" t="s">
        <v>926</v>
      </c>
      <c r="I15" s="97" t="s">
        <v>169</v>
      </c>
      <c r="J15" s="94">
        <v>27404.216850000001</v>
      </c>
      <c r="K15" s="96">
        <v>105203.5</v>
      </c>
      <c r="L15" s="94">
        <v>99637.151438571018</v>
      </c>
      <c r="M15" s="95">
        <v>3.4598401766215425E-2</v>
      </c>
      <c r="N15" s="95">
        <f t="shared" si="0"/>
        <v>4.7174682522400764E-2</v>
      </c>
      <c r="O15" s="95">
        <f>L15/'סכום נכסי הקרן'!$C$42</f>
        <v>1.7147461819158486E-3</v>
      </c>
    </row>
    <row r="16" spans="2:59" s="132" customFormat="1">
      <c r="B16" s="87" t="s">
        <v>1788</v>
      </c>
      <c r="C16" s="84" t="s">
        <v>1789</v>
      </c>
      <c r="D16" s="97" t="s">
        <v>30</v>
      </c>
      <c r="E16" s="84"/>
      <c r="F16" s="97" t="s">
        <v>1784</v>
      </c>
      <c r="G16" s="84" t="s">
        <v>1045</v>
      </c>
      <c r="H16" s="84" t="s">
        <v>926</v>
      </c>
      <c r="I16" s="97" t="s">
        <v>169</v>
      </c>
      <c r="J16" s="94">
        <v>1211.336464</v>
      </c>
      <c r="K16" s="96">
        <v>1053173</v>
      </c>
      <c r="L16" s="94">
        <v>44089.789947532998</v>
      </c>
      <c r="M16" s="95">
        <v>8.6800279293116275E-3</v>
      </c>
      <c r="N16" s="95">
        <f t="shared" si="0"/>
        <v>2.0874962935251453E-2</v>
      </c>
      <c r="O16" s="95">
        <f>L16/'סכום נכסי הקרן'!$C$42</f>
        <v>7.5878121646838861E-4</v>
      </c>
    </row>
    <row r="17" spans="2:15" s="132" customFormat="1">
      <c r="B17" s="87" t="s">
        <v>1790</v>
      </c>
      <c r="C17" s="84" t="s">
        <v>1791</v>
      </c>
      <c r="D17" s="97" t="s">
        <v>30</v>
      </c>
      <c r="E17" s="84"/>
      <c r="F17" s="97" t="s">
        <v>1784</v>
      </c>
      <c r="G17" s="84" t="s">
        <v>1045</v>
      </c>
      <c r="H17" s="84" t="s">
        <v>926</v>
      </c>
      <c r="I17" s="97" t="s">
        <v>171</v>
      </c>
      <c r="J17" s="94">
        <v>15938.127715000001</v>
      </c>
      <c r="K17" s="96">
        <v>98805.46</v>
      </c>
      <c r="L17" s="94">
        <v>61072.886836024001</v>
      </c>
      <c r="M17" s="95">
        <v>5.6132186004387692E-2</v>
      </c>
      <c r="N17" s="95">
        <f t="shared" si="0"/>
        <v>2.8915861258761631E-2</v>
      </c>
      <c r="O17" s="95">
        <f>L17/'סכום נכסי הקרן'!$C$42</f>
        <v>1.0510587467488601E-3</v>
      </c>
    </row>
    <row r="18" spans="2:15" s="132" customFormat="1">
      <c r="B18" s="87" t="s">
        <v>1792</v>
      </c>
      <c r="C18" s="84" t="s">
        <v>1793</v>
      </c>
      <c r="D18" s="97" t="s">
        <v>30</v>
      </c>
      <c r="E18" s="84"/>
      <c r="F18" s="97" t="s">
        <v>1784</v>
      </c>
      <c r="G18" s="84" t="s">
        <v>1045</v>
      </c>
      <c r="H18" s="84" t="s">
        <v>926</v>
      </c>
      <c r="I18" s="97" t="s">
        <v>169</v>
      </c>
      <c r="J18" s="94">
        <v>8837.4004339999992</v>
      </c>
      <c r="K18" s="96">
        <v>198843.8</v>
      </c>
      <c r="L18" s="94">
        <v>60730.984546623993</v>
      </c>
      <c r="M18" s="95">
        <v>3.7216121903579626E-2</v>
      </c>
      <c r="N18" s="95">
        <f t="shared" si="0"/>
        <v>2.8753982564687648E-2</v>
      </c>
      <c r="O18" s="95">
        <f>L18/'סכום נכסי הקרן'!$C$42</f>
        <v>1.045174639898431E-3</v>
      </c>
    </row>
    <row r="19" spans="2:15" s="132" customFormat="1">
      <c r="B19" s="87" t="s">
        <v>1794</v>
      </c>
      <c r="C19" s="84" t="s">
        <v>1795</v>
      </c>
      <c r="D19" s="97" t="s">
        <v>30</v>
      </c>
      <c r="E19" s="84"/>
      <c r="F19" s="97" t="s">
        <v>1784</v>
      </c>
      <c r="G19" s="84" t="s">
        <v>1123</v>
      </c>
      <c r="H19" s="84" t="s">
        <v>961</v>
      </c>
      <c r="I19" s="97" t="s">
        <v>171</v>
      </c>
      <c r="J19" s="94">
        <v>40.166359999999997</v>
      </c>
      <c r="K19" s="96">
        <v>19255.740000000002</v>
      </c>
      <c r="L19" s="94">
        <v>29.995456064000006</v>
      </c>
      <c r="M19" s="95">
        <v>5.1141981584926322E-6</v>
      </c>
      <c r="N19" s="95">
        <f t="shared" si="0"/>
        <v>1.4201792167916631E-5</v>
      </c>
      <c r="O19" s="95">
        <f>L19/'סכום נכסי הקרן'!$C$42</f>
        <v>5.1621903093324992E-7</v>
      </c>
    </row>
    <row r="20" spans="2:15" s="132" customFormat="1">
      <c r="B20" s="87" t="s">
        <v>1796</v>
      </c>
      <c r="C20" s="84" t="s">
        <v>1797</v>
      </c>
      <c r="D20" s="97" t="s">
        <v>30</v>
      </c>
      <c r="E20" s="84"/>
      <c r="F20" s="97" t="s">
        <v>1784</v>
      </c>
      <c r="G20" s="84" t="s">
        <v>1126</v>
      </c>
      <c r="H20" s="84" t="s">
        <v>926</v>
      </c>
      <c r="I20" s="97" t="s">
        <v>169</v>
      </c>
      <c r="J20" s="94">
        <v>1058971.158147</v>
      </c>
      <c r="K20" s="96">
        <v>1797</v>
      </c>
      <c r="L20" s="94">
        <v>65766.683721616006</v>
      </c>
      <c r="M20" s="95">
        <v>1.1061586979756411E-2</v>
      </c>
      <c r="N20" s="95">
        <f t="shared" si="0"/>
        <v>3.1138208793847003E-2</v>
      </c>
      <c r="O20" s="95">
        <f>L20/'סכום נכסי הקרן'!$C$42</f>
        <v>1.1318385580145367E-3</v>
      </c>
    </row>
    <row r="21" spans="2:15" s="132" customFormat="1">
      <c r="B21" s="87" t="s">
        <v>1798</v>
      </c>
      <c r="C21" s="84" t="s">
        <v>1799</v>
      </c>
      <c r="D21" s="97" t="s">
        <v>30</v>
      </c>
      <c r="E21" s="84"/>
      <c r="F21" s="97" t="s">
        <v>1784</v>
      </c>
      <c r="G21" s="84" t="s">
        <v>1126</v>
      </c>
      <c r="H21" s="84" t="s">
        <v>932</v>
      </c>
      <c r="I21" s="97" t="s">
        <v>169</v>
      </c>
      <c r="J21" s="94">
        <v>19028.293635000002</v>
      </c>
      <c r="K21" s="96">
        <v>135328</v>
      </c>
      <c r="L21" s="94">
        <v>88994.099927308998</v>
      </c>
      <c r="M21" s="95">
        <v>4.3089246379092103E-3</v>
      </c>
      <c r="N21" s="95">
        <f t="shared" si="0"/>
        <v>4.2135572422761967E-2</v>
      </c>
      <c r="O21" s="95">
        <f>L21/'סכום נכסי הקרן'!$C$42</f>
        <v>1.5315802475291962E-3</v>
      </c>
    </row>
    <row r="22" spans="2:15" s="132" customFormat="1">
      <c r="B22" s="87" t="s">
        <v>1800</v>
      </c>
      <c r="C22" s="84" t="s">
        <v>1801</v>
      </c>
      <c r="D22" s="97" t="s">
        <v>30</v>
      </c>
      <c r="E22" s="84"/>
      <c r="F22" s="97" t="s">
        <v>1784</v>
      </c>
      <c r="G22" s="84" t="s">
        <v>1126</v>
      </c>
      <c r="H22" s="84" t="s">
        <v>926</v>
      </c>
      <c r="I22" s="97" t="s">
        <v>169</v>
      </c>
      <c r="J22" s="94">
        <v>1835314.7214019999</v>
      </c>
      <c r="K22" s="96">
        <v>1448</v>
      </c>
      <c r="L22" s="94">
        <v>91844.434364390996</v>
      </c>
      <c r="M22" s="95">
        <v>7.8709475651250766E-3</v>
      </c>
      <c r="N22" s="95">
        <f t="shared" si="0"/>
        <v>4.3485105405295189E-2</v>
      </c>
      <c r="O22" s="95">
        <f>L22/'סכום נכסי הקרן'!$C$42</f>
        <v>1.580634240167504E-3</v>
      </c>
    </row>
    <row r="23" spans="2:15" s="132" customFormat="1">
      <c r="B23" s="87" t="s">
        <v>1802</v>
      </c>
      <c r="C23" s="84" t="s">
        <v>1803</v>
      </c>
      <c r="D23" s="97" t="s">
        <v>30</v>
      </c>
      <c r="E23" s="84"/>
      <c r="F23" s="97" t="s">
        <v>1784</v>
      </c>
      <c r="G23" s="84" t="s">
        <v>1126</v>
      </c>
      <c r="H23" s="84" t="s">
        <v>926</v>
      </c>
      <c r="I23" s="97" t="s">
        <v>169</v>
      </c>
      <c r="J23" s="94">
        <v>1405.4102499999999</v>
      </c>
      <c r="K23" s="96">
        <v>1201639</v>
      </c>
      <c r="L23" s="94">
        <v>58364.781742457999</v>
      </c>
      <c r="M23" s="95">
        <v>6.2571075747975338E-3</v>
      </c>
      <c r="N23" s="95">
        <f t="shared" si="0"/>
        <v>2.7633668861831894E-2</v>
      </c>
      <c r="O23" s="95">
        <f>L23/'סכום נכסי הקרן'!$C$42</f>
        <v>1.0044525079877878E-3</v>
      </c>
    </row>
    <row r="24" spans="2:15" s="132" customFormat="1">
      <c r="B24" s="87" t="s">
        <v>1804</v>
      </c>
      <c r="C24" s="84" t="s">
        <v>1805</v>
      </c>
      <c r="D24" s="97" t="s">
        <v>30</v>
      </c>
      <c r="E24" s="84"/>
      <c r="F24" s="97" t="s">
        <v>1784</v>
      </c>
      <c r="G24" s="84" t="s">
        <v>1126</v>
      </c>
      <c r="H24" s="84" t="s">
        <v>926</v>
      </c>
      <c r="I24" s="97" t="s">
        <v>169</v>
      </c>
      <c r="J24" s="94">
        <v>76777.458184000003</v>
      </c>
      <c r="K24" s="96">
        <v>31862.69</v>
      </c>
      <c r="L24" s="94">
        <v>84545.384225264992</v>
      </c>
      <c r="M24" s="95">
        <v>5.5662350032336539E-3</v>
      </c>
      <c r="N24" s="95">
        <f t="shared" si="0"/>
        <v>4.0029262197647457E-2</v>
      </c>
      <c r="O24" s="95">
        <f>L24/'סכום נכסי הקרן'!$C$42</f>
        <v>1.455018260816718E-3</v>
      </c>
    </row>
    <row r="25" spans="2:15" s="132" customFormat="1">
      <c r="B25" s="87" t="s">
        <v>1806</v>
      </c>
      <c r="C25" s="84" t="s">
        <v>1807</v>
      </c>
      <c r="D25" s="97" t="s">
        <v>30</v>
      </c>
      <c r="E25" s="84"/>
      <c r="F25" s="97" t="s">
        <v>1784</v>
      </c>
      <c r="G25" s="84" t="s">
        <v>1136</v>
      </c>
      <c r="H25" s="84" t="s">
        <v>926</v>
      </c>
      <c r="I25" s="97" t="s">
        <v>171</v>
      </c>
      <c r="J25" s="94">
        <v>92993.557566000003</v>
      </c>
      <c r="K25" s="96">
        <v>15266</v>
      </c>
      <c r="L25" s="94">
        <v>55056.465040468</v>
      </c>
      <c r="M25" s="95">
        <v>3.0604665711347666E-3</v>
      </c>
      <c r="N25" s="95">
        <f t="shared" si="0"/>
        <v>2.6067297404533108E-2</v>
      </c>
      <c r="O25" s="95">
        <f>L25/'סכום נכסי הקרן'!$C$42</f>
        <v>9.4751668283221528E-4</v>
      </c>
    </row>
    <row r="26" spans="2:15" s="132" customFormat="1">
      <c r="B26" s="87" t="s">
        <v>1808</v>
      </c>
      <c r="C26" s="84" t="s">
        <v>1809</v>
      </c>
      <c r="D26" s="97" t="s">
        <v>30</v>
      </c>
      <c r="E26" s="84"/>
      <c r="F26" s="97" t="s">
        <v>1784</v>
      </c>
      <c r="G26" s="84" t="s">
        <v>1136</v>
      </c>
      <c r="H26" s="84" t="s">
        <v>926</v>
      </c>
      <c r="I26" s="97" t="s">
        <v>169</v>
      </c>
      <c r="J26" s="94">
        <v>182110.05048400001</v>
      </c>
      <c r="K26" s="96">
        <v>13094.15</v>
      </c>
      <c r="L26" s="94">
        <v>82410.957852414998</v>
      </c>
      <c r="M26" s="95">
        <v>2.3945342368253811E-2</v>
      </c>
      <c r="N26" s="95">
        <f t="shared" si="0"/>
        <v>3.9018686473102415E-2</v>
      </c>
      <c r="O26" s="95">
        <f>L26/'סכום נכסי הקרן'!$C$42</f>
        <v>1.4182849799010998E-3</v>
      </c>
    </row>
    <row r="27" spans="2:15" s="132" customFormat="1">
      <c r="B27" s="87" t="s">
        <v>1810</v>
      </c>
      <c r="C27" s="84" t="s">
        <v>1811</v>
      </c>
      <c r="D27" s="97" t="s">
        <v>30</v>
      </c>
      <c r="E27" s="84"/>
      <c r="F27" s="97" t="s">
        <v>1784</v>
      </c>
      <c r="G27" s="84" t="s">
        <v>1136</v>
      </c>
      <c r="H27" s="84" t="s">
        <v>926</v>
      </c>
      <c r="I27" s="97" t="s">
        <v>171</v>
      </c>
      <c r="J27" s="94">
        <v>18108.487281999998</v>
      </c>
      <c r="K27" s="96">
        <v>194854</v>
      </c>
      <c r="L27" s="94">
        <v>136842.72062030301</v>
      </c>
      <c r="M27" s="95">
        <v>5.9492251076844624E-2</v>
      </c>
      <c r="N27" s="95">
        <f t="shared" si="0"/>
        <v>6.4790209350217884E-2</v>
      </c>
      <c r="O27" s="95">
        <f>L27/'סכום נכסי הקרן'!$C$42</f>
        <v>2.355050594268646E-3</v>
      </c>
    </row>
    <row r="28" spans="2:15" s="132" customFormat="1">
      <c r="B28" s="87" t="s">
        <v>1812</v>
      </c>
      <c r="C28" s="84" t="s">
        <v>1813</v>
      </c>
      <c r="D28" s="97" t="s">
        <v>30</v>
      </c>
      <c r="E28" s="84"/>
      <c r="F28" s="97" t="s">
        <v>1784</v>
      </c>
      <c r="G28" s="84" t="s">
        <v>1136</v>
      </c>
      <c r="H28" s="84" t="s">
        <v>926</v>
      </c>
      <c r="I28" s="97" t="s">
        <v>171</v>
      </c>
      <c r="J28" s="94">
        <v>144110.333747</v>
      </c>
      <c r="K28" s="96">
        <v>9751</v>
      </c>
      <c r="L28" s="94">
        <v>54497.237135165997</v>
      </c>
      <c r="M28" s="95">
        <v>4.0845271032912073E-3</v>
      </c>
      <c r="N28" s="95">
        <f t="shared" si="0"/>
        <v>2.5802522684367068E-2</v>
      </c>
      <c r="O28" s="95">
        <f>L28/'סכום נכסי הקרן'!$C$42</f>
        <v>9.3789242218654024E-4</v>
      </c>
    </row>
    <row r="29" spans="2:15" s="132" customFormat="1">
      <c r="B29" s="87" t="s">
        <v>1814</v>
      </c>
      <c r="C29" s="84" t="s">
        <v>1815</v>
      </c>
      <c r="D29" s="97" t="s">
        <v>30</v>
      </c>
      <c r="E29" s="84"/>
      <c r="F29" s="97" t="s">
        <v>1784</v>
      </c>
      <c r="G29" s="84" t="s">
        <v>942</v>
      </c>
      <c r="H29" s="84"/>
      <c r="I29" s="97" t="s">
        <v>172</v>
      </c>
      <c r="J29" s="94">
        <v>317045.78995900002</v>
      </c>
      <c r="K29" s="96">
        <v>16399.28</v>
      </c>
      <c r="L29" s="94">
        <v>237073.51624117297</v>
      </c>
      <c r="M29" s="95">
        <v>0.230466430852243</v>
      </c>
      <c r="N29" s="95">
        <f t="shared" si="0"/>
        <v>0.11224596148798685</v>
      </c>
      <c r="O29" s="95">
        <f>L29/'סכום נכסי הקרן'!$C$42</f>
        <v>4.0800133377814135E-3</v>
      </c>
    </row>
    <row r="30" spans="2:15" s="132" customFormat="1">
      <c r="B30" s="83"/>
      <c r="C30" s="84"/>
      <c r="D30" s="84"/>
      <c r="E30" s="84"/>
      <c r="F30" s="84"/>
      <c r="G30" s="84"/>
      <c r="H30" s="84"/>
      <c r="I30" s="84"/>
      <c r="J30" s="94"/>
      <c r="K30" s="96"/>
      <c r="L30" s="84"/>
      <c r="M30" s="84"/>
      <c r="N30" s="95"/>
      <c r="O30" s="84"/>
    </row>
    <row r="31" spans="2:15" s="132" customFormat="1">
      <c r="B31" s="102" t="s">
        <v>260</v>
      </c>
      <c r="C31" s="82"/>
      <c r="D31" s="82"/>
      <c r="E31" s="82"/>
      <c r="F31" s="82"/>
      <c r="G31" s="82"/>
      <c r="H31" s="82"/>
      <c r="I31" s="82"/>
      <c r="J31" s="91"/>
      <c r="K31" s="93"/>
      <c r="L31" s="91">
        <v>35135.390523411996</v>
      </c>
      <c r="M31" s="82"/>
      <c r="N31" s="92">
        <f>L31/$L$11</f>
        <v>1.6635370133643607E-2</v>
      </c>
      <c r="O31" s="92">
        <f>L31/'סכום נכסי הקרן'!$C$42</f>
        <v>6.0467682867557375E-4</v>
      </c>
    </row>
    <row r="32" spans="2:15" s="132" customFormat="1">
      <c r="B32" s="87" t="s">
        <v>1816</v>
      </c>
      <c r="C32" s="84" t="s">
        <v>1817</v>
      </c>
      <c r="D32" s="97" t="s">
        <v>30</v>
      </c>
      <c r="E32" s="84"/>
      <c r="F32" s="97" t="s">
        <v>1784</v>
      </c>
      <c r="G32" s="84" t="s">
        <v>965</v>
      </c>
      <c r="H32" s="84" t="s">
        <v>932</v>
      </c>
      <c r="I32" s="97" t="s">
        <v>169</v>
      </c>
      <c r="J32" s="94">
        <v>1012598.6379999999</v>
      </c>
      <c r="K32" s="96">
        <v>1004</v>
      </c>
      <c r="L32" s="94">
        <v>35135.390523411996</v>
      </c>
      <c r="M32" s="95">
        <v>3.1750220059347709E-3</v>
      </c>
      <c r="N32" s="95">
        <f>L32/$L$11</f>
        <v>1.6635370133643607E-2</v>
      </c>
      <c r="O32" s="95">
        <f>L32/'סכום נכסי הקרן'!$C$42</f>
        <v>6.0467682867557375E-4</v>
      </c>
    </row>
    <row r="33" spans="2:53" s="132" customFormat="1">
      <c r="B33" s="83"/>
      <c r="C33" s="84"/>
      <c r="D33" s="84"/>
      <c r="E33" s="84"/>
      <c r="F33" s="84"/>
      <c r="G33" s="84"/>
      <c r="H33" s="84"/>
      <c r="I33" s="84"/>
      <c r="J33" s="94"/>
      <c r="K33" s="96"/>
      <c r="L33" s="84"/>
      <c r="M33" s="84"/>
      <c r="N33" s="95"/>
      <c r="O33" s="84"/>
    </row>
    <row r="34" spans="2:53" s="132" customFormat="1">
      <c r="B34" s="102" t="s">
        <v>32</v>
      </c>
      <c r="C34" s="82"/>
      <c r="D34" s="82"/>
      <c r="E34" s="82"/>
      <c r="F34" s="82"/>
      <c r="G34" s="82"/>
      <c r="H34" s="82"/>
      <c r="I34" s="82"/>
      <c r="J34" s="91"/>
      <c r="K34" s="93"/>
      <c r="L34" s="91">
        <v>741014.58616455796</v>
      </c>
      <c r="M34" s="82"/>
      <c r="N34" s="92">
        <f t="shared" ref="N34:N40" si="1">L34/$L$11</f>
        <v>0.35084431200678412</v>
      </c>
      <c r="O34" s="92">
        <f>L34/'סכום נכסי הקרן'!$C$42</f>
        <v>1.2752792648362888E-2</v>
      </c>
    </row>
    <row r="35" spans="2:53" s="132" customFormat="1">
      <c r="B35" s="87" t="s">
        <v>1818</v>
      </c>
      <c r="C35" s="84" t="s">
        <v>1819</v>
      </c>
      <c r="D35" s="97" t="s">
        <v>145</v>
      </c>
      <c r="E35" s="84"/>
      <c r="F35" s="97" t="s">
        <v>1820</v>
      </c>
      <c r="G35" s="84" t="s">
        <v>942</v>
      </c>
      <c r="H35" s="84"/>
      <c r="I35" s="97" t="s">
        <v>171</v>
      </c>
      <c r="J35" s="94">
        <v>242334.42600700003</v>
      </c>
      <c r="K35" s="96">
        <v>3053</v>
      </c>
      <c r="L35" s="94">
        <v>28692.746455679997</v>
      </c>
      <c r="M35" s="95">
        <v>2.1352720686228887E-3</v>
      </c>
      <c r="N35" s="95">
        <f t="shared" si="1"/>
        <v>1.3585005042792263E-2</v>
      </c>
      <c r="O35" s="95">
        <f>L35/'סכום נכסי הקרן'!$C$42</f>
        <v>4.9379951878582534E-4</v>
      </c>
    </row>
    <row r="36" spans="2:53" s="132" customFormat="1">
      <c r="B36" s="87" t="s">
        <v>1821</v>
      </c>
      <c r="C36" s="84" t="s">
        <v>1822</v>
      </c>
      <c r="D36" s="97" t="s">
        <v>145</v>
      </c>
      <c r="E36" s="84"/>
      <c r="F36" s="97" t="s">
        <v>1820</v>
      </c>
      <c r="G36" s="84" t="s">
        <v>942</v>
      </c>
      <c r="H36" s="84"/>
      <c r="I36" s="97" t="s">
        <v>179</v>
      </c>
      <c r="J36" s="94">
        <v>936562.55550000002</v>
      </c>
      <c r="K36" s="96">
        <f>143000/100</f>
        <v>1430</v>
      </c>
      <c r="L36" s="94">
        <v>42652.192018162001</v>
      </c>
      <c r="M36" s="95">
        <v>5.4222687541661332E-3</v>
      </c>
      <c r="N36" s="95">
        <f t="shared" si="1"/>
        <v>2.019431094014951E-2</v>
      </c>
      <c r="O36" s="95">
        <f>L36/'סכום נכסי הקרן'!$C$42</f>
        <v>7.3404028876293472E-4</v>
      </c>
    </row>
    <row r="37" spans="2:53" s="132" customFormat="1" ht="20.25">
      <c r="B37" s="87" t="s">
        <v>1823</v>
      </c>
      <c r="C37" s="84" t="s">
        <v>1824</v>
      </c>
      <c r="D37" s="97" t="s">
        <v>30</v>
      </c>
      <c r="E37" s="84"/>
      <c r="F37" s="97" t="s">
        <v>1820</v>
      </c>
      <c r="G37" s="84" t="s">
        <v>942</v>
      </c>
      <c r="H37" s="84"/>
      <c r="I37" s="97" t="s">
        <v>171</v>
      </c>
      <c r="J37" s="94">
        <v>20890.737318</v>
      </c>
      <c r="K37" s="96">
        <v>32228</v>
      </c>
      <c r="L37" s="94">
        <v>26110.628471108997</v>
      </c>
      <c r="M37" s="95">
        <v>4.151226576146424E-3</v>
      </c>
      <c r="N37" s="95">
        <f t="shared" si="1"/>
        <v>1.236246310538433E-2</v>
      </c>
      <c r="O37" s="95">
        <f>L37/'סכום נכסי הקרן'!$C$42</f>
        <v>4.4936150654468701E-4</v>
      </c>
      <c r="BA37" s="135"/>
    </row>
    <row r="38" spans="2:53" s="132" customFormat="1">
      <c r="B38" s="87" t="s">
        <v>1825</v>
      </c>
      <c r="C38" s="84" t="s">
        <v>1826</v>
      </c>
      <c r="D38" s="97" t="s">
        <v>145</v>
      </c>
      <c r="E38" s="84"/>
      <c r="F38" s="97" t="s">
        <v>1820</v>
      </c>
      <c r="G38" s="84" t="s">
        <v>942</v>
      </c>
      <c r="H38" s="84"/>
      <c r="I38" s="97" t="s">
        <v>169</v>
      </c>
      <c r="J38" s="94">
        <v>4707139.6124149971</v>
      </c>
      <c r="K38" s="96">
        <v>1563.4</v>
      </c>
      <c r="L38" s="94">
        <v>254331.94993933599</v>
      </c>
      <c r="M38" s="95">
        <v>6.2047590569723442E-3</v>
      </c>
      <c r="N38" s="95">
        <f t="shared" si="1"/>
        <v>0.12041722209499744</v>
      </c>
      <c r="O38" s="95">
        <f>L38/'סכום נכסי הקרן'!$C$42</f>
        <v>4.3770293891487412E-3</v>
      </c>
      <c r="BA38" s="141"/>
    </row>
    <row r="39" spans="2:53" s="132" customFormat="1">
      <c r="B39" s="87" t="s">
        <v>1827</v>
      </c>
      <c r="C39" s="84" t="s">
        <v>1828</v>
      </c>
      <c r="D39" s="97" t="s">
        <v>30</v>
      </c>
      <c r="E39" s="84"/>
      <c r="F39" s="97" t="s">
        <v>1820</v>
      </c>
      <c r="G39" s="84" t="s">
        <v>942</v>
      </c>
      <c r="H39" s="84"/>
      <c r="I39" s="97" t="s">
        <v>179</v>
      </c>
      <c r="J39" s="94">
        <v>122199.20277</v>
      </c>
      <c r="K39" s="96">
        <v>10851.15</v>
      </c>
      <c r="L39" s="94">
        <v>42229.181940784998</v>
      </c>
      <c r="M39" s="95">
        <v>3.0685190258002152E-2</v>
      </c>
      <c r="N39" s="95">
        <f t="shared" si="1"/>
        <v>1.9994030564647818E-2</v>
      </c>
      <c r="O39" s="95">
        <f>L39/'סכום נכסי הקרן'!$C$42</f>
        <v>7.2676032436590611E-4</v>
      </c>
    </row>
    <row r="40" spans="2:53" s="132" customFormat="1">
      <c r="B40" s="87" t="s">
        <v>1829</v>
      </c>
      <c r="C40" s="84" t="s">
        <v>1830</v>
      </c>
      <c r="D40" s="97" t="s">
        <v>145</v>
      </c>
      <c r="E40" s="84"/>
      <c r="F40" s="97" t="s">
        <v>1820</v>
      </c>
      <c r="G40" s="84" t="s">
        <v>942</v>
      </c>
      <c r="H40" s="84"/>
      <c r="I40" s="97" t="s">
        <v>169</v>
      </c>
      <c r="J40" s="94">
        <v>493302.78665599995</v>
      </c>
      <c r="K40" s="96">
        <v>20353.52</v>
      </c>
      <c r="L40" s="94">
        <v>346997.88733948598</v>
      </c>
      <c r="M40" s="95">
        <v>9.9820376368815831E-3</v>
      </c>
      <c r="N40" s="95">
        <f t="shared" si="1"/>
        <v>0.16429128025881276</v>
      </c>
      <c r="O40" s="95">
        <f>L40/'סכום נכסי הקרן'!$C$42</f>
        <v>5.9718016207547953E-3</v>
      </c>
    </row>
    <row r="41" spans="2:53" s="132" customFormat="1">
      <c r="B41" s="144" t="s">
        <v>255</v>
      </c>
    </row>
    <row r="42" spans="2:53" s="132" customFormat="1">
      <c r="B42" s="131"/>
    </row>
    <row r="43" spans="2:53" s="132" customFormat="1">
      <c r="B43" s="131"/>
    </row>
    <row r="44" spans="2:53" s="132" customFormat="1">
      <c r="B44" s="131"/>
    </row>
    <row r="45" spans="2:53" s="132" customFormat="1">
      <c r="B45" s="138" t="s">
        <v>265</v>
      </c>
    </row>
    <row r="46" spans="2:53" s="132" customFormat="1">
      <c r="B46" s="138" t="s">
        <v>120</v>
      </c>
    </row>
    <row r="47" spans="2:53" s="132" customFormat="1">
      <c r="B47" s="138" t="s">
        <v>247</v>
      </c>
    </row>
    <row r="48" spans="2:53" s="132" customFormat="1">
      <c r="B48" s="138" t="s">
        <v>255</v>
      </c>
    </row>
    <row r="49" spans="2:2" s="132" customFormat="1">
      <c r="B49" s="131"/>
    </row>
    <row r="50" spans="2:2" s="132" customFormat="1">
      <c r="B50" s="131"/>
    </row>
    <row r="51" spans="2:2" s="132" customFormat="1">
      <c r="B51" s="131"/>
    </row>
    <row r="52" spans="2:2" s="132" customFormat="1">
      <c r="B52" s="131"/>
    </row>
    <row r="53" spans="2:2" s="132" customFormat="1">
      <c r="B53" s="131"/>
    </row>
    <row r="54" spans="2:2" s="132" customFormat="1">
      <c r="B54" s="131"/>
    </row>
    <row r="55" spans="2:2" s="132" customFormat="1">
      <c r="B55" s="131"/>
    </row>
    <row r="56" spans="2:2" s="132" customFormat="1">
      <c r="B56" s="131"/>
    </row>
    <row r="57" spans="2:2" s="132" customFormat="1">
      <c r="B57" s="131"/>
    </row>
    <row r="58" spans="2:2" s="132" customFormat="1">
      <c r="B58" s="131"/>
    </row>
    <row r="59" spans="2:2" s="132" customFormat="1">
      <c r="B59" s="131"/>
    </row>
    <row r="60" spans="2:2" s="132" customFormat="1">
      <c r="B60" s="131"/>
    </row>
    <row r="61" spans="2:2" s="132" customFormat="1">
      <c r="B61" s="131"/>
    </row>
    <row r="62" spans="2:2" s="132" customFormat="1">
      <c r="B62" s="131"/>
    </row>
    <row r="63" spans="2:2" s="132" customFormat="1">
      <c r="B63" s="131"/>
    </row>
    <row r="64" spans="2:2" s="132" customFormat="1">
      <c r="B64" s="131"/>
    </row>
    <row r="65" spans="2:2" s="132" customFormat="1">
      <c r="B65" s="131"/>
    </row>
    <row r="66" spans="2:2" s="132" customFormat="1">
      <c r="B66" s="131"/>
    </row>
    <row r="67" spans="2:2" s="132" customFormat="1">
      <c r="B67" s="131"/>
    </row>
    <row r="68" spans="2:2" s="132" customFormat="1">
      <c r="B68" s="131"/>
    </row>
    <row r="69" spans="2:2" s="132" customFormat="1">
      <c r="B69" s="131"/>
    </row>
    <row r="70" spans="2:2" s="132" customFormat="1">
      <c r="B70" s="131"/>
    </row>
    <row r="71" spans="2:2" s="132" customFormat="1">
      <c r="B71" s="131"/>
    </row>
    <row r="72" spans="2:2" s="132" customFormat="1">
      <c r="B72" s="131"/>
    </row>
    <row r="73" spans="2:2" s="132" customFormat="1">
      <c r="B73" s="131"/>
    </row>
    <row r="74" spans="2:2" s="132" customFormat="1">
      <c r="B74" s="131"/>
    </row>
    <row r="75" spans="2:2" s="132" customFormat="1">
      <c r="B75" s="131"/>
    </row>
    <row r="76" spans="2:2" s="132" customFormat="1">
      <c r="B76" s="131"/>
    </row>
    <row r="77" spans="2:2" s="132" customFormat="1">
      <c r="B77" s="131"/>
    </row>
    <row r="78" spans="2:2" s="132" customFormat="1">
      <c r="B78" s="131"/>
    </row>
    <row r="79" spans="2:2" s="132" customFormat="1">
      <c r="B79" s="131"/>
    </row>
    <row r="80" spans="2:2" s="132" customFormat="1">
      <c r="B80" s="131"/>
    </row>
    <row r="81" spans="2:2" s="132" customFormat="1">
      <c r="B81" s="131"/>
    </row>
    <row r="82" spans="2:2" s="132" customFormat="1">
      <c r="B82" s="131"/>
    </row>
    <row r="83" spans="2:2" s="132" customFormat="1">
      <c r="B83" s="131"/>
    </row>
    <row r="84" spans="2:2" s="132" customFormat="1">
      <c r="B84" s="131"/>
    </row>
    <row r="85" spans="2:2" s="132" customFormat="1">
      <c r="B85" s="131"/>
    </row>
    <row r="86" spans="2:2" s="132" customFormat="1">
      <c r="B86" s="131"/>
    </row>
    <row r="87" spans="2:2" s="132" customFormat="1">
      <c r="B87" s="131"/>
    </row>
    <row r="88" spans="2:2" s="132" customFormat="1">
      <c r="B88" s="131"/>
    </row>
    <row r="89" spans="2:2" s="132" customFormat="1">
      <c r="B89" s="131"/>
    </row>
    <row r="90" spans="2:2" s="132" customFormat="1">
      <c r="B90" s="131"/>
    </row>
    <row r="91" spans="2:2" s="132" customFormat="1">
      <c r="B91" s="131"/>
    </row>
    <row r="92" spans="2:2" s="132" customFormat="1">
      <c r="B92" s="131"/>
    </row>
    <row r="93" spans="2:2" s="132" customFormat="1">
      <c r="B93" s="131"/>
    </row>
    <row r="94" spans="2:2" s="132" customFormat="1">
      <c r="B94" s="131"/>
    </row>
    <row r="95" spans="2:2" s="132" customFormat="1">
      <c r="B95" s="131"/>
    </row>
    <row r="96" spans="2:2" s="132" customFormat="1">
      <c r="B96" s="131"/>
    </row>
    <row r="97" spans="2:2" s="132" customFormat="1">
      <c r="B97" s="131"/>
    </row>
    <row r="98" spans="2:2" s="132" customFormat="1">
      <c r="B98" s="131"/>
    </row>
    <row r="99" spans="2:2" s="132" customFormat="1">
      <c r="B99" s="131"/>
    </row>
    <row r="100" spans="2:2" s="132" customFormat="1">
      <c r="B100" s="131"/>
    </row>
    <row r="101" spans="2:2" s="132" customFormat="1">
      <c r="B101" s="131"/>
    </row>
    <row r="102" spans="2:2" s="132" customFormat="1">
      <c r="B102" s="131"/>
    </row>
    <row r="103" spans="2:2" s="132" customFormat="1">
      <c r="B103" s="131"/>
    </row>
    <row r="104" spans="2:2" s="132" customFormat="1">
      <c r="B104" s="131"/>
    </row>
    <row r="105" spans="2:2" s="132" customFormat="1">
      <c r="B105" s="131"/>
    </row>
    <row r="106" spans="2:2" s="132" customFormat="1">
      <c r="B106" s="131"/>
    </row>
    <row r="107" spans="2:2" s="132" customFormat="1">
      <c r="B107" s="131"/>
    </row>
    <row r="108" spans="2:2" s="132" customFormat="1">
      <c r="B108" s="131"/>
    </row>
    <row r="109" spans="2:2" s="132" customFormat="1">
      <c r="B109" s="131"/>
    </row>
    <row r="110" spans="2:2" s="132" customFormat="1">
      <c r="B110" s="131"/>
    </row>
    <row r="111" spans="2:2" s="132" customFormat="1">
      <c r="B111" s="131"/>
    </row>
    <row r="112" spans="2:2" s="132" customFormat="1">
      <c r="B112" s="131"/>
    </row>
    <row r="113" spans="2:2" s="132" customFormat="1">
      <c r="B113" s="131"/>
    </row>
    <row r="114" spans="2:2" s="132" customFormat="1">
      <c r="B114" s="131"/>
    </row>
    <row r="115" spans="2:2" s="132" customFormat="1">
      <c r="B115" s="131"/>
    </row>
    <row r="116" spans="2:2" s="132" customFormat="1">
      <c r="B116" s="131"/>
    </row>
    <row r="117" spans="2:2" s="132" customFormat="1">
      <c r="B117" s="131"/>
    </row>
    <row r="118" spans="2:2" s="132" customFormat="1">
      <c r="B118" s="131"/>
    </row>
    <row r="119" spans="2:2" s="132" customFormat="1">
      <c r="B119" s="131"/>
    </row>
    <row r="120" spans="2:2" s="132" customFormat="1">
      <c r="B120" s="131"/>
    </row>
    <row r="121" spans="2:2" s="132" customFormat="1">
      <c r="B121" s="131"/>
    </row>
    <row r="122" spans="2:2" s="132" customFormat="1">
      <c r="B122" s="131"/>
    </row>
    <row r="123" spans="2:2" s="132" customFormat="1">
      <c r="B123" s="131"/>
    </row>
    <row r="124" spans="2:2" s="132" customFormat="1">
      <c r="B124" s="131"/>
    </row>
    <row r="125" spans="2:2" s="132" customFormat="1">
      <c r="B125" s="131"/>
    </row>
    <row r="126" spans="2:2" s="132" customFormat="1">
      <c r="B126" s="131"/>
    </row>
    <row r="127" spans="2:2" s="132" customFormat="1">
      <c r="B127" s="131"/>
    </row>
    <row r="128" spans="2:2" s="132" customFormat="1">
      <c r="B128" s="131"/>
    </row>
    <row r="129" spans="2:2" s="132" customFormat="1">
      <c r="B129" s="131"/>
    </row>
    <row r="130" spans="2:2" s="132" customFormat="1">
      <c r="B130" s="131"/>
    </row>
    <row r="131" spans="2:2" s="132" customFormat="1">
      <c r="B131" s="131"/>
    </row>
    <row r="132" spans="2:2" s="132" customFormat="1">
      <c r="B132" s="131"/>
    </row>
    <row r="133" spans="2:2" s="132" customFormat="1">
      <c r="B133" s="131"/>
    </row>
    <row r="134" spans="2:2" s="132" customFormat="1">
      <c r="B134" s="131"/>
    </row>
    <row r="135" spans="2:2" s="132" customFormat="1">
      <c r="B135" s="131"/>
    </row>
    <row r="136" spans="2:2" s="132" customFormat="1">
      <c r="B136" s="131"/>
    </row>
    <row r="137" spans="2:2" s="132" customFormat="1">
      <c r="B137" s="131"/>
    </row>
    <row r="138" spans="2:2" s="132" customFormat="1">
      <c r="B138" s="131"/>
    </row>
    <row r="139" spans="2:2" s="132" customFormat="1">
      <c r="B139" s="131"/>
    </row>
    <row r="140" spans="2:2" s="132" customFormat="1">
      <c r="B140" s="131"/>
    </row>
    <row r="141" spans="2:2" s="132" customFormat="1">
      <c r="B141" s="131"/>
    </row>
    <row r="142" spans="2:2" s="132" customFormat="1">
      <c r="B142" s="131"/>
    </row>
    <row r="143" spans="2:2" s="132" customFormat="1">
      <c r="B143" s="131"/>
    </row>
    <row r="144" spans="2:2" s="132" customFormat="1">
      <c r="B144" s="131"/>
    </row>
    <row r="145" spans="2:5" s="132" customFormat="1">
      <c r="B145" s="131"/>
    </row>
    <row r="146" spans="2:5" s="132" customFormat="1">
      <c r="B146" s="131"/>
    </row>
    <row r="147" spans="2:5" s="132" customFormat="1">
      <c r="B147" s="131"/>
    </row>
    <row r="148" spans="2:5" s="132" customFormat="1">
      <c r="B148" s="131"/>
    </row>
    <row r="149" spans="2:5" s="132" customFormat="1">
      <c r="B149" s="131"/>
    </row>
    <row r="150" spans="2:5" s="132" customFormat="1">
      <c r="B150" s="131"/>
    </row>
    <row r="151" spans="2:5" s="132" customFormat="1">
      <c r="B151" s="131"/>
    </row>
    <row r="152" spans="2:5" s="132" customFormat="1">
      <c r="B152" s="131"/>
    </row>
    <row r="153" spans="2:5">
      <c r="C153" s="1"/>
      <c r="D153" s="1"/>
      <c r="E153" s="1"/>
    </row>
    <row r="154" spans="2:5">
      <c r="C154" s="1"/>
      <c r="D154" s="1"/>
      <c r="E154" s="1"/>
    </row>
    <row r="155" spans="2:5">
      <c r="C155" s="1"/>
      <c r="D155" s="1"/>
      <c r="E155" s="1"/>
    </row>
    <row r="156" spans="2:5">
      <c r="C156" s="1"/>
      <c r="D156" s="1"/>
      <c r="E156" s="1"/>
    </row>
    <row r="157" spans="2:5">
      <c r="C157" s="1"/>
      <c r="D157" s="1"/>
      <c r="E157" s="1"/>
    </row>
    <row r="158" spans="2:5">
      <c r="C158" s="1"/>
      <c r="D158" s="1"/>
      <c r="E158" s="1"/>
    </row>
    <row r="159" spans="2:5">
      <c r="C159" s="1"/>
      <c r="D159" s="1"/>
      <c r="E159" s="1"/>
    </row>
    <row r="160" spans="2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1:B37 C5:C1048576 AA42:AA1048576 AB1:XFD1048576 AA1:AA37 B39:B44 B46:B1048576 D1:Z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a46656d4-8850-49b3-aebd-68bd05f7f43d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2020-03-29T06:37:20Z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