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עתידיים'!$B$6:$K$40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2" i="58" l="1"/>
  <c r="J20" i="58"/>
  <c r="J11" i="58" l="1"/>
  <c r="J10" i="58" s="1"/>
  <c r="K47" i="58" s="1"/>
  <c r="O19" i="78"/>
  <c r="O27" i="78"/>
  <c r="O18" i="78"/>
  <c r="O24" i="78"/>
  <c r="O15" i="78"/>
  <c r="O20" i="78"/>
  <c r="O12" i="78"/>
  <c r="O29" i="78"/>
  <c r="O112" i="78"/>
  <c r="O111" i="78" s="1"/>
  <c r="O11" i="78" l="1"/>
  <c r="H19" i="80"/>
  <c r="H18" i="80"/>
  <c r="H17" i="80"/>
  <c r="H16" i="80"/>
  <c r="H14" i="80"/>
  <c r="H13" i="80"/>
  <c r="H12" i="80"/>
  <c r="H11" i="80"/>
  <c r="H10" i="80"/>
  <c r="O10" i="78" l="1"/>
  <c r="C43" i="88"/>
  <c r="C25" i="84"/>
  <c r="C11" i="84"/>
  <c r="C10" i="84" s="1"/>
  <c r="J113" i="76"/>
  <c r="J112" i="76"/>
  <c r="J111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5" i="73"/>
  <c r="J34" i="73"/>
  <c r="J33" i="73"/>
  <c r="J32" i="73"/>
  <c r="J31" i="73"/>
  <c r="J30" i="73"/>
  <c r="J28" i="73"/>
  <c r="J27" i="73"/>
  <c r="J26" i="73"/>
  <c r="J25" i="73"/>
  <c r="J24" i="73"/>
  <c r="J23" i="73"/>
  <c r="J22" i="73"/>
  <c r="J20" i="73"/>
  <c r="J19" i="73"/>
  <c r="J18" i="73"/>
  <c r="J17" i="73"/>
  <c r="J16" i="73"/>
  <c r="J14" i="73"/>
  <c r="J13" i="73"/>
  <c r="J12" i="73"/>
  <c r="J11" i="73"/>
  <c r="L24" i="72"/>
  <c r="L23" i="72"/>
  <c r="L22" i="72"/>
  <c r="L21" i="72"/>
  <c r="L20" i="72"/>
  <c r="L19" i="72"/>
  <c r="L18" i="72"/>
  <c r="L17" i="72"/>
  <c r="L16" i="72"/>
  <c r="L15" i="72"/>
  <c r="L14" i="72"/>
  <c r="L13" i="72"/>
  <c r="L12" i="72"/>
  <c r="L11" i="72"/>
  <c r="R30" i="71"/>
  <c r="R29" i="71"/>
  <c r="R28" i="71"/>
  <c r="R26" i="71"/>
  <c r="R25" i="71"/>
  <c r="R24" i="71"/>
  <c r="R23" i="71"/>
  <c r="R22" i="71"/>
  <c r="R21" i="71"/>
  <c r="R19" i="71"/>
  <c r="R18" i="71"/>
  <c r="R17" i="71"/>
  <c r="R16" i="71"/>
  <c r="R15" i="71"/>
  <c r="R14" i="71"/>
  <c r="R13" i="71"/>
  <c r="R12" i="71"/>
  <c r="R11" i="71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6" i="67"/>
  <c r="J15" i="67"/>
  <c r="J14" i="67"/>
  <c r="J13" i="67"/>
  <c r="J12" i="67"/>
  <c r="J11" i="67"/>
  <c r="K22" i="66"/>
  <c r="K21" i="66"/>
  <c r="K20" i="66"/>
  <c r="K19" i="66"/>
  <c r="K18" i="66"/>
  <c r="K17" i="66"/>
  <c r="K15" i="66"/>
  <c r="K14" i="66"/>
  <c r="K13" i="66"/>
  <c r="K12" i="66"/>
  <c r="K11" i="66"/>
  <c r="K15" i="65"/>
  <c r="K14" i="65"/>
  <c r="K13" i="65"/>
  <c r="K12" i="65"/>
  <c r="K11" i="65"/>
  <c r="N40" i="64"/>
  <c r="N39" i="64"/>
  <c r="N38" i="64"/>
  <c r="N37" i="64"/>
  <c r="N36" i="64"/>
  <c r="N35" i="64"/>
  <c r="N34" i="64"/>
  <c r="N32" i="64"/>
  <c r="N31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97" i="63"/>
  <c r="M96" i="63"/>
  <c r="M95" i="63"/>
  <c r="M94" i="63"/>
  <c r="M93" i="63"/>
  <c r="M91" i="63"/>
  <c r="M90" i="63"/>
  <c r="M89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26" i="62"/>
  <c r="L154" i="62"/>
  <c r="L125" i="62" s="1"/>
  <c r="N125" i="62" s="1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2" i="62"/>
  <c r="N191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2" i="62"/>
  <c r="N151" i="62"/>
  <c r="N150" i="62"/>
  <c r="N149" i="62"/>
  <c r="N148" i="62"/>
  <c r="N147" i="62"/>
  <c r="N146" i="62"/>
  <c r="N145" i="62"/>
  <c r="N144" i="62"/>
  <c r="N193" i="62"/>
  <c r="N143" i="62"/>
  <c r="N190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O189" i="61"/>
  <c r="S189" i="61"/>
  <c r="S180" i="61"/>
  <c r="O180" i="61"/>
  <c r="S124" i="61"/>
  <c r="S123" i="61"/>
  <c r="O124" i="61"/>
  <c r="O123" i="61"/>
  <c r="S115" i="61"/>
  <c r="S114" i="61"/>
  <c r="S113" i="61"/>
  <c r="O115" i="61"/>
  <c r="O114" i="61"/>
  <c r="O113" i="61"/>
  <c r="S102" i="61"/>
  <c r="O102" i="61"/>
  <c r="S98" i="61"/>
  <c r="S97" i="61"/>
  <c r="S96" i="61"/>
  <c r="O98" i="61"/>
  <c r="O97" i="61"/>
  <c r="O96" i="61"/>
  <c r="S75" i="61"/>
  <c r="S74" i="61"/>
  <c r="S73" i="61"/>
  <c r="S72" i="61"/>
  <c r="O75" i="61"/>
  <c r="O74" i="61"/>
  <c r="O73" i="61"/>
  <c r="O72" i="61"/>
  <c r="R257" i="61"/>
  <c r="R249" i="61" s="1"/>
  <c r="R250" i="61"/>
  <c r="R243" i="61"/>
  <c r="R160" i="61"/>
  <c r="R13" i="61"/>
  <c r="Q60" i="59"/>
  <c r="Q59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37" i="88"/>
  <c r="C35" i="88"/>
  <c r="C33" i="88"/>
  <c r="C31" i="88"/>
  <c r="C28" i="88"/>
  <c r="C27" i="88"/>
  <c r="C26" i="88"/>
  <c r="C24" i="88"/>
  <c r="C21" i="88"/>
  <c r="C20" i="88"/>
  <c r="C19" i="88"/>
  <c r="C18" i="88"/>
  <c r="C17" i="88"/>
  <c r="C16" i="88"/>
  <c r="C13" i="88"/>
  <c r="P147" i="78" l="1"/>
  <c r="P143" i="78"/>
  <c r="P139" i="78"/>
  <c r="P135" i="78"/>
  <c r="P131" i="78"/>
  <c r="P127" i="78"/>
  <c r="P123" i="78"/>
  <c r="P119" i="78"/>
  <c r="P115" i="78"/>
  <c r="P108" i="78"/>
  <c r="P104" i="78"/>
  <c r="P100" i="78"/>
  <c r="P96" i="78"/>
  <c r="P92" i="78"/>
  <c r="P88" i="78"/>
  <c r="P84" i="78"/>
  <c r="P80" i="78"/>
  <c r="P76" i="78"/>
  <c r="P72" i="78"/>
  <c r="P68" i="78"/>
  <c r="P64" i="78"/>
  <c r="P60" i="78"/>
  <c r="P56" i="78"/>
  <c r="P52" i="78"/>
  <c r="P48" i="78"/>
  <c r="P44" i="78"/>
  <c r="P40" i="78"/>
  <c r="P36" i="78"/>
  <c r="P32" i="78"/>
  <c r="P27" i="78"/>
  <c r="P23" i="78"/>
  <c r="P19" i="78"/>
  <c r="P15" i="78"/>
  <c r="P10" i="78"/>
  <c r="P22" i="78"/>
  <c r="P14" i="78"/>
  <c r="P21" i="78"/>
  <c r="P29" i="78"/>
  <c r="P146" i="78"/>
  <c r="P142" i="78"/>
  <c r="P138" i="78"/>
  <c r="P134" i="78"/>
  <c r="P130" i="78"/>
  <c r="P126" i="78"/>
  <c r="P122" i="78"/>
  <c r="P118" i="78"/>
  <c r="P114" i="78"/>
  <c r="P109" i="78"/>
  <c r="P107" i="78"/>
  <c r="P103" i="78"/>
  <c r="P99" i="78"/>
  <c r="P95" i="78"/>
  <c r="P91" i="78"/>
  <c r="P87" i="78"/>
  <c r="P83" i="78"/>
  <c r="P79" i="78"/>
  <c r="P75" i="78"/>
  <c r="P71" i="78"/>
  <c r="P67" i="78"/>
  <c r="P63" i="78"/>
  <c r="P59" i="78"/>
  <c r="P55" i="78"/>
  <c r="P51" i="78"/>
  <c r="P47" i="78"/>
  <c r="P43" i="78"/>
  <c r="P39" i="78"/>
  <c r="P35" i="78"/>
  <c r="P31" i="78"/>
  <c r="P26" i="78"/>
  <c r="P18" i="78"/>
  <c r="P17" i="78"/>
  <c r="P24" i="78"/>
  <c r="P145" i="78"/>
  <c r="P141" i="78"/>
  <c r="P137" i="78"/>
  <c r="P133" i="78"/>
  <c r="P129" i="78"/>
  <c r="P125" i="78"/>
  <c r="P121" i="78"/>
  <c r="P117" i="78"/>
  <c r="P113" i="78"/>
  <c r="P106" i="78"/>
  <c r="P102" i="78"/>
  <c r="P98" i="78"/>
  <c r="P94" i="78"/>
  <c r="P90" i="78"/>
  <c r="P86" i="78"/>
  <c r="P82" i="78"/>
  <c r="P78" i="78"/>
  <c r="P74" i="78"/>
  <c r="P70" i="78"/>
  <c r="P66" i="78"/>
  <c r="P62" i="78"/>
  <c r="P58" i="78"/>
  <c r="P54" i="78"/>
  <c r="P50" i="78"/>
  <c r="P46" i="78"/>
  <c r="P42" i="78"/>
  <c r="P38" i="78"/>
  <c r="P34" i="78"/>
  <c r="P30" i="78"/>
  <c r="P25" i="78"/>
  <c r="P13" i="78"/>
  <c r="P20" i="78"/>
  <c r="P148" i="78"/>
  <c r="P144" i="78"/>
  <c r="P140" i="78"/>
  <c r="P136" i="78"/>
  <c r="P132" i="78"/>
  <c r="P128" i="78"/>
  <c r="P124" i="78"/>
  <c r="P120" i="78"/>
  <c r="P116" i="78"/>
  <c r="P112" i="78"/>
  <c r="P105" i="78"/>
  <c r="P101" i="78"/>
  <c r="P97" i="78"/>
  <c r="P93" i="78"/>
  <c r="P89" i="78"/>
  <c r="P85" i="78"/>
  <c r="P81" i="78"/>
  <c r="P77" i="78"/>
  <c r="P73" i="78"/>
  <c r="P69" i="78"/>
  <c r="P65" i="78"/>
  <c r="P61" i="78"/>
  <c r="P57" i="78"/>
  <c r="P53" i="78"/>
  <c r="P49" i="78"/>
  <c r="P45" i="78"/>
  <c r="P41" i="78"/>
  <c r="P37" i="78"/>
  <c r="P33" i="78"/>
  <c r="P16" i="78"/>
  <c r="P111" i="78"/>
  <c r="P12" i="78"/>
  <c r="P11" i="78"/>
  <c r="R12" i="61"/>
  <c r="R11" i="61" s="1"/>
  <c r="K33" i="58"/>
  <c r="K20" i="58"/>
  <c r="C23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T12" i="61" l="1"/>
  <c r="T129" i="61"/>
  <c r="T193" i="61"/>
  <c r="T260" i="61"/>
  <c r="T324" i="61"/>
  <c r="T307" i="61"/>
  <c r="T275" i="61"/>
  <c r="T240" i="61"/>
  <c r="T208" i="61"/>
  <c r="T144" i="61"/>
  <c r="T112" i="61"/>
  <c r="T338" i="61"/>
  <c r="T306" i="61"/>
  <c r="T274" i="61"/>
  <c r="T249" i="61"/>
  <c r="T223" i="61"/>
  <c r="T203" i="61"/>
  <c r="T183" i="61"/>
  <c r="T168" i="61"/>
  <c r="T151" i="61"/>
  <c r="T135" i="61"/>
  <c r="T119" i="61"/>
  <c r="T103" i="61"/>
  <c r="T87" i="61"/>
  <c r="T71" i="61"/>
  <c r="T55" i="61"/>
  <c r="T39" i="61"/>
  <c r="T23" i="61"/>
  <c r="T337" i="61"/>
  <c r="T253" i="61"/>
  <c r="T172" i="61"/>
  <c r="T123" i="61"/>
  <c r="T75" i="61"/>
  <c r="T145" i="61"/>
  <c r="T209" i="61"/>
  <c r="T276" i="61"/>
  <c r="T331" i="61"/>
  <c r="T299" i="61"/>
  <c r="T267" i="61"/>
  <c r="T232" i="61"/>
  <c r="T200" i="61"/>
  <c r="T169" i="61"/>
  <c r="T136" i="61"/>
  <c r="T104" i="61"/>
  <c r="T330" i="61"/>
  <c r="T298" i="61"/>
  <c r="T266" i="61"/>
  <c r="T239" i="61"/>
  <c r="T219" i="61"/>
  <c r="T199" i="61"/>
  <c r="T179" i="61"/>
  <c r="T164" i="61"/>
  <c r="T147" i="61"/>
  <c r="T131" i="61"/>
  <c r="T115" i="61"/>
  <c r="T99" i="61"/>
  <c r="T83" i="61"/>
  <c r="T67" i="61"/>
  <c r="T51" i="61"/>
  <c r="T35" i="61"/>
  <c r="T19" i="61"/>
  <c r="T333" i="61"/>
  <c r="T282" i="61"/>
  <c r="T207" i="61"/>
  <c r="T155" i="61"/>
  <c r="T107" i="61"/>
  <c r="T43" i="61"/>
  <c r="T11" i="61"/>
  <c r="T13" i="61"/>
  <c r="T162" i="61"/>
  <c r="T225" i="61"/>
  <c r="T292" i="61"/>
  <c r="T323" i="61"/>
  <c r="T291" i="61"/>
  <c r="T259" i="61"/>
  <c r="T224" i="61"/>
  <c r="T192" i="61"/>
  <c r="T161" i="61"/>
  <c r="T128" i="61"/>
  <c r="T96" i="61"/>
  <c r="T322" i="61"/>
  <c r="T290" i="61"/>
  <c r="T258" i="61"/>
  <c r="T235" i="61"/>
  <c r="T215" i="61"/>
  <c r="T191" i="61"/>
  <c r="T176" i="61"/>
  <c r="T160" i="61"/>
  <c r="T143" i="61"/>
  <c r="T127" i="61"/>
  <c r="T111" i="61"/>
  <c r="T95" i="61"/>
  <c r="T79" i="61"/>
  <c r="T63" i="61"/>
  <c r="T47" i="61"/>
  <c r="T31" i="61"/>
  <c r="T15" i="61"/>
  <c r="T329" i="61"/>
  <c r="T113" i="61"/>
  <c r="T177" i="61"/>
  <c r="T241" i="61"/>
  <c r="T308" i="61"/>
  <c r="T315" i="61"/>
  <c r="T283" i="61"/>
  <c r="T250" i="61"/>
  <c r="T216" i="61"/>
  <c r="T184" i="61"/>
  <c r="T152" i="61"/>
  <c r="T120" i="61"/>
  <c r="T88" i="61"/>
  <c r="T314" i="61"/>
  <c r="T231" i="61"/>
  <c r="T187" i="61"/>
  <c r="T139" i="61"/>
  <c r="T91" i="61"/>
  <c r="T59" i="61"/>
  <c r="T27" i="61"/>
  <c r="T270" i="61"/>
  <c r="T286" i="61"/>
  <c r="T302" i="61"/>
  <c r="T318" i="61"/>
  <c r="T334" i="61"/>
  <c r="T92" i="61"/>
  <c r="T108" i="61"/>
  <c r="T124" i="61"/>
  <c r="T140" i="61"/>
  <c r="T156" i="61"/>
  <c r="T173" i="61"/>
  <c r="T188" i="61"/>
  <c r="T204" i="61"/>
  <c r="T220" i="61"/>
  <c r="T236" i="61"/>
  <c r="T254" i="61"/>
  <c r="T271" i="61"/>
  <c r="T287" i="61"/>
  <c r="T303" i="61"/>
  <c r="T319" i="61"/>
  <c r="T335" i="61"/>
  <c r="T300" i="61"/>
  <c r="T268" i="61"/>
  <c r="T233" i="61"/>
  <c r="T201" i="61"/>
  <c r="T170" i="61"/>
  <c r="T137" i="61"/>
  <c r="T105" i="61"/>
  <c r="T195" i="61"/>
  <c r="T211" i="61"/>
  <c r="T227" i="61"/>
  <c r="T244" i="61"/>
  <c r="T262" i="61"/>
  <c r="T278" i="61"/>
  <c r="T294" i="61"/>
  <c r="T310" i="61"/>
  <c r="T326" i="61"/>
  <c r="T84" i="61"/>
  <c r="T100" i="61"/>
  <c r="T116" i="61"/>
  <c r="T132" i="61"/>
  <c r="T148" i="61"/>
  <c r="T165" i="61"/>
  <c r="T180" i="61"/>
  <c r="T196" i="61"/>
  <c r="T212" i="61"/>
  <c r="T228" i="61"/>
  <c r="T245" i="61"/>
  <c r="T263" i="61"/>
  <c r="T279" i="61"/>
  <c r="T295" i="61"/>
  <c r="T311" i="61"/>
  <c r="T327" i="61"/>
  <c r="T316" i="61"/>
  <c r="T284" i="61"/>
  <c r="T251" i="61"/>
  <c r="T217" i="61"/>
  <c r="T185" i="61"/>
  <c r="T153" i="61"/>
  <c r="T121" i="61"/>
  <c r="T336" i="61"/>
  <c r="T321" i="61"/>
  <c r="T312" i="61"/>
  <c r="T301" i="61"/>
  <c r="T289" i="61"/>
  <c r="T280" i="61"/>
  <c r="T269" i="61"/>
  <c r="T257" i="61"/>
  <c r="T246" i="61"/>
  <c r="T234" i="61"/>
  <c r="T222" i="61"/>
  <c r="T213" i="61"/>
  <c r="T202" i="61"/>
  <c r="T190" i="61"/>
  <c r="T181" i="61"/>
  <c r="T171" i="61"/>
  <c r="T158" i="61"/>
  <c r="T149" i="61"/>
  <c r="T138" i="61"/>
  <c r="T126" i="61"/>
  <c r="T117" i="61"/>
  <c r="T106" i="61"/>
  <c r="T97" i="61"/>
  <c r="T89" i="61"/>
  <c r="T81" i="61"/>
  <c r="T76" i="61"/>
  <c r="T70" i="61"/>
  <c r="T65" i="61"/>
  <c r="T60" i="61"/>
  <c r="T54" i="61"/>
  <c r="T49" i="61"/>
  <c r="T44" i="61"/>
  <c r="T38" i="61"/>
  <c r="T33" i="61"/>
  <c r="T28" i="61"/>
  <c r="T22" i="61"/>
  <c r="T17" i="61"/>
  <c r="T332" i="61"/>
  <c r="T320" i="61"/>
  <c r="T309" i="61"/>
  <c r="T297" i="61"/>
  <c r="T288" i="61"/>
  <c r="T277" i="61"/>
  <c r="T265" i="61"/>
  <c r="T255" i="61"/>
  <c r="T243" i="61"/>
  <c r="T230" i="61"/>
  <c r="T221" i="61"/>
  <c r="T210" i="61"/>
  <c r="T198" i="61"/>
  <c r="T189" i="61"/>
  <c r="T178" i="61"/>
  <c r="T167" i="61"/>
  <c r="T157" i="61"/>
  <c r="T146" i="61"/>
  <c r="T134" i="61"/>
  <c r="T125" i="61"/>
  <c r="T114" i="61"/>
  <c r="T102" i="61"/>
  <c r="T94" i="61"/>
  <c r="T86" i="61"/>
  <c r="T80" i="61"/>
  <c r="T74" i="61"/>
  <c r="T69" i="61"/>
  <c r="T64" i="61"/>
  <c r="T58" i="61"/>
  <c r="T53" i="61"/>
  <c r="T48" i="61"/>
  <c r="T42" i="61"/>
  <c r="T37" i="61"/>
  <c r="T32" i="61"/>
  <c r="T26" i="61"/>
  <c r="T21" i="61"/>
  <c r="T16" i="61"/>
  <c r="C15" i="88"/>
  <c r="T328" i="61"/>
  <c r="T317" i="61"/>
  <c r="T305" i="61"/>
  <c r="T296" i="61"/>
  <c r="T285" i="61"/>
  <c r="T273" i="61"/>
  <c r="T264" i="61"/>
  <c r="T252" i="61"/>
  <c r="T238" i="61"/>
  <c r="T197" i="61"/>
  <c r="T57" i="61"/>
  <c r="T325" i="61"/>
  <c r="T281" i="61"/>
  <c r="T237" i="61"/>
  <c r="T214" i="61"/>
  <c r="T194" i="61"/>
  <c r="T174" i="61"/>
  <c r="T150" i="61"/>
  <c r="T130" i="61"/>
  <c r="T109" i="61"/>
  <c r="T90" i="61"/>
  <c r="T77" i="61"/>
  <c r="T66" i="61"/>
  <c r="T56" i="61"/>
  <c r="T45" i="61"/>
  <c r="T34" i="61"/>
  <c r="T24" i="61"/>
  <c r="T304" i="61"/>
  <c r="T226" i="61"/>
  <c r="T205" i="61"/>
  <c r="T163" i="61"/>
  <c r="T98" i="61"/>
  <c r="T72" i="61"/>
  <c r="T50" i="61"/>
  <c r="T29" i="61"/>
  <c r="T313" i="61"/>
  <c r="T272" i="61"/>
  <c r="T229" i="61"/>
  <c r="T206" i="61"/>
  <c r="T186" i="61"/>
  <c r="T166" i="61"/>
  <c r="T142" i="61"/>
  <c r="T122" i="61"/>
  <c r="T101" i="61"/>
  <c r="T85" i="61"/>
  <c r="T73" i="61"/>
  <c r="T62" i="61"/>
  <c r="T52" i="61"/>
  <c r="T41" i="61"/>
  <c r="T30" i="61"/>
  <c r="T20" i="61"/>
  <c r="T261" i="61"/>
  <c r="T182" i="61"/>
  <c r="T141" i="61"/>
  <c r="T118" i="61"/>
  <c r="T82" i="61"/>
  <c r="T61" i="61"/>
  <c r="T40" i="61"/>
  <c r="T18" i="61"/>
  <c r="T293" i="61"/>
  <c r="T247" i="61"/>
  <c r="T218" i="61"/>
  <c r="T175" i="61"/>
  <c r="T154" i="61"/>
  <c r="T133" i="61"/>
  <c r="T110" i="61"/>
  <c r="T93" i="61"/>
  <c r="T78" i="61"/>
  <c r="T68" i="61"/>
  <c r="T46" i="61"/>
  <c r="T36" i="61"/>
  <c r="T25" i="61"/>
  <c r="T14" i="61"/>
  <c r="K43" i="58"/>
  <c r="K39" i="58"/>
  <c r="K35" i="58"/>
  <c r="K30" i="58"/>
  <c r="K26" i="58"/>
  <c r="K22" i="58"/>
  <c r="K17" i="58"/>
  <c r="K13" i="58"/>
  <c r="C11" i="88"/>
  <c r="K12" i="58"/>
  <c r="K45" i="58"/>
  <c r="K41" i="58"/>
  <c r="K37" i="58"/>
  <c r="K32" i="58"/>
  <c r="K28" i="58"/>
  <c r="K24" i="58"/>
  <c r="K15" i="58"/>
  <c r="K38" i="58"/>
  <c r="K29" i="58"/>
  <c r="K21" i="58"/>
  <c r="K44" i="58"/>
  <c r="K40" i="58"/>
  <c r="K36" i="58"/>
  <c r="K31" i="58"/>
  <c r="K27" i="58"/>
  <c r="K23" i="58"/>
  <c r="K18" i="58"/>
  <c r="K14" i="58"/>
  <c r="K10" i="58"/>
  <c r="K46" i="58"/>
  <c r="K42" i="58"/>
  <c r="K34" i="58"/>
  <c r="K25" i="58"/>
  <c r="K16" i="58"/>
  <c r="K11" i="58"/>
  <c r="C12" i="88" l="1"/>
  <c r="C10" i="88" l="1"/>
  <c r="C42" i="88" l="1"/>
  <c r="L47" i="58" s="1"/>
  <c r="Q146" i="78" l="1"/>
  <c r="Q142" i="78"/>
  <c r="Q138" i="78"/>
  <c r="Q134" i="78"/>
  <c r="Q130" i="78"/>
  <c r="Q126" i="78"/>
  <c r="Q122" i="78"/>
  <c r="Q118" i="78"/>
  <c r="Q114" i="78"/>
  <c r="Q109" i="78"/>
  <c r="Q105" i="78"/>
  <c r="Q101" i="78"/>
  <c r="Q97" i="78"/>
  <c r="Q93" i="78"/>
  <c r="Q89" i="78"/>
  <c r="Q85" i="78"/>
  <c r="Q81" i="78"/>
  <c r="Q77" i="78"/>
  <c r="Q73" i="78"/>
  <c r="Q69" i="78"/>
  <c r="Q65" i="78"/>
  <c r="Q61" i="78"/>
  <c r="Q57" i="78"/>
  <c r="Q53" i="78"/>
  <c r="Q49" i="78"/>
  <c r="Q45" i="78"/>
  <c r="Q41" i="78"/>
  <c r="Q37" i="78"/>
  <c r="Q33" i="78"/>
  <c r="Q29" i="78"/>
  <c r="Q24" i="78"/>
  <c r="Q20" i="78"/>
  <c r="Q16" i="78"/>
  <c r="Q11" i="78"/>
  <c r="Q76" i="78"/>
  <c r="Q68" i="78"/>
  <c r="Q60" i="78"/>
  <c r="Q52" i="78"/>
  <c r="Q44" i="78"/>
  <c r="Q36" i="78"/>
  <c r="Q27" i="78"/>
  <c r="Q19" i="78"/>
  <c r="Q15" i="78"/>
  <c r="Q111" i="78"/>
  <c r="Q106" i="78"/>
  <c r="Q90" i="78"/>
  <c r="Q74" i="78"/>
  <c r="Q58" i="78"/>
  <c r="Q50" i="78"/>
  <c r="Q34" i="78"/>
  <c r="Q17" i="78"/>
  <c r="Q145" i="78"/>
  <c r="Q141" i="78"/>
  <c r="Q137" i="78"/>
  <c r="Q133" i="78"/>
  <c r="Q129" i="78"/>
  <c r="Q125" i="78"/>
  <c r="Q121" i="78"/>
  <c r="Q117" i="78"/>
  <c r="Q113" i="78"/>
  <c r="Q108" i="78"/>
  <c r="Q104" i="78"/>
  <c r="Q100" i="78"/>
  <c r="Q96" i="78"/>
  <c r="Q92" i="78"/>
  <c r="Q88" i="78"/>
  <c r="Q84" i="78"/>
  <c r="Q80" i="78"/>
  <c r="Q72" i="78"/>
  <c r="Q64" i="78"/>
  <c r="Q56" i="78"/>
  <c r="Q48" i="78"/>
  <c r="Q40" i="78"/>
  <c r="Q32" i="78"/>
  <c r="Q23" i="78"/>
  <c r="Q10" i="78"/>
  <c r="Q98" i="78"/>
  <c r="Q86" i="78"/>
  <c r="Q70" i="78"/>
  <c r="Q54" i="78"/>
  <c r="Q38" i="78"/>
  <c r="Q25" i="78"/>
  <c r="Q148" i="78"/>
  <c r="Q144" i="78"/>
  <c r="Q140" i="78"/>
  <c r="Q136" i="78"/>
  <c r="Q132" i="78"/>
  <c r="Q128" i="78"/>
  <c r="Q124" i="78"/>
  <c r="Q120" i="78"/>
  <c r="Q116" i="78"/>
  <c r="Q112" i="78"/>
  <c r="Q107" i="78"/>
  <c r="Q103" i="78"/>
  <c r="Q99" i="78"/>
  <c r="Q95" i="78"/>
  <c r="Q91" i="78"/>
  <c r="Q87" i="78"/>
  <c r="Q83" i="78"/>
  <c r="Q79" i="78"/>
  <c r="Q75" i="78"/>
  <c r="Q71" i="78"/>
  <c r="Q67" i="78"/>
  <c r="Q63" i="78"/>
  <c r="Q59" i="78"/>
  <c r="Q55" i="78"/>
  <c r="Q51" i="78"/>
  <c r="Q47" i="78"/>
  <c r="Q43" i="78"/>
  <c r="Q39" i="78"/>
  <c r="Q35" i="78"/>
  <c r="Q31" i="78"/>
  <c r="Q26" i="78"/>
  <c r="Q22" i="78"/>
  <c r="Q18" i="78"/>
  <c r="Q14" i="78"/>
  <c r="Q94" i="78"/>
  <c r="Q82" i="78"/>
  <c r="Q66" i="78"/>
  <c r="Q62" i="78"/>
  <c r="Q42" i="78"/>
  <c r="Q30" i="78"/>
  <c r="Q13" i="78"/>
  <c r="Q147" i="78"/>
  <c r="Q143" i="78"/>
  <c r="Q139" i="78"/>
  <c r="Q135" i="78"/>
  <c r="Q131" i="78"/>
  <c r="Q127" i="78"/>
  <c r="Q123" i="78"/>
  <c r="Q119" i="78"/>
  <c r="Q115" i="78"/>
  <c r="Q102" i="78"/>
  <c r="Q78" i="78"/>
  <c r="Q46" i="78"/>
  <c r="Q21" i="78"/>
  <c r="Q12" i="78"/>
  <c r="I19" i="80"/>
  <c r="I14" i="80"/>
  <c r="I10" i="80"/>
  <c r="I13" i="80"/>
  <c r="I17" i="80"/>
  <c r="I16" i="80"/>
  <c r="I11" i="80"/>
  <c r="I18" i="80"/>
  <c r="I12" i="80"/>
  <c r="K111" i="76"/>
  <c r="K106" i="76"/>
  <c r="K102" i="76"/>
  <c r="K98" i="76"/>
  <c r="K94" i="76"/>
  <c r="K90" i="76"/>
  <c r="K86" i="76"/>
  <c r="K82" i="76"/>
  <c r="K78" i="76"/>
  <c r="K74" i="76"/>
  <c r="K70" i="76"/>
  <c r="K66" i="76"/>
  <c r="K62" i="76"/>
  <c r="K58" i="76"/>
  <c r="K54" i="76"/>
  <c r="K50" i="76"/>
  <c r="K46" i="76"/>
  <c r="K42" i="76"/>
  <c r="K37" i="76"/>
  <c r="K33" i="76"/>
  <c r="K29" i="76"/>
  <c r="K25" i="76"/>
  <c r="K21" i="76"/>
  <c r="K17" i="76"/>
  <c r="K13" i="76"/>
  <c r="K109" i="76"/>
  <c r="K105" i="76"/>
  <c r="K101" i="76"/>
  <c r="K97" i="76"/>
  <c r="K93" i="76"/>
  <c r="K89" i="76"/>
  <c r="K85" i="76"/>
  <c r="K81" i="76"/>
  <c r="K77" i="76"/>
  <c r="K73" i="76"/>
  <c r="K69" i="76"/>
  <c r="K65" i="76"/>
  <c r="K61" i="76"/>
  <c r="K57" i="76"/>
  <c r="K53" i="76"/>
  <c r="K49" i="76"/>
  <c r="K45" i="76"/>
  <c r="K41" i="76"/>
  <c r="K36" i="76"/>
  <c r="K32" i="76"/>
  <c r="K28" i="76"/>
  <c r="K24" i="76"/>
  <c r="K20" i="76"/>
  <c r="K16" i="76"/>
  <c r="K12" i="76"/>
  <c r="K113" i="76"/>
  <c r="K108" i="76"/>
  <c r="K104" i="76"/>
  <c r="K100" i="76"/>
  <c r="K96" i="76"/>
  <c r="K92" i="76"/>
  <c r="K88" i="76"/>
  <c r="K84" i="76"/>
  <c r="K80" i="76"/>
  <c r="K76" i="76"/>
  <c r="K72" i="76"/>
  <c r="K68" i="76"/>
  <c r="K64" i="76"/>
  <c r="K60" i="76"/>
  <c r="K56" i="76"/>
  <c r="K52" i="76"/>
  <c r="K48" i="76"/>
  <c r="K44" i="76"/>
  <c r="K40" i="76"/>
  <c r="K35" i="76"/>
  <c r="K31" i="76"/>
  <c r="K27" i="76"/>
  <c r="K23" i="76"/>
  <c r="K19" i="76"/>
  <c r="K15" i="76"/>
  <c r="K11" i="76"/>
  <c r="K112" i="76"/>
  <c r="K107" i="76"/>
  <c r="K103" i="76"/>
  <c r="K99" i="76"/>
  <c r="K95" i="76"/>
  <c r="K91" i="76"/>
  <c r="K87" i="76"/>
  <c r="K83" i="76"/>
  <c r="K79" i="76"/>
  <c r="K75" i="76"/>
  <c r="K71" i="76"/>
  <c r="K67" i="76"/>
  <c r="K63" i="76"/>
  <c r="K59" i="76"/>
  <c r="K55" i="76"/>
  <c r="K51" i="76"/>
  <c r="K47" i="76"/>
  <c r="K43" i="76"/>
  <c r="K39" i="76"/>
  <c r="K34" i="76"/>
  <c r="K30" i="76"/>
  <c r="K26" i="76"/>
  <c r="K22" i="76"/>
  <c r="K18" i="76"/>
  <c r="K14" i="76"/>
  <c r="K90" i="73"/>
  <c r="K86" i="73"/>
  <c r="K82" i="73"/>
  <c r="K78" i="73"/>
  <c r="K74" i="73"/>
  <c r="K70" i="73"/>
  <c r="K66" i="73"/>
  <c r="K62" i="73"/>
  <c r="K58" i="73"/>
  <c r="K54" i="73"/>
  <c r="K50" i="73"/>
  <c r="K46" i="73"/>
  <c r="K42" i="73"/>
  <c r="K38" i="73"/>
  <c r="K33" i="73"/>
  <c r="K28" i="73"/>
  <c r="K24" i="73"/>
  <c r="K19" i="73"/>
  <c r="K14" i="73"/>
  <c r="M21" i="72"/>
  <c r="M17" i="72"/>
  <c r="M13" i="72"/>
  <c r="K89" i="73"/>
  <c r="K85" i="73"/>
  <c r="K81" i="73"/>
  <c r="K77" i="73"/>
  <c r="K73" i="73"/>
  <c r="K69" i="73"/>
  <c r="K65" i="73"/>
  <c r="K61" i="73"/>
  <c r="K57" i="73"/>
  <c r="K53" i="73"/>
  <c r="K49" i="73"/>
  <c r="K45" i="73"/>
  <c r="K41" i="73"/>
  <c r="K37" i="73"/>
  <c r="K32" i="73"/>
  <c r="K27" i="73"/>
  <c r="K23" i="73"/>
  <c r="K18" i="73"/>
  <c r="K13" i="73"/>
  <c r="M24" i="72"/>
  <c r="M20" i="72"/>
  <c r="M16" i="72"/>
  <c r="M12" i="72"/>
  <c r="K88" i="73"/>
  <c r="K84" i="73"/>
  <c r="K80" i="73"/>
  <c r="K76" i="73"/>
  <c r="K72" i="73"/>
  <c r="K68" i="73"/>
  <c r="K64" i="73"/>
  <c r="K60" i="73"/>
  <c r="K56" i="73"/>
  <c r="K52" i="73"/>
  <c r="K48" i="73"/>
  <c r="K44" i="73"/>
  <c r="K40" i="73"/>
  <c r="K35" i="73"/>
  <c r="K31" i="73"/>
  <c r="K26" i="73"/>
  <c r="K22" i="73"/>
  <c r="K17" i="73"/>
  <c r="K12" i="73"/>
  <c r="M23" i="72"/>
  <c r="M19" i="72"/>
  <c r="M15" i="72"/>
  <c r="M11" i="72"/>
  <c r="K87" i="73"/>
  <c r="K83" i="73"/>
  <c r="K79" i="73"/>
  <c r="K75" i="73"/>
  <c r="K71" i="73"/>
  <c r="K67" i="73"/>
  <c r="K63" i="73"/>
  <c r="K59" i="73"/>
  <c r="K55" i="73"/>
  <c r="K51" i="73"/>
  <c r="K47" i="73"/>
  <c r="K43" i="73"/>
  <c r="K39" i="73"/>
  <c r="K34" i="73"/>
  <c r="K30" i="73"/>
  <c r="K25" i="73"/>
  <c r="K20" i="73"/>
  <c r="K16" i="73"/>
  <c r="K11" i="73"/>
  <c r="M22" i="72"/>
  <c r="M18" i="72"/>
  <c r="M14" i="72"/>
  <c r="S28" i="71"/>
  <c r="S23" i="71"/>
  <c r="S18" i="71"/>
  <c r="S14" i="71"/>
  <c r="P60" i="69"/>
  <c r="P56" i="69"/>
  <c r="P52" i="69"/>
  <c r="P48" i="69"/>
  <c r="P44" i="69"/>
  <c r="P40" i="69"/>
  <c r="P36" i="69"/>
  <c r="P32" i="69"/>
  <c r="P28" i="69"/>
  <c r="P24" i="69"/>
  <c r="P20" i="69"/>
  <c r="P16" i="69"/>
  <c r="P12" i="69"/>
  <c r="K15" i="67"/>
  <c r="K11" i="67"/>
  <c r="L22" i="66"/>
  <c r="L18" i="66"/>
  <c r="L13" i="66"/>
  <c r="L15" i="65"/>
  <c r="L11" i="65"/>
  <c r="O39" i="64"/>
  <c r="O35" i="64"/>
  <c r="O29" i="64"/>
  <c r="O25" i="64"/>
  <c r="O21" i="64"/>
  <c r="O17" i="64"/>
  <c r="O13" i="64"/>
  <c r="N96" i="63"/>
  <c r="N91" i="63"/>
  <c r="N87" i="63"/>
  <c r="N83" i="63"/>
  <c r="N79" i="63"/>
  <c r="N75" i="63"/>
  <c r="N71" i="63"/>
  <c r="N67" i="63"/>
  <c r="N63" i="63"/>
  <c r="N59" i="63"/>
  <c r="N55" i="63"/>
  <c r="N51" i="63"/>
  <c r="N47" i="63"/>
  <c r="N42" i="63"/>
  <c r="N38" i="63"/>
  <c r="N34" i="63"/>
  <c r="N30" i="63"/>
  <c r="N26" i="63"/>
  <c r="N21" i="63"/>
  <c r="N17" i="63"/>
  <c r="N13" i="63"/>
  <c r="S21" i="71"/>
  <c r="P58" i="69"/>
  <c r="P38" i="69"/>
  <c r="P26" i="69"/>
  <c r="P18" i="69"/>
  <c r="L20" i="66"/>
  <c r="O32" i="64"/>
  <c r="O15" i="64"/>
  <c r="N85" i="63"/>
  <c r="N77" i="63"/>
  <c r="N61" i="63"/>
  <c r="N49" i="63"/>
  <c r="N40" i="63"/>
  <c r="N19" i="63"/>
  <c r="S26" i="71"/>
  <c r="S22" i="71"/>
  <c r="S17" i="71"/>
  <c r="S13" i="71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K14" i="67"/>
  <c r="L21" i="66"/>
  <c r="L17" i="66"/>
  <c r="L12" i="66"/>
  <c r="L14" i="65"/>
  <c r="O38" i="64"/>
  <c r="O34" i="64"/>
  <c r="O28" i="64"/>
  <c r="O24" i="64"/>
  <c r="O20" i="64"/>
  <c r="O16" i="64"/>
  <c r="O12" i="64"/>
  <c r="N95" i="63"/>
  <c r="N90" i="63"/>
  <c r="N86" i="63"/>
  <c r="N82" i="63"/>
  <c r="N78" i="63"/>
  <c r="N74" i="63"/>
  <c r="N70" i="63"/>
  <c r="N66" i="63"/>
  <c r="N62" i="63"/>
  <c r="N58" i="63"/>
  <c r="N54" i="63"/>
  <c r="N50" i="63"/>
  <c r="N46" i="63"/>
  <c r="N41" i="63"/>
  <c r="N37" i="63"/>
  <c r="N33" i="63"/>
  <c r="N29" i="63"/>
  <c r="N24" i="63"/>
  <c r="N20" i="63"/>
  <c r="N16" i="63"/>
  <c r="N12" i="63"/>
  <c r="S25" i="71"/>
  <c r="S12" i="71"/>
  <c r="P54" i="69"/>
  <c r="P46" i="69"/>
  <c r="P34" i="69"/>
  <c r="K13" i="67"/>
  <c r="L11" i="66"/>
  <c r="O37" i="64"/>
  <c r="O23" i="64"/>
  <c r="N94" i="63"/>
  <c r="N81" i="63"/>
  <c r="N69" i="63"/>
  <c r="N57" i="63"/>
  <c r="N32" i="63"/>
  <c r="N15" i="63"/>
  <c r="S29" i="71"/>
  <c r="S24" i="71"/>
  <c r="S19" i="71"/>
  <c r="S15" i="71"/>
  <c r="S11" i="71"/>
  <c r="P57" i="69"/>
  <c r="P53" i="69"/>
  <c r="P49" i="69"/>
  <c r="P45" i="69"/>
  <c r="P41" i="69"/>
  <c r="P37" i="69"/>
  <c r="P33" i="69"/>
  <c r="P29" i="69"/>
  <c r="P25" i="69"/>
  <c r="P21" i="69"/>
  <c r="P17" i="69"/>
  <c r="P13" i="69"/>
  <c r="K16" i="67"/>
  <c r="K12" i="67"/>
  <c r="L19" i="66"/>
  <c r="L14" i="66"/>
  <c r="L12" i="65"/>
  <c r="O40" i="64"/>
  <c r="O36" i="64"/>
  <c r="O31" i="64"/>
  <c r="O26" i="64"/>
  <c r="O22" i="64"/>
  <c r="O18" i="64"/>
  <c r="O14" i="64"/>
  <c r="N97" i="63"/>
  <c r="N93" i="63"/>
  <c r="N88" i="63"/>
  <c r="N84" i="63"/>
  <c r="N80" i="63"/>
  <c r="N76" i="63"/>
  <c r="N72" i="63"/>
  <c r="N68" i="63"/>
  <c r="N64" i="63"/>
  <c r="N60" i="63"/>
  <c r="N56" i="63"/>
  <c r="N52" i="63"/>
  <c r="N48" i="63"/>
  <c r="N44" i="63"/>
  <c r="N39" i="63"/>
  <c r="N35" i="63"/>
  <c r="N31" i="63"/>
  <c r="N27" i="63"/>
  <c r="N22" i="63"/>
  <c r="N18" i="63"/>
  <c r="N14" i="63"/>
  <c r="S30" i="71"/>
  <c r="S16" i="71"/>
  <c r="P50" i="69"/>
  <c r="P42" i="69"/>
  <c r="P30" i="69"/>
  <c r="P22" i="69"/>
  <c r="P14" i="69"/>
  <c r="L15" i="66"/>
  <c r="L13" i="65"/>
  <c r="O27" i="64"/>
  <c r="O19" i="64"/>
  <c r="O11" i="64"/>
  <c r="N89" i="63"/>
  <c r="N73" i="63"/>
  <c r="N65" i="63"/>
  <c r="N53" i="63"/>
  <c r="N45" i="63"/>
  <c r="N36" i="63"/>
  <c r="N28" i="63"/>
  <c r="N23" i="63"/>
  <c r="N11" i="63"/>
  <c r="O211" i="62"/>
  <c r="O207" i="62"/>
  <c r="O203" i="62"/>
  <c r="O199" i="62"/>
  <c r="O195" i="62"/>
  <c r="O189" i="62"/>
  <c r="O185" i="62"/>
  <c r="O181" i="62"/>
  <c r="O177" i="62"/>
  <c r="O173" i="62"/>
  <c r="O169" i="62"/>
  <c r="O165" i="62"/>
  <c r="O161" i="62"/>
  <c r="O157" i="62"/>
  <c r="O152" i="62"/>
  <c r="O148" i="62"/>
  <c r="O144" i="62"/>
  <c r="O142" i="62"/>
  <c r="O138" i="62"/>
  <c r="O134" i="62"/>
  <c r="O130" i="62"/>
  <c r="O126" i="62"/>
  <c r="O121" i="62"/>
  <c r="O117" i="62"/>
  <c r="O113" i="62"/>
  <c r="O109" i="62"/>
  <c r="O105" i="62"/>
  <c r="O101" i="62"/>
  <c r="O97" i="62"/>
  <c r="O93" i="62"/>
  <c r="O89" i="62"/>
  <c r="O84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11" i="62"/>
  <c r="O206" i="62"/>
  <c r="O198" i="62"/>
  <c r="O194" i="62"/>
  <c r="O184" i="62"/>
  <c r="O168" i="62"/>
  <c r="O160" i="62"/>
  <c r="O151" i="62"/>
  <c r="O141" i="62"/>
  <c r="O133" i="62"/>
  <c r="O120" i="62"/>
  <c r="O112" i="62"/>
  <c r="O100" i="62"/>
  <c r="O88" i="62"/>
  <c r="O79" i="62"/>
  <c r="O67" i="62"/>
  <c r="O55" i="62"/>
  <c r="O213" i="62"/>
  <c r="O209" i="62"/>
  <c r="O205" i="62"/>
  <c r="O201" i="62"/>
  <c r="O197" i="62"/>
  <c r="O192" i="62"/>
  <c r="O187" i="62"/>
  <c r="O183" i="62"/>
  <c r="O179" i="62"/>
  <c r="O175" i="62"/>
  <c r="O171" i="62"/>
  <c r="O167" i="62"/>
  <c r="O163" i="62"/>
  <c r="O159" i="62"/>
  <c r="O155" i="62"/>
  <c r="O150" i="62"/>
  <c r="O146" i="62"/>
  <c r="O143" i="62"/>
  <c r="O140" i="62"/>
  <c r="O136" i="62"/>
  <c r="O132" i="62"/>
  <c r="O128" i="62"/>
  <c r="O123" i="62"/>
  <c r="O119" i="62"/>
  <c r="O115" i="62"/>
  <c r="O111" i="62"/>
  <c r="O107" i="62"/>
  <c r="O103" i="62"/>
  <c r="O99" i="62"/>
  <c r="O95" i="62"/>
  <c r="O91" i="62"/>
  <c r="O87" i="62"/>
  <c r="O82" i="62"/>
  <c r="O78" i="62"/>
  <c r="O74" i="62"/>
  <c r="O70" i="62"/>
  <c r="O66" i="62"/>
  <c r="O62" i="62"/>
  <c r="O58" i="62"/>
  <c r="O54" i="62"/>
  <c r="O50" i="62"/>
  <c r="O46" i="62"/>
  <c r="O42" i="62"/>
  <c r="O37" i="62"/>
  <c r="O33" i="62"/>
  <c r="O29" i="62"/>
  <c r="O25" i="62"/>
  <c r="O21" i="62"/>
  <c r="O17" i="62"/>
  <c r="O13" i="62"/>
  <c r="O176" i="62"/>
  <c r="O193" i="62"/>
  <c r="O125" i="62"/>
  <c r="O108" i="62"/>
  <c r="O92" i="62"/>
  <c r="O75" i="62"/>
  <c r="O63" i="62"/>
  <c r="O47" i="62"/>
  <c r="O34" i="62"/>
  <c r="O26" i="62"/>
  <c r="O14" i="62"/>
  <c r="O212" i="62"/>
  <c r="O208" i="62"/>
  <c r="O204" i="62"/>
  <c r="O200" i="62"/>
  <c r="O196" i="62"/>
  <c r="O191" i="62"/>
  <c r="O186" i="62"/>
  <c r="O182" i="62"/>
  <c r="O178" i="62"/>
  <c r="O174" i="62"/>
  <c r="O170" i="62"/>
  <c r="O166" i="62"/>
  <c r="O162" i="62"/>
  <c r="O158" i="62"/>
  <c r="O154" i="62"/>
  <c r="O149" i="62"/>
  <c r="O145" i="62"/>
  <c r="O190" i="62"/>
  <c r="O139" i="62"/>
  <c r="O135" i="62"/>
  <c r="O131" i="62"/>
  <c r="O127" i="62"/>
  <c r="O122" i="62"/>
  <c r="O118" i="62"/>
  <c r="O114" i="62"/>
  <c r="O110" i="62"/>
  <c r="O106" i="62"/>
  <c r="O102" i="62"/>
  <c r="O98" i="62"/>
  <c r="O94" i="62"/>
  <c r="O90" i="62"/>
  <c r="O86" i="62"/>
  <c r="O81" i="62"/>
  <c r="O77" i="62"/>
  <c r="O73" i="62"/>
  <c r="O69" i="62"/>
  <c r="O65" i="62"/>
  <c r="O61" i="62"/>
  <c r="O57" i="62"/>
  <c r="O53" i="62"/>
  <c r="O49" i="62"/>
  <c r="O45" i="62"/>
  <c r="O40" i="62"/>
  <c r="O36" i="62"/>
  <c r="O32" i="62"/>
  <c r="O28" i="62"/>
  <c r="O24" i="62"/>
  <c r="O20" i="62"/>
  <c r="O16" i="62"/>
  <c r="O12" i="62"/>
  <c r="O210" i="62"/>
  <c r="O202" i="62"/>
  <c r="O188" i="62"/>
  <c r="O180" i="62"/>
  <c r="O172" i="62"/>
  <c r="O164" i="62"/>
  <c r="O156" i="62"/>
  <c r="O147" i="62"/>
  <c r="O137" i="62"/>
  <c r="O129" i="62"/>
  <c r="O116" i="62"/>
  <c r="O104" i="62"/>
  <c r="O96" i="62"/>
  <c r="O83" i="62"/>
  <c r="O71" i="62"/>
  <c r="O59" i="62"/>
  <c r="O51" i="62"/>
  <c r="O43" i="62"/>
  <c r="O38" i="62"/>
  <c r="O30" i="62"/>
  <c r="O22" i="62"/>
  <c r="O18" i="62"/>
  <c r="U328" i="61"/>
  <c r="U312" i="61"/>
  <c r="U296" i="61"/>
  <c r="U280" i="61"/>
  <c r="U264" i="61"/>
  <c r="U246" i="61"/>
  <c r="U229" i="61"/>
  <c r="U213" i="61"/>
  <c r="U197" i="61"/>
  <c r="U181" i="61"/>
  <c r="U166" i="61"/>
  <c r="U149" i="61"/>
  <c r="U133" i="61"/>
  <c r="U117" i="61"/>
  <c r="U101" i="61"/>
  <c r="U85" i="61"/>
  <c r="U69" i="61"/>
  <c r="U53" i="61"/>
  <c r="U37" i="61"/>
  <c r="U21" i="61"/>
  <c r="R54" i="59"/>
  <c r="U331" i="61"/>
  <c r="U315" i="61"/>
  <c r="U299" i="61"/>
  <c r="U283" i="61"/>
  <c r="U267" i="61"/>
  <c r="U250" i="61"/>
  <c r="U232" i="61"/>
  <c r="U216" i="61"/>
  <c r="U200" i="61"/>
  <c r="U184" i="61"/>
  <c r="U169" i="61"/>
  <c r="U152" i="61"/>
  <c r="U136" i="61"/>
  <c r="U120" i="61"/>
  <c r="U104" i="61"/>
  <c r="U88" i="61"/>
  <c r="U72" i="61"/>
  <c r="U56" i="61"/>
  <c r="U40" i="61"/>
  <c r="U24" i="61"/>
  <c r="R57" i="59"/>
  <c r="U334" i="61"/>
  <c r="U302" i="61"/>
  <c r="U270" i="61"/>
  <c r="U235" i="61"/>
  <c r="U203" i="61"/>
  <c r="U172" i="61"/>
  <c r="U139" i="61"/>
  <c r="U107" i="61"/>
  <c r="U75" i="61"/>
  <c r="U43" i="61"/>
  <c r="U11" i="61"/>
  <c r="R35" i="59"/>
  <c r="R18" i="59"/>
  <c r="U324" i="61"/>
  <c r="U308" i="61"/>
  <c r="U292" i="61"/>
  <c r="U276" i="61"/>
  <c r="U260" i="61"/>
  <c r="U241" i="61"/>
  <c r="U225" i="61"/>
  <c r="U209" i="61"/>
  <c r="U193" i="61"/>
  <c r="U177" i="61"/>
  <c r="U162" i="61"/>
  <c r="U145" i="61"/>
  <c r="U129" i="61"/>
  <c r="U113" i="61"/>
  <c r="U97" i="61"/>
  <c r="U81" i="61"/>
  <c r="U65" i="61"/>
  <c r="U49" i="61"/>
  <c r="U33" i="61"/>
  <c r="U17" i="61"/>
  <c r="R50" i="59"/>
  <c r="U327" i="61"/>
  <c r="U311" i="61"/>
  <c r="U295" i="61"/>
  <c r="U279" i="61"/>
  <c r="U263" i="61"/>
  <c r="U245" i="61"/>
  <c r="U228" i="61"/>
  <c r="U212" i="61"/>
  <c r="U196" i="61"/>
  <c r="U180" i="61"/>
  <c r="U165" i="61"/>
  <c r="U148" i="61"/>
  <c r="U132" i="61"/>
  <c r="U116" i="61"/>
  <c r="U100" i="61"/>
  <c r="U84" i="61"/>
  <c r="U68" i="61"/>
  <c r="U52" i="61"/>
  <c r="U36" i="61"/>
  <c r="U20" i="61"/>
  <c r="R53" i="59"/>
  <c r="U326" i="61"/>
  <c r="U294" i="61"/>
  <c r="U262" i="61"/>
  <c r="U227" i="61"/>
  <c r="U195" i="61"/>
  <c r="U164" i="61"/>
  <c r="U131" i="61"/>
  <c r="U99" i="61"/>
  <c r="U67" i="61"/>
  <c r="U35" i="61"/>
  <c r="R52" i="59"/>
  <c r="R31" i="59"/>
  <c r="R14" i="59"/>
  <c r="U143" i="61"/>
  <c r="U47" i="61"/>
  <c r="R24" i="59"/>
  <c r="U281" i="61"/>
  <c r="U175" i="61"/>
  <c r="U325" i="61"/>
  <c r="U293" i="61"/>
  <c r="U261" i="61"/>
  <c r="U226" i="61"/>
  <c r="U194" i="61"/>
  <c r="U163" i="61"/>
  <c r="U130" i="61"/>
  <c r="U98" i="61"/>
  <c r="U66" i="61"/>
  <c r="U34" i="61"/>
  <c r="R51" i="59"/>
  <c r="R30" i="59"/>
  <c r="R13" i="59"/>
  <c r="U332" i="61"/>
  <c r="U316" i="61"/>
  <c r="U300" i="61"/>
  <c r="U284" i="61"/>
  <c r="U268" i="61"/>
  <c r="U251" i="61"/>
  <c r="U233" i="61"/>
  <c r="U217" i="61"/>
  <c r="U201" i="61"/>
  <c r="U185" i="61"/>
  <c r="U170" i="61"/>
  <c r="U153" i="61"/>
  <c r="U137" i="61"/>
  <c r="U121" i="61"/>
  <c r="U105" i="61"/>
  <c r="U89" i="61"/>
  <c r="U73" i="61"/>
  <c r="U57" i="61"/>
  <c r="U41" i="61"/>
  <c r="U25" i="61"/>
  <c r="R59" i="59"/>
  <c r="U335" i="61"/>
  <c r="U319" i="61"/>
  <c r="U303" i="61"/>
  <c r="U287" i="61"/>
  <c r="U271" i="61"/>
  <c r="U254" i="61"/>
  <c r="U236" i="61"/>
  <c r="U220" i="61"/>
  <c r="U204" i="61"/>
  <c r="U188" i="61"/>
  <c r="U173" i="61"/>
  <c r="U156" i="61"/>
  <c r="U140" i="61"/>
  <c r="U124" i="61"/>
  <c r="U108" i="61"/>
  <c r="U92" i="61"/>
  <c r="U76" i="61"/>
  <c r="U60" i="61"/>
  <c r="U44" i="61"/>
  <c r="U28" i="61"/>
  <c r="U12" i="61"/>
  <c r="R45" i="59"/>
  <c r="U310" i="61"/>
  <c r="U278" i="61"/>
  <c r="U244" i="61"/>
  <c r="U211" i="61"/>
  <c r="U179" i="61"/>
  <c r="U147" i="61"/>
  <c r="U115" i="61"/>
  <c r="U83" i="61"/>
  <c r="U51" i="61"/>
  <c r="U19" i="61"/>
  <c r="R39" i="59"/>
  <c r="R22" i="59"/>
  <c r="U199" i="61"/>
  <c r="U95" i="61"/>
  <c r="R42" i="59"/>
  <c r="U329" i="61"/>
  <c r="U222" i="61"/>
  <c r="U126" i="61"/>
  <c r="U309" i="61"/>
  <c r="U277" i="61"/>
  <c r="U243" i="61"/>
  <c r="U210" i="61"/>
  <c r="U178" i="61"/>
  <c r="U146" i="61"/>
  <c r="U114" i="61"/>
  <c r="U82" i="61"/>
  <c r="U50" i="61"/>
  <c r="U18" i="61"/>
  <c r="R38" i="59"/>
  <c r="R21" i="59"/>
  <c r="U322" i="61"/>
  <c r="U266" i="61"/>
  <c r="U215" i="61"/>
  <c r="U160" i="61"/>
  <c r="U79" i="61"/>
  <c r="R48" i="59"/>
  <c r="U337" i="61"/>
  <c r="U257" i="61"/>
  <c r="U158" i="61"/>
  <c r="U274" i="61"/>
  <c r="U151" i="61"/>
  <c r="U23" i="61"/>
  <c r="U288" i="61"/>
  <c r="U221" i="61"/>
  <c r="U157" i="61"/>
  <c r="U93" i="61"/>
  <c r="U29" i="61"/>
  <c r="U307" i="61"/>
  <c r="U240" i="61"/>
  <c r="U112" i="61"/>
  <c r="U48" i="61"/>
  <c r="U318" i="61"/>
  <c r="U187" i="61"/>
  <c r="U59" i="61"/>
  <c r="U290" i="61"/>
  <c r="U31" i="61"/>
  <c r="U247" i="61"/>
  <c r="U317" i="61"/>
  <c r="U252" i="61"/>
  <c r="U186" i="61"/>
  <c r="U122" i="61"/>
  <c r="U58" i="61"/>
  <c r="R43" i="59"/>
  <c r="U330" i="61"/>
  <c r="U258" i="61"/>
  <c r="U183" i="61"/>
  <c r="U103" i="61"/>
  <c r="R37" i="59"/>
  <c r="U297" i="61"/>
  <c r="U182" i="61"/>
  <c r="U249" i="61"/>
  <c r="U87" i="61"/>
  <c r="U313" i="61"/>
  <c r="U214" i="61"/>
  <c r="U118" i="61"/>
  <c r="R47" i="59"/>
  <c r="R19" i="59"/>
  <c r="R40" i="59"/>
  <c r="R36" i="59"/>
  <c r="R55" i="59"/>
  <c r="D37" i="88"/>
  <c r="L34" i="58"/>
  <c r="D35" i="88"/>
  <c r="L41" i="58"/>
  <c r="L25" i="58"/>
  <c r="D17" i="88"/>
  <c r="L43" i="58"/>
  <c r="L27" i="58"/>
  <c r="L10" i="58"/>
  <c r="L26" i="58"/>
  <c r="L28" i="58"/>
  <c r="D28" i="88"/>
  <c r="D26" i="88"/>
  <c r="D23" i="88"/>
  <c r="D12" i="88"/>
  <c r="U237" i="61"/>
  <c r="U45" i="61"/>
  <c r="U192" i="61"/>
  <c r="R49" i="59"/>
  <c r="U71" i="61"/>
  <c r="U269" i="61"/>
  <c r="U138" i="61"/>
  <c r="R17" i="59"/>
  <c r="U119" i="61"/>
  <c r="U321" i="61"/>
  <c r="U127" i="61"/>
  <c r="U142" i="61"/>
  <c r="U22" i="61"/>
  <c r="U78" i="61"/>
  <c r="L13" i="58"/>
  <c r="D42" i="88"/>
  <c r="L38" i="58"/>
  <c r="D33" i="88"/>
  <c r="U336" i="61"/>
  <c r="U272" i="61"/>
  <c r="U205" i="61"/>
  <c r="U141" i="61"/>
  <c r="U77" i="61"/>
  <c r="U13" i="61"/>
  <c r="U291" i="61"/>
  <c r="U224" i="61"/>
  <c r="U161" i="61"/>
  <c r="U96" i="61"/>
  <c r="U32" i="61"/>
  <c r="U286" i="61"/>
  <c r="U155" i="61"/>
  <c r="U27" i="61"/>
  <c r="U176" i="61"/>
  <c r="R33" i="59"/>
  <c r="U198" i="61"/>
  <c r="U301" i="61"/>
  <c r="U234" i="61"/>
  <c r="U171" i="61"/>
  <c r="U106" i="61"/>
  <c r="U42" i="61"/>
  <c r="R34" i="59"/>
  <c r="U314" i="61"/>
  <c r="U239" i="61"/>
  <c r="U168" i="61"/>
  <c r="U63" i="61"/>
  <c r="R29" i="59"/>
  <c r="U273" i="61"/>
  <c r="U134" i="61"/>
  <c r="U223" i="61"/>
  <c r="U55" i="61"/>
  <c r="U289" i="61"/>
  <c r="U190" i="61"/>
  <c r="U94" i="61"/>
  <c r="R28" i="59"/>
  <c r="U86" i="61"/>
  <c r="R23" i="59"/>
  <c r="U102" i="61"/>
  <c r="R32" i="59"/>
  <c r="D38" i="88"/>
  <c r="L30" i="58"/>
  <c r="L36" i="58"/>
  <c r="L37" i="58"/>
  <c r="L21" i="58"/>
  <c r="L44" i="58"/>
  <c r="L39" i="58"/>
  <c r="L23" i="58"/>
  <c r="D31" i="88"/>
  <c r="L17" i="58"/>
  <c r="D24" i="88"/>
  <c r="L15" i="58"/>
  <c r="D19" i="88"/>
  <c r="D15" i="88"/>
  <c r="U304" i="61"/>
  <c r="U109" i="61"/>
  <c r="U259" i="61"/>
  <c r="U128" i="61"/>
  <c r="U219" i="61"/>
  <c r="R27" i="59"/>
  <c r="U333" i="61"/>
  <c r="U74" i="61"/>
  <c r="U282" i="61"/>
  <c r="U15" i="61"/>
  <c r="U306" i="61"/>
  <c r="U238" i="61"/>
  <c r="U14" i="61"/>
  <c r="U46" i="61"/>
  <c r="L42" i="58"/>
  <c r="L29" i="58"/>
  <c r="L31" i="58"/>
  <c r="D18" i="88"/>
  <c r="D13" i="88"/>
  <c r="U320" i="61"/>
  <c r="U255" i="61"/>
  <c r="U189" i="61"/>
  <c r="U125" i="61"/>
  <c r="U61" i="61"/>
  <c r="R46" i="59"/>
  <c r="U275" i="61"/>
  <c r="U208" i="61"/>
  <c r="U144" i="61"/>
  <c r="U80" i="61"/>
  <c r="U16" i="61"/>
  <c r="U253" i="61"/>
  <c r="U123" i="61"/>
  <c r="R44" i="59"/>
  <c r="U111" i="61"/>
  <c r="R16" i="59"/>
  <c r="U150" i="61"/>
  <c r="U285" i="61"/>
  <c r="U218" i="61"/>
  <c r="U154" i="61"/>
  <c r="U90" i="61"/>
  <c r="U26" i="61"/>
  <c r="R25" i="59"/>
  <c r="U298" i="61"/>
  <c r="U231" i="61"/>
  <c r="U135" i="61"/>
  <c r="U39" i="61"/>
  <c r="R20" i="59"/>
  <c r="U230" i="61"/>
  <c r="U338" i="61"/>
  <c r="U191" i="61"/>
  <c r="R56" i="59"/>
  <c r="U265" i="61"/>
  <c r="U167" i="61"/>
  <c r="U62" i="61"/>
  <c r="R11" i="59"/>
  <c r="U54" i="61"/>
  <c r="U110" i="61"/>
  <c r="U70" i="61"/>
  <c r="R15" i="59"/>
  <c r="L46" i="58"/>
  <c r="L22" i="58"/>
  <c r="D21" i="88"/>
  <c r="L33" i="58"/>
  <c r="L16" i="58"/>
  <c r="L24" i="58"/>
  <c r="L35" i="58"/>
  <c r="L18" i="58"/>
  <c r="D20" i="88"/>
  <c r="D27" i="88"/>
  <c r="L40" i="58"/>
  <c r="L11" i="58"/>
  <c r="D16" i="88"/>
  <c r="L20" i="58"/>
  <c r="U174" i="61"/>
  <c r="U323" i="61"/>
  <c r="U64" i="61"/>
  <c r="U91" i="61"/>
  <c r="U305" i="61"/>
  <c r="U202" i="61"/>
  <c r="R60" i="59"/>
  <c r="U207" i="61"/>
  <c r="U206" i="61"/>
  <c r="R12" i="59"/>
  <c r="U30" i="61"/>
  <c r="U38" i="61"/>
  <c r="L45" i="58"/>
  <c r="L12" i="58"/>
  <c r="L14" i="58"/>
  <c r="L32" i="58"/>
  <c r="D11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2">
    <s v="Migdal Hashkaot Neches Boded"/>
    <s v="{[Time].[Hie Time].[Yom].&amp;[20191231]}"/>
    <s v="{[Medida].[Medida].&amp;[2]}"/>
    <s v="{[Keren].[Keren].[All]}"/>
    <s v="{[Cheshbon KM].[Hie Peilut].[Peilut 7].&amp;[Kod_Peilut_L7_399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3" si="21">
        <n x="1" s="1"/>
        <n x="19"/>
        <n x="20"/>
      </t>
    </mdx>
    <mdx n="0" f="v">
      <t c="3" si="21">
        <n x="1" s="1"/>
        <n x="22"/>
        <n x="20"/>
      </t>
    </mdx>
    <mdx n="0" f="v">
      <t c="3" si="21">
        <n x="1" s="1"/>
        <n x="23"/>
        <n x="20"/>
      </t>
    </mdx>
    <mdx n="0" f="v">
      <t c="3" si="21">
        <n x="1" s="1"/>
        <n x="24"/>
        <n x="20"/>
      </t>
    </mdx>
    <mdx n="0" f="v">
      <t c="3" si="21">
        <n x="1" s="1"/>
        <n x="25"/>
        <n x="20"/>
      </t>
    </mdx>
    <mdx n="0" f="v">
      <t c="3" si="21">
        <n x="1" s="1"/>
        <n x="26"/>
        <n x="20"/>
      </t>
    </mdx>
    <mdx n="0" f="v">
      <t c="3" si="21">
        <n x="1" s="1"/>
        <n x="27"/>
        <n x="20"/>
      </t>
    </mdx>
    <mdx n="0" f="v">
      <t c="3" si="21">
        <n x="1" s="1"/>
        <n x="28"/>
        <n x="20"/>
      </t>
    </mdx>
    <mdx n="0" f="v">
      <t c="3" si="21">
        <n x="1" s="1"/>
        <n x="29"/>
        <n x="20"/>
      </t>
    </mdx>
    <mdx n="0" f="v">
      <t c="3" si="21">
        <n x="1" s="1"/>
        <n x="30"/>
        <n x="20"/>
      </t>
    </mdx>
    <mdx n="0" f="v">
      <t c="3" si="21">
        <n x="1" s="1"/>
        <n x="31"/>
        <n x="20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<sst xmlns="http://schemas.openxmlformats.org/spreadsheetml/2006/main" count="8485" uniqueCount="2455">
  <si>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</si>
  <si>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</si>
  <si>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</si>
  <si>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</si>
  <si>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</si>
  <si>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</si>
  <si>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</si>
  <si>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</si>
  <si>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</si>
  <si>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</si>
  <si>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</si>
  <si>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</si>
  <si>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</si>
  <si>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</si>
  <si>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</si>
  <si>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</si>
  <si>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</si>
  <si>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</si>
  <si>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</si>
  <si>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</si>
  <si>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</si>
  <si>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</si>
  <si>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</si>
  <si>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</si>
  <si>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</si>
  <si>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</si>
  <si>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</si>
  <si>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</si>
  <si>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</si>
  <si>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</si>
  <si>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</si>
  <si>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</si>
  <si>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</si>
  <si>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</si>
  <si>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</si>
  <si>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</si>
  <si>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</si>
  <si>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</si>
  <si>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</si>
  <si>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</si>
  <si>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</si>
  <si>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</si>
  <si>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</si>
  <si>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</si>
  <si>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</si>
  <si>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</si>
  <si>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</si>
  <si>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</si>
  <si>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</si>
  <si>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</si>
  <si>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</si>
  <si>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</si>
  <si>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</si>
  <si>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</si>
  <si>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</si>
  <si>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</si>
  <si>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</si>
  <si>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</si>
  <si>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</si>
  <si>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</si>
  <si>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</si>
  <si>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</si>
  <si>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</si>
  <si>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</si>
  <si>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</si>
  <si>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</si>
  <si>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</si>
  <si>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</si>
  <si>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</si>
  <si>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</si>
  <si>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</si>
  <si>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</si>
  <si>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</si>
  <si>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</si>
  <si>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</si>
  <si>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</si>
  <si>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</si>
  <si>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</si>
  <si>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</si>
  <si>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</si>
  <si>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</si>
  <si>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</si>
  <si>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</si>
  <si>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</si>
  <si>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</si>
  <si>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</si>
  <si>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</si>
  <si>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</si>
  <si>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</si>
  <si>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</si>
  <si>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</si>
  <si>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</si>
  <si>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</si>
  <si>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</si>
  <si>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</si>
  <si>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</si>
  <si>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</si>
  <si>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</si>
  <si>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</si>
  <si>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</si>
  <si>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</si>
  <si>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</si>
  <si>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</si>
  <si>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</si>
  <si>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</si>
  <si>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</si>
  <si>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</si>
  <si>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</si>
  <si>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</si>
  <si>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</si>
  <si>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</si>
  <si>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</si>
  <si>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</si>
  <si>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</si>
  <si>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</si>
  <si>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</si>
  <si>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</si>
  <si>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</si>
  <si>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</si>
  <si>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</si>
  <si>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</si>
  <si>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</si>
  <si>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</si>
  <si>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</si>
  <si>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</si>
  <si>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</si>
  <si>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</si>
  <si>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</si>
  <si>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</si>
  <si>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</si>
  <si>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</si>
  <si>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</si>
  <si>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</si>
  <si>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</si>
  <si>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</si>
  <si>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</si>
  <si>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</si>
  <si>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</si>
  <si>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</si>
  <si>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</si>
  <si>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</si>
  <si>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</si>
  <si>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</si>
  <si>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</si>
  <si>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</si>
  <si>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</si>
  <si>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</si>
  <si>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</si>
  <si>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</si>
  <si>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</si>
  <si>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</si>
  <si>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</si>
  <si>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</si>
  <si>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</si>
  <si>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</si>
  <si>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</si>
  <si>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</si>
  <si>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</si>
  <si>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</si>
  <si>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</si>
  <si>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</si>
  <si>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</si>
  <si>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</si>
  <si>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</si>
  <si>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</si>
  <si>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</si>
  <si>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</si>
  <si>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</si>
  <si>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</si>
  <si>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</si>
  <si>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</si>
  <si>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</si>
  <si>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</si>
  <si>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</si>
  <si>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</si>
  <si>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</si>
  <si>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</si>
  <si>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</si>
  <si>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</si>
  <si>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</si>
  <si>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</si>
  <si>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</si>
  <si>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</si>
  <si>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</si>
  <si>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</si>
  <si>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</si>
  <si>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</si>
  <si>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</si>
  <si>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</si>
  <si>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</si>
  <si>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</si>
  <si>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</si>
  <si>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</si>
  <si>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</si>
  <si>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</si>
  <si>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</si>
  <si>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</si>
  <si>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</si>
  <si>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</si>
  <si>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</si>
  <si>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</si>
  <si>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</si>
  <si>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</si>
  <si>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</si>
  <si>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</si>
  <si>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</si>
  <si>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</si>
  <si>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</si>
  <si>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</si>
  <si>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</si>
  <si>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</si>
  <si>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</si>
  <si>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</si>
  <si>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</si>
  <si>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</si>
  <si>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</si>
  <si>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</si>
  <si>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</si>
  <si>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</si>
  <si>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</si>
  <si>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</si>
  <si>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</si>
  <si>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</si>
  <si>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</si>
  <si>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</si>
  <si>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</si>
  <si>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</si>
  <si>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</si>
  <si>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</si>
  <si>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</si>
  <si>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</si>
  <si>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</si>
  <si>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</si>
  <si>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</si>
  <si>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</si>
  <si>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</si>
  <si>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</si>
  <si>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</si>
  <si>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</si>
  <si>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</si>
  <si>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</si>
  <si>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</si>
  <si>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</si>
  <si>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</si>
  <si>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</si>
  <si>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</si>
  <si>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</si>
  <si>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</si>
  <si>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</si>
  <si>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</si>
  <si>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</si>
  <si>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</si>
  <si>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</si>
  <si>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</si>
  <si>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</si>
  <si>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</si>
  <si>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</si>
  <si>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</si>
  <si>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</si>
  <si>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</si>
  <si>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</si>
  <si>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</si>
  <si>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</si>
  <si>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</si>
  <si>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</si>
  <si>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</si>
  <si>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</si>
  <si>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31/12/2019</t>
  </si>
  <si>
    <t>מגדל מקפת קרנות פנסיה וקופות גמל בע"מ</t>
  </si>
  <si>
    <t>מגדל מקפת אישית (מספר אוצר 162) - מסלול לבני 60 ומעלה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</si>
  <si>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</si>
  <si>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</si>
  <si>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</si>
  <si>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</si>
  <si>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</si>
  <si>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</si>
  <si>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</si>
  <si>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</si>
  <si>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</si>
  <si>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</si>
  <si>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</si>
  <si>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</si>
  <si>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</si>
  <si>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</si>
  <si>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</si>
  <si>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</si>
  <si>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</si>
  <si>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</si>
  <si>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</si>
  <si>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</si>
  <si>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</si>
  <si>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</si>
  <si>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</si>
  <si>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</si>
  <si>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</si>
  <si>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</si>
  <si>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</si>
  <si>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</si>
  <si>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</si>
  <si>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</si>
  <si>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</si>
  <si>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</si>
  <si>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</si>
  <si>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</si>
  <si>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</si>
  <si>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</si>
  <si>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</si>
  <si>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</si>
  <si>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</si>
  <si>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</si>
  <si>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</si>
  <si>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</si>
  <si>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</si>
  <si>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</si>
  <si>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</si>
  <si>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</si>
  <si>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</si>
  <si>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</si>
  <si>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</si>
  <si>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</si>
  <si>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</si>
  <si>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</si>
  <si>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</si>
  <si>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</si>
  <si>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</si>
  <si>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</si>
  <si>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</si>
  <si>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</si>
  <si>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</si>
  <si>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</si>
  <si>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</si>
  <si>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</si>
  <si>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</si>
  <si>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</si>
  <si>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</si>
  <si>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</si>
  <si>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</si>
  <si>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</si>
  <si>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</si>
  <si>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</si>
  <si>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</si>
  <si>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</si>
  <si>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</si>
  <si>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</si>
  <si>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</si>
  <si>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</si>
  <si>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</si>
  <si>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</si>
  <si>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</si>
  <si>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</si>
  <si>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</si>
  <si>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</si>
  <si>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</si>
  <si>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</si>
  <si>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</si>
  <si>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</si>
  <si>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</si>
  <si>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</si>
  <si>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</si>
  <si>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</si>
  <si>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</si>
  <si>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</si>
  <si>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</si>
  <si>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</si>
  <si>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</si>
  <si>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</si>
  <si>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</si>
  <si>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</si>
  <si>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</si>
  <si>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</si>
  <si>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</si>
  <si>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</si>
  <si>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</si>
  <si>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</si>
  <si>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</si>
  <si>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</si>
  <si>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</si>
  <si>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</si>
  <si>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</si>
  <si>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</si>
  <si>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</si>
  <si>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</si>
  <si>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</si>
  <si>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</si>
  <si>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</si>
  <si>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</si>
  <si>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</si>
  <si>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</si>
  <si>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</si>
  <si>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</si>
  <si>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</si>
  <si>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</si>
  <si>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</si>
  <si>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</si>
  <si>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</si>
  <si>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</si>
  <si>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</si>
  <si>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</si>
  <si>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</si>
  <si>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</si>
  <si>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</si>
  <si>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</si>
  <si>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</si>
  <si>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</si>
  <si>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</si>
  <si>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</si>
  <si>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</si>
  <si>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</si>
  <si>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</si>
  <si>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</si>
  <si>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</si>
  <si>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</si>
  <si>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</si>
  <si>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</si>
  <si>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</si>
  <si>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</si>
  <si>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</si>
  <si>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</si>
  <si>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</si>
  <si>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</si>
  <si>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</si>
  <si>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</si>
  <si>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</si>
  <si>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</si>
  <si>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</si>
  <si>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</si>
  <si>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</si>
  <si>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</si>
  <si>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</si>
  <si>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</si>
  <si>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</si>
  <si>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</si>
  <si>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</si>
  <si>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</si>
  <si>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</si>
  <si>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</si>
  <si>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</si>
  <si>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</si>
  <si>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</si>
  <si>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</si>
  <si>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</si>
  <si>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</si>
  <si>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</si>
  <si>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</si>
  <si>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</si>
  <si>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</si>
  <si>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</si>
  <si>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</si>
  <si>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</si>
  <si>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</si>
  <si>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</si>
  <si>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</si>
  <si>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</si>
  <si>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</si>
  <si>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</si>
  <si>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</si>
  <si>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</si>
  <si>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</si>
  <si>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</si>
  <si>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</si>
  <si>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</si>
  <si>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</si>
  <si>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</si>
  <si>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</si>
  <si>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</si>
  <si>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</si>
  <si>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</si>
  <si>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</si>
  <si>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</si>
  <si>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</si>
  <si>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</si>
  <si>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</si>
  <si>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</si>
  <si>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</si>
  <si>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</si>
  <si>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</si>
  <si>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</si>
  <si>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</si>
  <si>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</si>
  <si>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</si>
  <si>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</si>
  <si>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</si>
  <si>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</si>
  <si>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</si>
  <si>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</si>
  <si>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</si>
  <si>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</si>
  <si>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</si>
  <si>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</si>
  <si>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</si>
  <si>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</si>
  <si>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</si>
  <si>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</si>
  <si>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</si>
  <si>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</si>
  <si>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</si>
  <si>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</si>
  <si>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</si>
  <si>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</si>
  <si>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</si>
  <si>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</si>
  <si>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</si>
  <si>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</si>
  <si>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</si>
  <si>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</si>
  <si>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</si>
  <si>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</si>
  <si>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</si>
  <si>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</si>
  <si>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</si>
  <si>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</si>
  <si>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</si>
  <si>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</si>
  <si>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</si>
  <si>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</si>
  <si>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</si>
  <si>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</si>
  <si>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</si>
  <si>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</si>
  <si>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</si>
  <si>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</si>
  <si>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</si>
  <si>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</si>
  <si>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</si>
  <si>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</si>
  <si>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</si>
  <si>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</si>
  <si>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</si>
  <si>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</si>
  <si>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</si>
  <si>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</si>
  <si>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</si>
  <si>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</si>
  <si>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</si>
  <si>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</si>
  <si>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</si>
  <si>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</si>
  <si>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</si>
  <si>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</si>
  <si>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</si>
  <si>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</si>
  <si>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</si>
  <si>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</si>
  <si>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</si>
  <si>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</si>
  <si>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</si>
  <si>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</si>
  <si>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</si>
  <si>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</si>
  <si>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</si>
  <si>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</si>
  <si>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</si>
  <si>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</si>
  <si>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</si>
  <si>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</si>
  <si>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</si>
  <si>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</si>
  <si>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</si>
  <si>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</si>
  <si>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</si>
  <si>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</si>
  <si>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</si>
  <si>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</si>
  <si>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</si>
  <si>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</si>
  <si>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</si>
  <si>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</si>
  <si>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</si>
  <si>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</si>
  <si>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</si>
  <si>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</si>
  <si>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</si>
  <si>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</si>
  <si>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</si>
  <si>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</si>
  <si>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</si>
  <si>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</si>
  <si>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</si>
  <si>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</si>
  <si>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</si>
  <si>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</si>
  <si>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</si>
  <si>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</si>
  <si>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</si>
  <si>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</si>
  <si>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</si>
  <si>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</si>
  <si>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</si>
  <si>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</si>
  <si>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</si>
  <si>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</si>
  <si>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</si>
  <si>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</si>
  <si>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</si>
  <si>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</si>
  <si>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</si>
  <si>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</si>
  <si>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</si>
  <si>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</si>
  <si>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</si>
  <si>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</si>
  <si>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</si>
  <si>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</si>
  <si>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</si>
  <si>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</si>
  <si>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</si>
  <si>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</si>
  <si>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</si>
  <si>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</si>
  <si>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</si>
  <si>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</si>
  <si>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</si>
  <si>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</si>
  <si>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</si>
  <si>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</si>
  <si>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</si>
  <si>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</si>
  <si>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</si>
  <si>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</si>
  <si>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</si>
  <si>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</si>
  <si>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</si>
  <si>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</si>
  <si>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</si>
  <si>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</si>
  <si>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</si>
  <si>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</si>
  <si>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</si>
  <si>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</si>
  <si>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</si>
  <si>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</si>
  <si>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</si>
  <si>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</si>
  <si>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</si>
  <si>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</si>
  <si>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</si>
  <si>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</si>
  <si>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</si>
  <si>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</si>
  <si>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</si>
  <si>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</si>
  <si>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</si>
  <si>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</si>
  <si>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</si>
  <si>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</si>
  <si>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</si>
  <si>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</si>
  <si>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</si>
  <si>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</si>
  <si>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</si>
  <si>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</si>
  <si>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</si>
  <si>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</si>
  <si>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</si>
  <si>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</si>
  <si>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</si>
  <si>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</si>
  <si>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</si>
  <si>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513765859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</si>
  <si>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</si>
  <si>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</si>
  <si>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</si>
  <si>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</si>
  <si>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</si>
  <si>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</si>
  <si>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</si>
  <si>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</si>
  <si>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</si>
  <si>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</si>
  <si>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</si>
  <si>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</si>
  <si>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</si>
  <si>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</si>
  <si>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</si>
  <si>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</si>
  <si>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</si>
  <si>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</si>
  <si>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</si>
  <si>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</si>
  <si>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</si>
  <si>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</si>
  <si>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</si>
  <si>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מגה אור אגח ו</t>
  </si>
  <si>
    <t>1138668</t>
  </si>
  <si>
    <t>מגה אור אגח ז</t>
  </si>
  <si>
    <t>1141696</t>
  </si>
  <si>
    <t>סלקום אגח ו</t>
  </si>
  <si>
    <t>1125996</t>
  </si>
  <si>
    <t>511930125</t>
  </si>
  <si>
    <t>סלקום אגח ח</t>
  </si>
  <si>
    <t>1132828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</si>
  <si>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</si>
  <si>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</si>
  <si>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</si>
  <si>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</si>
  <si>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</si>
  <si>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</si>
  <si>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</si>
  <si>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</si>
  <si>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</si>
  <si>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</si>
  <si>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</si>
  <si>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</si>
  <si>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</si>
  <si>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</si>
  <si>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</si>
  <si>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</si>
  <si>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</si>
  <si>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</si>
  <si>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</si>
  <si>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</si>
  <si>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</si>
  <si>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</si>
  <si>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</si>
  <si>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</si>
  <si>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</si>
  <si>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</si>
  <si>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</si>
  <si>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</si>
  <si>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</si>
  <si>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</si>
  <si>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</si>
  <si>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</si>
  <si>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</si>
  <si>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</si>
  <si>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</si>
  <si>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</si>
  <si>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</si>
  <si>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</si>
  <si>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</si>
  <si>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</si>
  <si>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</si>
  <si>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</si>
  <si>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</si>
  <si>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</si>
  <si>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</si>
  <si>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</si>
  <si>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</si>
  <si>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</si>
  <si>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</si>
  <si>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</si>
  <si>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</si>
  <si>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</si>
  <si>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</si>
  <si>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</si>
  <si>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</si>
  <si>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</si>
  <si>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</si>
  <si>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</si>
  <si>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</si>
  <si>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</si>
  <si>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</si>
  <si>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</si>
  <si>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</si>
  <si>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</si>
  <si>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</si>
  <si>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</si>
  <si>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</si>
  <si>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</si>
  <si>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</si>
  <si>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</si>
  <si>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</si>
  <si>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</si>
  <si>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</si>
  <si>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</si>
  <si>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</si>
  <si>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</si>
  <si>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</si>
  <si>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</si>
  <si>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</si>
  <si>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</si>
  <si>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</si>
  <si>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</si>
  <si>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</si>
  <si>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</si>
  <si>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</si>
  <si>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</si>
  <si>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</si>
  <si>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</si>
  <si>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</si>
  <si>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</si>
  <si>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</si>
  <si>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</si>
  <si>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</si>
  <si>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</si>
  <si>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</si>
  <si>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</si>
  <si>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</si>
  <si>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</si>
  <si>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</si>
  <si>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</si>
  <si>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</si>
  <si>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</si>
  <si>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</si>
  <si>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</si>
  <si>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</si>
  <si>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</si>
  <si>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</si>
  <si>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</si>
  <si>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</si>
  <si>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</si>
  <si>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</si>
  <si>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</si>
  <si>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</si>
  <si>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</si>
  <si>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</si>
  <si>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</si>
  <si>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</si>
  <si>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</si>
  <si>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</si>
  <si>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</si>
  <si>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</si>
  <si>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</si>
  <si>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</si>
  <si>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</si>
  <si>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</si>
  <si>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</si>
  <si>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</si>
  <si>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</si>
  <si>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</si>
  <si>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</si>
  <si>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</si>
  <si>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</si>
  <si>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</si>
  <si>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</si>
  <si>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</si>
  <si>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</si>
  <si>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</si>
  <si>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</si>
  <si>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</si>
  <si>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</si>
  <si>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</si>
  <si>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</si>
  <si>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</si>
  <si>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</si>
  <si>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</si>
  <si>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</si>
  <si>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</si>
  <si>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</si>
  <si>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</si>
  <si>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</si>
  <si>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</si>
  <si>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</si>
  <si>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</si>
  <si>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</si>
  <si>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</si>
  <si>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</si>
  <si>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</si>
  <si>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</si>
  <si>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</si>
  <si>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</si>
  <si>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</si>
  <si>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</si>
  <si>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</si>
  <si>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</si>
  <si>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</si>
  <si>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</si>
  <si>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</si>
  <si>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</si>
  <si>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ג*</t>
  </si>
  <si>
    <t>1161785</t>
  </si>
  <si>
    <t>512607888</t>
  </si>
  <si>
    <t>מלונאות ותיירות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</si>
  <si>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</si>
  <si>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</si>
  <si>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</si>
  <si>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</si>
  <si>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</si>
  <si>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</si>
  <si>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</si>
  <si>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</si>
  <si>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</si>
  <si>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</si>
  <si>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</si>
  <si>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</si>
  <si>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</si>
  <si>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</si>
  <si>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</si>
  <si>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</si>
  <si>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</si>
  <si>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</si>
  <si>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</si>
  <si>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</si>
  <si>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</si>
  <si>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</si>
  <si>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</si>
  <si>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</si>
  <si>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</si>
  <si>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</si>
  <si>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</si>
  <si>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</si>
  <si>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</si>
  <si>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</si>
  <si>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</si>
  <si>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</si>
  <si>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</si>
  <si>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</si>
  <si>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</si>
  <si>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</si>
  <si>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</si>
  <si>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</si>
  <si>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</si>
  <si>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</si>
  <si>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</si>
  <si>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</si>
  <si>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</si>
  <si>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</si>
  <si>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</si>
  <si>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</si>
  <si>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</si>
  <si>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</si>
  <si>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</si>
  <si>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</si>
  <si>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</si>
  <si>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</si>
  <si>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</si>
  <si>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</si>
  <si>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</si>
  <si>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</si>
  <si>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</si>
  <si>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</si>
  <si>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</si>
  <si>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</si>
  <si>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</si>
  <si>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</si>
  <si>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520027830</t>
  </si>
  <si>
    <t>FITCH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</si>
  <si>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</si>
  <si>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</si>
  <si>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</si>
  <si>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</si>
  <si>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</si>
  <si>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</si>
  <si>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</si>
  <si>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</si>
  <si>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</si>
  <si>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NR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</si>
  <si>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</si>
  <si>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</si>
  <si>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</si>
  <si>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</si>
  <si>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</si>
  <si>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</si>
  <si>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</si>
  <si>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</si>
  <si>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</si>
  <si>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NAB 3.933 08/2034 08/29</t>
  </si>
  <si>
    <t>USG6S94TAB96</t>
  </si>
  <si>
    <t>Banks</t>
  </si>
  <si>
    <t>WESTPAC BANKING 4.11 07/34 07/29</t>
  </si>
  <si>
    <t>US961214EF61</t>
  </si>
  <si>
    <t>ABBVIE 4.45 05/46 06/46</t>
  </si>
  <si>
    <t>US00287YAW93</t>
  </si>
  <si>
    <t>Health Care Equipment &amp; Services</t>
  </si>
  <si>
    <t>Baa2</t>
  </si>
  <si>
    <t>Moodys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</si>
  <si>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</si>
  <si>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</si>
  <si>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</si>
  <si>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</si>
  <si>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</si>
  <si>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</si>
  <si>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</si>
  <si>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</si>
  <si>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</si>
  <si>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</si>
  <si>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</si>
  <si>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</si>
  <si>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</si>
  <si>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EDF 3  PERP</t>
  </si>
  <si>
    <t>FR0013464922</t>
  </si>
  <si>
    <t>UTILITIES</t>
  </si>
  <si>
    <t>ENELIM 4.875 06/29</t>
  </si>
  <si>
    <t>US29278GAK40</t>
  </si>
  <si>
    <t>Diversified Financials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</si>
  <si>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</si>
  <si>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</si>
  <si>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</si>
  <si>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</si>
  <si>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</si>
  <si>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</si>
  <si>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</si>
  <si>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ACAFP 7.875 01/29/49</t>
  </si>
  <si>
    <t>USF22797RT78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</si>
  <si>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</si>
  <si>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</si>
  <si>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</si>
  <si>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</si>
  <si>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</si>
  <si>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</si>
  <si>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</si>
  <si>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Semiconductors &amp; Semiconductor Equipment</t>
  </si>
  <si>
    <t>CHCOCH 3.7 11/29</t>
  </si>
  <si>
    <t>US16412XAH89</t>
  </si>
  <si>
    <t>DELL 5.3 01/29</t>
  </si>
  <si>
    <t>US24703DBA81</t>
  </si>
  <si>
    <t>Technology Hardware &amp; Equipment</t>
  </si>
  <si>
    <t>ECOPETROL 5.875 09/23</t>
  </si>
  <si>
    <t>US279158AC30</t>
  </si>
  <si>
    <t>ETP 5.25 04/29</t>
  </si>
  <si>
    <t>US29278NAG88</t>
  </si>
  <si>
    <t>FSK 4.125 02/25</t>
  </si>
  <si>
    <t>US302635AE72</t>
  </si>
  <si>
    <t>GM 5.25 03/26</t>
  </si>
  <si>
    <t>US37045XBG07</t>
  </si>
  <si>
    <t>MATERIALS</t>
  </si>
  <si>
    <t>Baa3</t>
  </si>
  <si>
    <t>LEAR 5.25 01/25</t>
  </si>
  <si>
    <t>US521865AX34</t>
  </si>
  <si>
    <t>Automobiles &amp; Components</t>
  </si>
  <si>
    <t>MACQUARIE BANK 4.875 06/2025</t>
  </si>
  <si>
    <t>US55608YAB11</t>
  </si>
  <si>
    <t>MERCK 2.875 06/29 06/79</t>
  </si>
  <si>
    <t>XS2011260705</t>
  </si>
  <si>
    <t>Pharmaceuticals &amp; Biotechnology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</si>
  <si>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</si>
  <si>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</si>
  <si>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</si>
  <si>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</si>
  <si>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</si>
  <si>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</si>
  <si>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</si>
  <si>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</si>
  <si>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SSE SSELN 4.75 9/77 06/22</t>
  </si>
  <si>
    <t>XS1572343744</t>
  </si>
  <si>
    <t>STANDARD CHARTERED 3.516 02/30 02/25</t>
  </si>
  <si>
    <t>XS2078692014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</si>
  <si>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</si>
  <si>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</si>
  <si>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</si>
  <si>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</si>
  <si>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</si>
  <si>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</si>
  <si>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</si>
  <si>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</si>
  <si>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VW 4.625 PERP 06/28</t>
  </si>
  <si>
    <t>XS1799939027</t>
  </si>
  <si>
    <t>BAYNGR 3.125 11/79 11/27</t>
  </si>
  <si>
    <t>XS2077670342</t>
  </si>
  <si>
    <t>BB+</t>
  </si>
  <si>
    <t>BNP PARIBAS 7 PERP 08/28</t>
  </si>
  <si>
    <t>USF1R15XK854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</si>
  <si>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</si>
  <si>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</si>
  <si>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</si>
  <si>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</si>
  <si>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</si>
  <si>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</si>
  <si>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</si>
  <si>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CONTINENTAL RES 5 09/22 03/17</t>
  </si>
  <si>
    <t>US212015AH47</t>
  </si>
  <si>
    <t>CTXS 4.5 12/27</t>
  </si>
  <si>
    <t>US177376AE06</t>
  </si>
  <si>
    <t>ENBCN 6 01/27 01/77</t>
  </si>
  <si>
    <t>US29250NAN57</t>
  </si>
  <si>
    <t>FIBRBZ 5.25</t>
  </si>
  <si>
    <t>US31572UAE64</t>
  </si>
  <si>
    <t>FORD 5.596 01/22</t>
  </si>
  <si>
    <t>US345397ZM88</t>
  </si>
  <si>
    <t>HESM 5.125 06/28</t>
  </si>
  <si>
    <t>US428104AA14</t>
  </si>
  <si>
    <t>HOLCIM FIN 3 07/24</t>
  </si>
  <si>
    <t>XS1713466495</t>
  </si>
  <si>
    <t>LENNAR 4.125 01/22 10/21</t>
  </si>
  <si>
    <t>US526057BY96</t>
  </si>
  <si>
    <t>Consumer Durables &amp; Apparel</t>
  </si>
  <si>
    <t>PETROLEOS MEXICANOS 6.49 1/27 11/26</t>
  </si>
  <si>
    <t>USP78625DW03</t>
  </si>
  <si>
    <t>RBS 3.754 11/01/29 11/24</t>
  </si>
  <si>
    <t>US780097BM20</t>
  </si>
  <si>
    <t>REPSM 4.5 03/75</t>
  </si>
  <si>
    <t>XS1207058733</t>
  </si>
  <si>
    <t>SOLVAY 4.25 04/03/2024</t>
  </si>
  <si>
    <t>BE6309987400</t>
  </si>
  <si>
    <t>TOL 3.8 11/29</t>
  </si>
  <si>
    <t>US88947EAU47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</si>
  <si>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</si>
  <si>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</si>
  <si>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</si>
  <si>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</si>
  <si>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</si>
  <si>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</si>
  <si>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</si>
  <si>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6 PREP 01/26</t>
  </si>
  <si>
    <t>FR0011401728</t>
  </si>
  <si>
    <t>Electricite De Franc 5 01/26</t>
  </si>
  <si>
    <t>FR0011697028</t>
  </si>
  <si>
    <t>HILTON DOMESTIC OPER 4.875 01/30</t>
  </si>
  <si>
    <t>US432833AF84</t>
  </si>
  <si>
    <t>Hotels Restaurants &amp; Leisure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</si>
  <si>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</si>
  <si>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</si>
  <si>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</si>
  <si>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</si>
  <si>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</si>
  <si>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</si>
  <si>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</si>
  <si>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</si>
  <si>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</si>
  <si>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</si>
  <si>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</si>
  <si>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</si>
  <si>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</si>
  <si>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</si>
  <si>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</si>
  <si>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</si>
  <si>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</si>
  <si>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</si>
  <si>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</si>
  <si>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</si>
  <si>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Commercial &amp; Professional Services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</si>
  <si>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</si>
  <si>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</si>
  <si>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</si>
  <si>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</si>
  <si>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</si>
  <si>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</si>
  <si>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</si>
  <si>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</si>
  <si>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</si>
  <si>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</si>
  <si>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</si>
  <si>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</si>
  <si>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CCO HOLDINGS 4.75 03/30 09/24</t>
  </si>
  <si>
    <t>US1248EPCD32</t>
  </si>
  <si>
    <t>Media</t>
  </si>
  <si>
    <t>RBS 8 PERP 8 08/25</t>
  </si>
  <si>
    <t>US780099CK11</t>
  </si>
  <si>
    <t>TRANSOCEAN 7.75 10/24 10/20</t>
  </si>
  <si>
    <t>US893828AA14</t>
  </si>
  <si>
    <t>B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</si>
  <si>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</si>
  <si>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</si>
  <si>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</si>
  <si>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</si>
  <si>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</si>
  <si>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</si>
  <si>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</si>
  <si>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</si>
  <si>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</si>
  <si>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</si>
  <si>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</si>
  <si>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</si>
  <si>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</si>
  <si>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</si>
  <si>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</si>
  <si>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</si>
  <si>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</si>
  <si>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</si>
  <si>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</si>
  <si>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</si>
  <si>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</si>
  <si>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</si>
  <si>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</si>
  <si>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</si>
  <si>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</si>
  <si>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</si>
  <si>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</si>
  <si>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</si>
  <si>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</si>
  <si>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</si>
  <si>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</si>
  <si>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</si>
  <si>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</si>
  <si>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</si>
  <si>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</si>
  <si>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</si>
  <si>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</si>
  <si>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</si>
  <si>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</si>
  <si>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</si>
  <si>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</si>
  <si>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</si>
  <si>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</si>
  <si>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</si>
  <si>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</si>
  <si>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</si>
  <si>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</si>
  <si>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</si>
  <si>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</si>
  <si>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</si>
  <si>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</si>
  <si>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</si>
  <si>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</si>
  <si>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</si>
  <si>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</si>
  <si>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</si>
  <si>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</si>
  <si>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</si>
  <si>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</si>
  <si>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</si>
  <si>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</si>
  <si>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</si>
  <si>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</si>
  <si>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</si>
  <si>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</si>
  <si>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</si>
  <si>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</si>
  <si>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</si>
  <si>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</si>
  <si>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</si>
  <si>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</si>
  <si>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</si>
  <si>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</si>
  <si>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</si>
  <si>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</si>
  <si>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</si>
  <si>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</si>
  <si>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</si>
  <si>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</si>
  <si>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</si>
  <si>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</si>
  <si>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</si>
  <si>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</si>
  <si>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</si>
  <si>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</si>
  <si>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</si>
  <si>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</si>
  <si>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</si>
  <si>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</si>
  <si>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</si>
  <si>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</si>
  <si>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</si>
  <si>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</si>
  <si>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</si>
  <si>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</si>
  <si>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</si>
  <si>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</si>
  <si>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</si>
  <si>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</si>
  <si>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</si>
  <si>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</si>
  <si>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</si>
  <si>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</si>
  <si>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</si>
  <si>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</si>
  <si>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</si>
  <si>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</si>
  <si>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</si>
  <si>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</si>
  <si>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</si>
  <si>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</si>
  <si>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</si>
  <si>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</si>
  <si>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</si>
  <si>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</si>
  <si>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</si>
  <si>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</si>
  <si>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</si>
  <si>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</si>
  <si>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</si>
  <si>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</si>
  <si>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</si>
  <si>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</si>
  <si>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</si>
  <si>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</si>
  <si>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מבני תעשיה</t>
  </si>
  <si>
    <t>226019</t>
  </si>
  <si>
    <t>מטריקס*</t>
  </si>
  <si>
    <t>445015</t>
  </si>
  <si>
    <t>520039413</t>
  </si>
  <si>
    <t>מיטרוניקס*</t>
  </si>
  <si>
    <t>1091065</t>
  </si>
  <si>
    <t>511527202</t>
  </si>
  <si>
    <t>מנועי בית שמש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</si>
  <si>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</si>
  <si>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</si>
  <si>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</si>
  <si>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</si>
  <si>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</si>
  <si>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</si>
  <si>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</si>
  <si>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</si>
  <si>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</si>
  <si>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</si>
  <si>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</si>
  <si>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</si>
  <si>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</si>
  <si>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</si>
  <si>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</si>
  <si>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</si>
  <si>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</si>
  <si>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</si>
  <si>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</si>
  <si>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</si>
  <si>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</si>
  <si>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</si>
  <si>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</si>
  <si>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</si>
  <si>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</si>
  <si>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</si>
  <si>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</si>
  <si>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</si>
  <si>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</si>
  <si>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</si>
  <si>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</si>
  <si>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</si>
  <si>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</si>
  <si>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</si>
  <si>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</si>
  <si>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</si>
  <si>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</si>
  <si>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</si>
  <si>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</si>
  <si>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</si>
  <si>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</si>
  <si>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</si>
  <si>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</si>
  <si>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</si>
  <si>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</si>
  <si>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</si>
  <si>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</si>
  <si>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</si>
  <si>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</si>
  <si>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</si>
  <si>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</si>
  <si>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</si>
  <si>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</si>
  <si>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</si>
  <si>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</si>
  <si>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</si>
  <si>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</si>
  <si>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</si>
  <si>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</si>
  <si>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</si>
  <si>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</si>
  <si>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</si>
  <si>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</si>
  <si>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</si>
  <si>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</si>
  <si>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</si>
  <si>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</si>
  <si>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</si>
  <si>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</si>
  <si>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</si>
  <si>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</si>
  <si>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</si>
  <si>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</si>
  <si>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</si>
  <si>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</si>
  <si>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</si>
  <si>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</si>
  <si>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</si>
  <si>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</si>
  <si>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</si>
  <si>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</si>
  <si>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</si>
  <si>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</si>
  <si>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</si>
  <si>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</si>
  <si>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</si>
  <si>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</si>
  <si>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</si>
  <si>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</si>
  <si>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</si>
  <si>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</si>
  <si>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</si>
  <si>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</si>
  <si>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</si>
  <si>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</si>
  <si>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</si>
  <si>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</si>
  <si>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</si>
  <si>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</si>
  <si>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</si>
  <si>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</si>
  <si>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</si>
  <si>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</si>
  <si>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</si>
  <si>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</si>
  <si>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</si>
  <si>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</si>
  <si>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מ.יוחננוף ובניו</t>
  </si>
  <si>
    <t>1161264</t>
  </si>
  <si>
    <t>511344186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</si>
  <si>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</si>
  <si>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</si>
  <si>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</si>
  <si>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</si>
  <si>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</si>
  <si>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</si>
  <si>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</si>
  <si>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</si>
  <si>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</si>
  <si>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</si>
  <si>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</si>
  <si>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</si>
  <si>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</si>
  <si>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</si>
  <si>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</si>
  <si>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</si>
  <si>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</si>
  <si>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</si>
  <si>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</si>
  <si>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</si>
  <si>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</si>
  <si>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</si>
  <si>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</si>
  <si>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</si>
  <si>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</si>
  <si>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</si>
  <si>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</si>
  <si>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</si>
  <si>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</si>
  <si>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</si>
  <si>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</si>
  <si>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</si>
  <si>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</si>
  <si>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</si>
  <si>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</si>
  <si>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</si>
  <si>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</si>
  <si>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</si>
  <si>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</si>
  <si>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</si>
  <si>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</si>
  <si>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</si>
  <si>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</si>
  <si>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</si>
  <si>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</si>
  <si>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</si>
  <si>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</si>
  <si>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</si>
  <si>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</si>
  <si>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</si>
  <si>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</si>
  <si>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</si>
  <si>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</si>
  <si>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</si>
  <si>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</si>
  <si>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</si>
  <si>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</si>
  <si>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</si>
  <si>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</si>
  <si>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</si>
  <si>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</si>
  <si>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</si>
  <si>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</si>
  <si>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</si>
  <si>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</si>
  <si>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</si>
  <si>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</si>
  <si>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</si>
  <si>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</si>
  <si>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</si>
  <si>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</si>
  <si>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</si>
  <si>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</si>
  <si>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</si>
  <si>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</si>
  <si>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</si>
  <si>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</si>
  <si>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</si>
  <si>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</si>
  <si>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</si>
  <si>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</si>
  <si>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</si>
  <si>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</si>
  <si>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</si>
  <si>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</si>
  <si>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</si>
  <si>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</si>
  <si>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</si>
  <si>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</si>
  <si>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</si>
  <si>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</si>
  <si>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</si>
  <si>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</si>
  <si>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</si>
  <si>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</si>
  <si>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</si>
  <si>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</si>
  <si>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</si>
  <si>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</si>
  <si>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</si>
  <si>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</si>
  <si>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</si>
  <si>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</si>
  <si>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</si>
  <si>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</si>
  <si>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</si>
  <si>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</si>
  <si>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</si>
  <si>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</si>
  <si>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</si>
  <si>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</si>
  <si>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</si>
  <si>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</si>
  <si>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</si>
  <si>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</si>
  <si>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</si>
  <si>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</si>
  <si>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</si>
  <si>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</si>
  <si>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</si>
  <si>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</si>
  <si>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</si>
  <si>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</si>
  <si>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</si>
  <si>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</si>
  <si>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</si>
  <si>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ADO PROPERTIES</t>
  </si>
  <si>
    <t>LU1250154413</t>
  </si>
  <si>
    <t>Real Estate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</si>
  <si>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</si>
  <si>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</si>
  <si>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</si>
  <si>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</si>
  <si>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</si>
  <si>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</si>
  <si>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</si>
  <si>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</si>
  <si>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</si>
  <si>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</si>
  <si>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</si>
  <si>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</si>
  <si>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</si>
  <si>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</si>
  <si>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BLACKROCK</t>
  </si>
  <si>
    <t>US09247X1019</t>
  </si>
  <si>
    <t>BOEING</t>
  </si>
  <si>
    <t>US0970231058</t>
  </si>
  <si>
    <t>BP PLC</t>
  </si>
  <si>
    <t>GB0007980591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</si>
  <si>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</si>
  <si>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</si>
  <si>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</si>
  <si>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</si>
  <si>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</si>
  <si>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</si>
  <si>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</si>
  <si>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</si>
  <si>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DELEK US HOLDINGS</t>
  </si>
  <si>
    <t>US24665A1034</t>
  </si>
  <si>
    <t>DEUTSCHE POST AG REG</t>
  </si>
  <si>
    <t>DE0005552004</t>
  </si>
  <si>
    <t>EIFFAGE</t>
  </si>
  <si>
    <t>FR0000130452</t>
  </si>
  <si>
    <t>ERICSSON LM B SHS</t>
  </si>
  <si>
    <t>SE0000108656</t>
  </si>
  <si>
    <t>FERROVIAL SA</t>
  </si>
  <si>
    <t>ES0118900010</t>
  </si>
  <si>
    <t>BME</t>
  </si>
  <si>
    <t>GOLDMAN SACHS GROUP INC</t>
  </si>
  <si>
    <t>US38141G1040</t>
  </si>
  <si>
    <t>HENNES &amp; MAURITZ AB B SHS</t>
  </si>
  <si>
    <t>SE0000106270</t>
  </si>
  <si>
    <t>JPMORGAN CHASE</t>
  </si>
  <si>
    <t>US46625H1005</t>
  </si>
  <si>
    <t>LEVI STRAUSS &amp; CO  CLASS A</t>
  </si>
  <si>
    <t>US52736R1023</t>
  </si>
  <si>
    <t>LOCKHEED MARTIN CORP</t>
  </si>
  <si>
    <t>US5398301094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</si>
  <si>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</si>
  <si>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</si>
  <si>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</si>
  <si>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</si>
  <si>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</si>
  <si>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</si>
  <si>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</si>
  <si>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</si>
  <si>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</si>
  <si>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</si>
  <si>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</si>
  <si>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</si>
  <si>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</si>
  <si>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</si>
  <si>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</si>
  <si>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</si>
  <si>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</si>
  <si>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</si>
  <si>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</si>
  <si>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</si>
  <si>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</si>
  <si>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</si>
  <si>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</si>
  <si>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</si>
  <si>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</si>
  <si>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</si>
  <si>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</si>
  <si>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</si>
  <si>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</si>
  <si>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</si>
  <si>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</si>
  <si>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</si>
  <si>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</si>
  <si>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</si>
  <si>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</si>
  <si>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</si>
  <si>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</si>
  <si>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</si>
  <si>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THALES SA</t>
  </si>
  <si>
    <t>FR0000121329</t>
  </si>
  <si>
    <t>TJX COMPANIES INC</t>
  </si>
  <si>
    <t>US8725401090</t>
  </si>
  <si>
    <t>TOTAL SA</t>
  </si>
  <si>
    <t>FR0000120271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</si>
  <si>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</si>
  <si>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</si>
  <si>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</si>
  <si>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</si>
  <si>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</si>
  <si>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</si>
  <si>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</si>
  <si>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</si>
  <si>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</si>
  <si>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</si>
  <si>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</si>
  <si>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</si>
  <si>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</si>
  <si>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</si>
  <si>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</si>
  <si>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</si>
  <si>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</si>
  <si>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תא 125</t>
  </si>
  <si>
    <t>1148899</t>
  </si>
  <si>
    <t>514103811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</si>
  <si>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</si>
  <si>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</si>
  <si>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</si>
  <si>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</si>
  <si>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</si>
  <si>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</si>
  <si>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</si>
  <si>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</si>
  <si>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</si>
  <si>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</si>
  <si>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</si>
  <si>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</si>
  <si>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</si>
  <si>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</si>
  <si>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</si>
  <si>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</si>
  <si>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</si>
  <si>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</si>
  <si>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</si>
  <si>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</si>
  <si>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</si>
  <si>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</si>
  <si>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</si>
  <si>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</si>
  <si>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</si>
  <si>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</si>
  <si>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</si>
  <si>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</si>
  <si>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</si>
  <si>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</si>
  <si>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</si>
  <si>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</si>
  <si>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</si>
  <si>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</si>
  <si>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</si>
  <si>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</si>
  <si>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</si>
  <si>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</si>
  <si>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</si>
  <si>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</si>
  <si>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</si>
  <si>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</si>
  <si>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</si>
  <si>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</si>
  <si>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</si>
  <si>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</si>
  <si>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</si>
  <si>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</si>
  <si>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</si>
  <si>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</si>
  <si>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</si>
  <si>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</si>
  <si>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</si>
  <si>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</si>
  <si>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</si>
  <si>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</si>
  <si>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</si>
  <si>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</si>
  <si>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</si>
  <si>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</si>
  <si>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</si>
  <si>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</si>
  <si>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</si>
  <si>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</si>
  <si>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</si>
  <si>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</si>
  <si>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</si>
  <si>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</si>
  <si>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</si>
  <si>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</si>
  <si>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</si>
  <si>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</si>
  <si>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</si>
  <si>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</si>
  <si>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</si>
  <si>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</si>
  <si>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</si>
  <si>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</si>
  <si>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</si>
  <si>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</si>
  <si>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</si>
  <si>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</si>
  <si>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</si>
  <si>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</si>
  <si>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</si>
  <si>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</si>
  <si>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</si>
  <si>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</si>
  <si>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</si>
  <si>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</si>
  <si>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</si>
  <si>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</si>
  <si>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</si>
  <si>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</si>
  <si>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</si>
  <si>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</si>
  <si>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</si>
  <si>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</si>
  <si>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</si>
  <si>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</si>
  <si>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</si>
  <si>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</si>
  <si>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</si>
  <si>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</si>
  <si>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</si>
  <si>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</si>
  <si>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</si>
  <si>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</si>
  <si>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</si>
  <si>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</si>
  <si>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</si>
  <si>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</si>
  <si>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</si>
  <si>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</si>
  <si>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</si>
  <si>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</si>
  <si>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</si>
  <si>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</si>
  <si>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</si>
  <si>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</si>
  <si>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</si>
  <si>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</si>
  <si>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</si>
  <si>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</si>
  <si>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</si>
  <si>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</si>
  <si>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</si>
  <si>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</si>
  <si>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SCHWAB FUNDAMENTAL EM L/C</t>
  </si>
  <si>
    <t>US8085247307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</si>
  <si>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</si>
  <si>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</si>
  <si>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</si>
  <si>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</si>
  <si>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</si>
  <si>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</si>
  <si>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</si>
  <si>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</si>
  <si>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OIL &amp; GAS EXP &amp; PR</t>
  </si>
  <si>
    <t>US78464A7303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</si>
  <si>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</si>
  <si>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</si>
  <si>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</si>
  <si>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</si>
  <si>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</si>
  <si>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</si>
  <si>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</si>
  <si>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</si>
  <si>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</si>
  <si>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</si>
  <si>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</si>
  <si>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</si>
  <si>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</si>
  <si>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</si>
  <si>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</si>
  <si>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</si>
  <si>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</si>
  <si>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</si>
  <si>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אג"ח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</si>
  <si>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</si>
  <si>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</si>
  <si>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</si>
  <si>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</si>
  <si>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</si>
  <si>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</si>
  <si>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</si>
  <si>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</si>
  <si>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</si>
  <si>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 xml:space="preserve"> BLA/GSO EUR A ACC</t>
  </si>
  <si>
    <t>IE00B3DS7666</t>
  </si>
  <si>
    <t>Amundi Funds Pioneer US High</t>
  </si>
  <si>
    <t>LU1883863851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</si>
  <si>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</si>
  <si>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</si>
  <si>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</si>
  <si>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</si>
  <si>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</si>
  <si>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</si>
  <si>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</si>
  <si>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</si>
  <si>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</si>
  <si>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</si>
  <si>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</si>
  <si>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</si>
  <si>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</si>
  <si>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</si>
  <si>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</si>
  <si>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</si>
  <si>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</si>
  <si>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</si>
  <si>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</si>
  <si>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</si>
  <si>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</si>
  <si>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</si>
  <si>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מניות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</si>
  <si>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</si>
  <si>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</si>
  <si>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</si>
  <si>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</si>
  <si>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</si>
  <si>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</si>
  <si>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</si>
  <si>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</si>
  <si>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</si>
  <si>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</si>
  <si>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</si>
  <si>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</si>
  <si>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</si>
  <si>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</si>
  <si>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</si>
  <si>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plC 2700 FEB 2020</t>
  </si>
  <si>
    <t>82934381</t>
  </si>
  <si>
    <t>ל.ר.</t>
  </si>
  <si>
    <t>plP 2700 FEB 2020</t>
  </si>
  <si>
    <t>82934597</t>
  </si>
  <si>
    <t>SPX US 02/21/20 P2800</t>
  </si>
  <si>
    <t>SPX02202800</t>
  </si>
  <si>
    <t>SPX US 02/21/20 P3050</t>
  </si>
  <si>
    <t>SPX022093050</t>
  </si>
  <si>
    <t>SPXW US 12/19 C3150</t>
  </si>
  <si>
    <t>SPXW19C3150</t>
  </si>
  <si>
    <t>TGT 01/17/20 C135</t>
  </si>
  <si>
    <t>TGT0120C135</t>
  </si>
  <si>
    <t>MSCI EMGMKT MAR20</t>
  </si>
  <si>
    <t>MESH0</t>
  </si>
  <si>
    <t>S&amp;P500 EMINI FUT MAR20</t>
  </si>
  <si>
    <t>ESH0</t>
  </si>
  <si>
    <t>STOXX EUROPE 600 MAR20</t>
  </si>
  <si>
    <t>SXOH0</t>
  </si>
  <si>
    <t>TOPIX FUTR MAR20</t>
  </si>
  <si>
    <t>TPH0</t>
  </si>
  <si>
    <t>ערד 8786_1/2027</t>
  </si>
  <si>
    <t>71116487</t>
  </si>
  <si>
    <t>ערד 8790 2027 4.8%</t>
  </si>
  <si>
    <t>ערד 8805</t>
  </si>
  <si>
    <t>ערד 8809</t>
  </si>
  <si>
    <t>3322000</t>
  </si>
  <si>
    <t>ערד 8829</t>
  </si>
  <si>
    <t>9882900</t>
  </si>
  <si>
    <t>ערד 8832</t>
  </si>
  <si>
    <t>8831000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</si>
  <si>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</si>
  <si>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</si>
  <si>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</si>
  <si>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</si>
  <si>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</si>
  <si>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</si>
  <si>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</si>
  <si>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</si>
  <si>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</si>
  <si>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</si>
  <si>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</si>
  <si>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</si>
  <si>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</si>
  <si>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</si>
  <si>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</si>
  <si>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</si>
  <si>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</si>
  <si>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</si>
  <si>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</si>
  <si>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</si>
  <si>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</si>
  <si>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</si>
  <si>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</si>
  <si>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</si>
  <si>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</si>
  <si>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</si>
  <si>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</si>
  <si>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</si>
  <si>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</si>
  <si>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</si>
  <si>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</si>
  <si>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</si>
  <si>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</si>
  <si>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</si>
  <si>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</si>
  <si>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</si>
  <si>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</si>
  <si>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</si>
  <si>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</si>
  <si>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</si>
  <si>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</si>
  <si>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</si>
  <si>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</si>
  <si>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</si>
  <si>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</si>
  <si>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</si>
  <si>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</si>
  <si>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</si>
  <si>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</si>
  <si>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</si>
  <si>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</si>
  <si>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</si>
  <si>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</si>
  <si>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</si>
  <si>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</si>
  <si>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</si>
  <si>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</si>
  <si>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</si>
  <si>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</si>
  <si>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</si>
  <si>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</si>
  <si>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</si>
  <si>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</si>
  <si>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</si>
  <si>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</si>
  <si>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</si>
  <si>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</si>
  <si>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</si>
  <si>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</si>
  <si>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</si>
  <si>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</si>
  <si>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</si>
  <si>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</si>
  <si>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</si>
  <si>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</si>
  <si>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</si>
  <si>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</si>
  <si>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</si>
  <si>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</si>
  <si>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</si>
  <si>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סדרה 8788 4.8% 2027</t>
  </si>
  <si>
    <t>71116727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</si>
  <si>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</si>
  <si>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</si>
  <si>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</si>
  <si>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</si>
  <si>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</si>
  <si>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</si>
  <si>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</si>
  <si>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</si>
  <si>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</si>
  <si>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</si>
  <si>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</si>
  <si>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</si>
  <si>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</si>
  <si>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</si>
  <si>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</si>
  <si>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</si>
  <si>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</si>
  <si>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</si>
  <si>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</si>
  <si>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</si>
  <si>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</si>
  <si>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</si>
  <si>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</si>
  <si>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</si>
  <si>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</si>
  <si>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</si>
  <si>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</si>
  <si>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</si>
  <si>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</si>
  <si>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</si>
  <si>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</si>
  <si>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</si>
  <si>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</si>
  <si>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</si>
  <si>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</si>
  <si>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</si>
  <si>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</si>
  <si>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Rialto Elite Portfolio makefet*</t>
  </si>
  <si>
    <t>508308</t>
  </si>
  <si>
    <t>ROBIN*</t>
  </si>
  <si>
    <t>505145</t>
  </si>
  <si>
    <t>Sacramento 353*</t>
  </si>
  <si>
    <t>Tanfield 1*</t>
  </si>
  <si>
    <t>white oak 2*</t>
  </si>
  <si>
    <t>white oak 3 mkf*</t>
  </si>
  <si>
    <t>494381</t>
  </si>
  <si>
    <t>סה"כ קרנות השקעה</t>
  </si>
  <si>
    <t>סה"כ קרנות השקעה בישראל</t>
  </si>
  <si>
    <t>ריאליטי קרן השקעות בנדל"ן IV</t>
  </si>
  <si>
    <t>Kedma Capital III</t>
  </si>
  <si>
    <t>TENE GROWTH CAPITAL IV</t>
  </si>
  <si>
    <t>Vintage Migdal Co Investment II</t>
  </si>
  <si>
    <t>Yesodot Gimmel</t>
  </si>
  <si>
    <t>סה"כ קרנות השקעה בחו"ל</t>
  </si>
  <si>
    <t>Horsley Bridge XII Ventures</t>
  </si>
  <si>
    <t>Strategic Investors Fund IX L.P</t>
  </si>
  <si>
    <t>Strategic Investors Fund VIII LP</t>
  </si>
  <si>
    <t>Vintage fund of funds ISRAEL V</t>
  </si>
  <si>
    <t>Vintage Fund of Funds V ACCESS</t>
  </si>
  <si>
    <t>Blackstone Real Estate Partners IX</t>
  </si>
  <si>
    <t>Brookfield SREP III F2</t>
  </si>
  <si>
    <t>Co Invest Antlia BSREP III</t>
  </si>
  <si>
    <t>Portfolio EDGE מקפת</t>
  </si>
  <si>
    <t>53431</t>
  </si>
  <si>
    <t>Waterton Residential P V XIII</t>
  </si>
  <si>
    <t>ACE IV*</t>
  </si>
  <si>
    <t>ADLS</t>
  </si>
  <si>
    <t>Advent International GPE IX L.P</t>
  </si>
  <si>
    <t>APCS LP*</t>
  </si>
  <si>
    <t>Apollo Fund IX</t>
  </si>
  <si>
    <t>Astorg VII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</si>
  <si>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</si>
  <si>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</si>
  <si>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</si>
  <si>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</si>
  <si>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</si>
  <si>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</si>
  <si>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</si>
  <si>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</si>
  <si>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</si>
  <si>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</si>
  <si>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</si>
  <si>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</si>
  <si>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</si>
  <si>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</si>
  <si>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</si>
  <si>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</si>
  <si>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GIF</t>
  </si>
  <si>
    <t>IK harbourvest tranche B</t>
  </si>
  <si>
    <t>InfraRed Infrastructure Fund V</t>
  </si>
  <si>
    <t>Insight harbourvest tranche B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</si>
  <si>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</si>
  <si>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</si>
  <si>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</si>
  <si>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</si>
  <si>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</si>
  <si>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</si>
  <si>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</si>
  <si>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KSO</t>
  </si>
  <si>
    <t>LS POWER FUND IV</t>
  </si>
  <si>
    <t>Migdal HarbourVest Tranche B</t>
  </si>
  <si>
    <t>MTDL</t>
  </si>
  <si>
    <t>ORCC</t>
  </si>
  <si>
    <t>Pantheon Global Secondary Fund VI</t>
  </si>
  <si>
    <t>Paragon III HarbourVest B</t>
  </si>
  <si>
    <t>Patria Private Equity Fund VI</t>
  </si>
  <si>
    <t>PCSIII LP</t>
  </si>
  <si>
    <t>PGCO IV Co mingled Fund SCSP</t>
  </si>
  <si>
    <t>PPCSIV</t>
  </si>
  <si>
    <t>SDPIII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</si>
  <si>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</si>
  <si>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</si>
  <si>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</si>
  <si>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</si>
  <si>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</si>
  <si>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</si>
  <si>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Warburg Pincus China LP</t>
  </si>
  <si>
    <t>WSREDII</t>
  </si>
  <si>
    <t>₪ / מט"ח</t>
  </si>
  <si>
    <t>+ILS/-USD 3.3943 24-11-20 (10) -697</t>
  </si>
  <si>
    <t>10000963</t>
  </si>
  <si>
    <t>+ILS/-USD 3.4174 05-11-20 (10) -906</t>
  </si>
  <si>
    <t>10000918</t>
  </si>
  <si>
    <t>+ILS/-USD 3.4319 17-06-20 (10) -386</t>
  </si>
  <si>
    <t>10000976</t>
  </si>
  <si>
    <t>+ILS/-USD 3.4327 16-11-20 (10) -928</t>
  </si>
  <si>
    <t>10000916</t>
  </si>
  <si>
    <t>+ILS/-USD 3.4365 18-06-20 (10) -375</t>
  </si>
  <si>
    <t>10000981</t>
  </si>
  <si>
    <t>+ILS/-USD 3.44 20-05-20 (10) -336</t>
  </si>
  <si>
    <t>10000973</t>
  </si>
  <si>
    <t>+ILS/-USD 3.441 06-05-20 (10) -306</t>
  </si>
  <si>
    <t>10000971</t>
  </si>
  <si>
    <t>+ILS/-USD 3.4456 11-03-20 (10) -184</t>
  </si>
  <si>
    <t>10000978</t>
  </si>
  <si>
    <t>+ILS/-USD 3.4459 15-06-20 (10) -386</t>
  </si>
  <si>
    <t>10000975</t>
  </si>
  <si>
    <t>+ILS/-USD 3.4491 01-04-20 (10) -174</t>
  </si>
  <si>
    <t>10000991</t>
  </si>
  <si>
    <t>+ILS/-USD 3.458 10-09-20 (10) -810</t>
  </si>
  <si>
    <t>10000912</t>
  </si>
  <si>
    <t>+ILS/-USD 3.4673 14-07-20 (10) -627</t>
  </si>
  <si>
    <t>10000932</t>
  </si>
  <si>
    <t>+ILS/-USD 3.471 03-12-20 (10) -997</t>
  </si>
  <si>
    <t>10000907</t>
  </si>
  <si>
    <t>+ILS/-USD 3.4807 22-01-20 (10) -223</t>
  </si>
  <si>
    <t>10000937</t>
  </si>
  <si>
    <t>+ILS/-USD 3.4885 30-01-20 (10) -95</t>
  </si>
  <si>
    <t>10000988</t>
  </si>
  <si>
    <t>+ILS/-USD 3.5072 20-10-20 (10) -873</t>
  </si>
  <si>
    <t>10000892</t>
  </si>
  <si>
    <t>+ILS/-USD 3.51 12-05-20 (10) -707</t>
  </si>
  <si>
    <t>10000874</t>
  </si>
  <si>
    <t>+ILS/-USD 3.51 23-01-20 (10) -180</t>
  </si>
  <si>
    <t>10000954</t>
  </si>
  <si>
    <t>+ILS/-USD 3.513 06-03-20 (10) -250</t>
  </si>
  <si>
    <t>10000952</t>
  </si>
  <si>
    <t>+ILS/-USD 3.5136 19-05-20 (10) -714</t>
  </si>
  <si>
    <t>10000870</t>
  </si>
  <si>
    <t>+ILS/-USD 3.5168 29-01-20 (10) -192</t>
  </si>
  <si>
    <t>10000943</t>
  </si>
  <si>
    <t>+ILS/-USD 3.5234 16-06-20 (10) -796</t>
  </si>
  <si>
    <t>10000866</t>
  </si>
  <si>
    <t>+ILS/-USD 3.53 18-06-20 (10) -680</t>
  </si>
  <si>
    <t>10000891</t>
  </si>
  <si>
    <t>+ILS/-USD 3.54135 14-05-20 (10) -676.5</t>
  </si>
  <si>
    <t>10000877</t>
  </si>
  <si>
    <t>+EUR/-USD 1.11132 21-01-20 (20) +37.2</t>
  </si>
  <si>
    <t>10000093</t>
  </si>
  <si>
    <t>+EUR/-USD 1.12285 21-01-20 (20) +128.5</t>
  </si>
  <si>
    <t>10000051</t>
  </si>
  <si>
    <t>+EUR/-USD 1.12313 12-03-20 (12) +108.3</t>
  </si>
  <si>
    <t>10000049</t>
  </si>
  <si>
    <t>+EUR/-USD 1.12406 21-01-20 (12) +125.6</t>
  </si>
  <si>
    <t>10000056</t>
  </si>
  <si>
    <t>+EUR/-USD 1.1318 04-05-20 (12) +202</t>
  </si>
  <si>
    <t>10000035</t>
  </si>
  <si>
    <t>+GBP/-USD 1.29927 16-01-20 (20) +14.7</t>
  </si>
  <si>
    <t>10000060</t>
  </si>
  <si>
    <t>+USD/-EUR 1.10684 12-03-20 (20) +121.4</t>
  </si>
  <si>
    <t>10000067</t>
  </si>
  <si>
    <t>+USD/-EUR 1.108 12-03-20 (12) +117</t>
  </si>
  <si>
    <t>10000070</t>
  </si>
  <si>
    <t>+USD/-EUR 1.10845 12-03-20 (12) +121.5</t>
  </si>
  <si>
    <t>10000044</t>
  </si>
  <si>
    <t>+USD/-EUR 1.10949 05-03-20 (20) +74.9</t>
  </si>
  <si>
    <t>+USD/-EUR 1.1105 21-01-20 (20) +73</t>
  </si>
  <si>
    <t>10000073</t>
  </si>
  <si>
    <t>+USD/-EUR 1.1108 21-01-20 (12) +73</t>
  </si>
  <si>
    <t>10000072</t>
  </si>
  <si>
    <t>+USD/-EUR 1.1123 04-05-20 (12) +153</t>
  </si>
  <si>
    <t>10000069</t>
  </si>
  <si>
    <t>+USD/-EUR 1.1123 04-05-20 (20) +153</t>
  </si>
  <si>
    <t>10000068</t>
  </si>
  <si>
    <t>+USD/-EUR 1.11272 12-03-20 (12) +107.2</t>
  </si>
  <si>
    <t>10000071</t>
  </si>
  <si>
    <t>+USD/-EUR 1.1158 04-05-20 (20) +144</t>
  </si>
  <si>
    <t>10000046</t>
  </si>
  <si>
    <t>+USD/-EUR 1.1171 04-05-20 (20) +95</t>
  </si>
  <si>
    <t>10000061</t>
  </si>
  <si>
    <t>+USD/-EUR 1.11933 05-03-20 (20) +98.3</t>
  </si>
  <si>
    <t>10000081</t>
  </si>
  <si>
    <t>+USD/-EUR 1.1218 04-05-20 (12) +193</t>
  </si>
  <si>
    <t>+USD/-EUR 1.12187 04-05-20 (20) +193.7</t>
  </si>
  <si>
    <t>10000063</t>
  </si>
  <si>
    <t>+USD/-EUR 1.12275 05-03-20 (12) +100.5</t>
  </si>
  <si>
    <t>10000077</t>
  </si>
  <si>
    <t>+USD/-EUR 1.12345 12-03-20 (12) +105.5</t>
  </si>
  <si>
    <t>10000079</t>
  </si>
  <si>
    <t>+USD/-EUR 1.1235 05-03-20 (20) +101</t>
  </si>
  <si>
    <t>10000047</t>
  </si>
  <si>
    <t>+USD/-EUR 1.12355 05-03-20 (12) +100.5</t>
  </si>
  <si>
    <t>10000076</t>
  </si>
  <si>
    <t>+USD/-EUR 1.12505 04-05-20 (12) +136.5</t>
  </si>
  <si>
    <t>10000084</t>
  </si>
  <si>
    <t>+USD/-EUR 1.1274 21-01-20 (12) +155</t>
  </si>
  <si>
    <t>10000032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</si>
  <si>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</si>
  <si>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</si>
  <si>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</si>
  <si>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</si>
  <si>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</si>
  <si>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</si>
  <si>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</si>
  <si>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</si>
  <si>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</si>
  <si>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</si>
  <si>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</si>
  <si>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</si>
  <si>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</si>
  <si>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+EUR/-USD 1.10905 13-01-20 (10) +91.5</t>
  </si>
  <si>
    <t>10000935</t>
  </si>
  <si>
    <t>+EUR/-USD 1.11956 13-01-20 (10) +120.6</t>
  </si>
  <si>
    <t>10000927</t>
  </si>
  <si>
    <t>+GBP/-USD 1.3406 02-03-20 (10) +34</t>
  </si>
  <si>
    <t>10000986</t>
  </si>
  <si>
    <t>+JPY/-USD 107.715 10-02-20 (10) -69.5</t>
  </si>
  <si>
    <t>10000958</t>
  </si>
  <si>
    <t>+JPY/-USD 108.99 10-02-20 (10) -21</t>
  </si>
  <si>
    <t>10000992</t>
  </si>
  <si>
    <t>+USD/-CAD 1.3072 18-02-20 (10) -38</t>
  </si>
  <si>
    <t>10000899</t>
  </si>
  <si>
    <t>+USD/-CAD 1.33546 09-01-20 (10) -49.4</t>
  </si>
  <si>
    <t>10000868</t>
  </si>
  <si>
    <t>+USD/-EUR 1.11122 09-04-20 (10) +98.2</t>
  </si>
  <si>
    <t>10000969</t>
  </si>
  <si>
    <t>+USD/-EUR 1.11142 27-04-20 (10) +157.2</t>
  </si>
  <si>
    <t>10000941</t>
  </si>
  <si>
    <t>+USD/-EUR 1.1166 23-03-20 (10) +91</t>
  </si>
  <si>
    <t>10000965</t>
  </si>
  <si>
    <t>+USD/-EUR 1.12072 20-04-20 (10) +118.2</t>
  </si>
  <si>
    <t>10000961</t>
  </si>
  <si>
    <t>+USD/-EUR 1.1219 20-04-20 (10) +129</t>
  </si>
  <si>
    <t>10000949</t>
  </si>
  <si>
    <t>+USD/-EUR 1.1224 20-04-20 (10) +119</t>
  </si>
  <si>
    <t>10000959</t>
  </si>
  <si>
    <t>+USD/-EUR 1.1228 20-07-20 (10) +156</t>
  </si>
  <si>
    <t>10000980</t>
  </si>
  <si>
    <t>+USD/-EUR 1.12283 20-07-20 (10) +157.3</t>
  </si>
  <si>
    <t>10000979</t>
  </si>
  <si>
    <t>+USD/-EUR 1.1259 20-04-20 (10) +133</t>
  </si>
  <si>
    <t>10000948</t>
  </si>
  <si>
    <t>+USD/-EUR 1.1284 20-07-20 (10) +155</t>
  </si>
  <si>
    <t>10000984</t>
  </si>
  <si>
    <t>+USD/-EUR 1.1334 20-07-20 (10) +138</t>
  </si>
  <si>
    <t>10000990</t>
  </si>
  <si>
    <t>+USD/-EUR 1.14503 20-04-20 (10) +238.3</t>
  </si>
  <si>
    <t>10000909</t>
  </si>
  <si>
    <t>+USD/-EUR 1.14689 27-04-20 (10) +254.9</t>
  </si>
  <si>
    <t>10000905</t>
  </si>
  <si>
    <t>+USD/-EUR 1.147715 30-03-20 (10) +239.15</t>
  </si>
  <si>
    <t>10000880</t>
  </si>
  <si>
    <t>+USD/-EUR 1.14923 24-02-20 (10) +204.3</t>
  </si>
  <si>
    <t>10000884</t>
  </si>
  <si>
    <t>+USD/-EUR 1.15135 13-01-20 (10) +189.5</t>
  </si>
  <si>
    <t>10000872</t>
  </si>
  <si>
    <t>+USD/-EUR 1.1516 27-01-20 (10) +198</t>
  </si>
  <si>
    <t>10000875</t>
  </si>
  <si>
    <t>+USD/-EUR 1.1526 20-04-20 (10) +246</t>
  </si>
  <si>
    <t>10000901</t>
  </si>
  <si>
    <t>+USD/-EUR 1.1595 27-04-20 (10) +252</t>
  </si>
  <si>
    <t>10000897</t>
  </si>
  <si>
    <t>+USD/-EUR 1.16279 27-04-20 (10) +254.9</t>
  </si>
  <si>
    <t>10000896</t>
  </si>
  <si>
    <t>+USD/-EUR 1.16395 27-04-20 (10) +249.5</t>
  </si>
  <si>
    <t>10000888</t>
  </si>
  <si>
    <t>+USD/-GBP 1.23785 18-05-20 (10) +88.5</t>
  </si>
  <si>
    <t>10000939</t>
  </si>
  <si>
    <t>+USD/-GBP 1.25355 02-03-20 (10) +118.5</t>
  </si>
  <si>
    <t>10000910</t>
  </si>
  <si>
    <t>+USD/-GBP 1.26118 02-03-20 (10) +117.8</t>
  </si>
  <si>
    <t>10000915</t>
  </si>
  <si>
    <t>+USD/-GBP 1.28271 02-03-20 (10) +117.1</t>
  </si>
  <si>
    <t>10000894</t>
  </si>
  <si>
    <t>+USD/-GBP 1.2927 23-04-20 (10) +69</t>
  </si>
  <si>
    <t>10000950</t>
  </si>
  <si>
    <t>+USD/-GBP 1.29577 18-05-20 (10) +77.7</t>
  </si>
  <si>
    <t>10000945</t>
  </si>
  <si>
    <t>+USD/-GBP 1.2989 11-05-20 (10) +49</t>
  </si>
  <si>
    <t>10000967</t>
  </si>
  <si>
    <t>+USD/-JPY 106.825 10-02-20 (10) -184.5</t>
  </si>
  <si>
    <t>10000878</t>
  </si>
  <si>
    <t>+USD/-JPY 107.03 26-05-20 (10) -135</t>
  </si>
  <si>
    <t>10000956</t>
  </si>
  <si>
    <t>IRS</t>
  </si>
  <si>
    <t>10000000</t>
  </si>
  <si>
    <t>10000002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</si>
  <si>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</si>
  <si>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</si>
  <si>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</si>
  <si>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</si>
  <si>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</si>
  <si>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</si>
  <si>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</si>
  <si>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</si>
  <si>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</si>
  <si>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</si>
  <si>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</si>
  <si>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</si>
  <si>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</si>
  <si>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</si>
  <si>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</si>
  <si>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30312000</t>
  </si>
  <si>
    <t>31712000</t>
  </si>
  <si>
    <t>30212000</t>
  </si>
  <si>
    <t>32012000</t>
  </si>
  <si>
    <t>30710000</t>
  </si>
  <si>
    <t>31010000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</si>
  <si>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</si>
  <si>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</si>
  <si>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</si>
  <si>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</si>
  <si>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</si>
  <si>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</si>
  <si>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</si>
  <si>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</si>
  <si>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</si>
  <si>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30210000</t>
  </si>
  <si>
    <t>34010000</t>
  </si>
  <si>
    <t>32610000</t>
  </si>
  <si>
    <t>34520000</t>
  </si>
  <si>
    <t>31720000</t>
  </si>
  <si>
    <t>31220000</t>
  </si>
  <si>
    <t>32020000</t>
  </si>
  <si>
    <t>34020000</t>
  </si>
  <si>
    <t>32011000</t>
  </si>
  <si>
    <t>30311000</t>
  </si>
  <si>
    <t>30211000</t>
  </si>
  <si>
    <t>דירוג פנימי</t>
  </si>
  <si>
    <t>לא</t>
  </si>
  <si>
    <t>AA</t>
  </si>
  <si>
    <t>כן</t>
  </si>
  <si>
    <t>11898602</t>
  </si>
  <si>
    <t>11898601</t>
  </si>
  <si>
    <t>11898600</t>
  </si>
  <si>
    <t>11898603</t>
  </si>
  <si>
    <t>11898604</t>
  </si>
  <si>
    <t>11898606</t>
  </si>
  <si>
    <t>11898607</t>
  </si>
  <si>
    <t>11898608</t>
  </si>
  <si>
    <t>11898557</t>
  </si>
  <si>
    <t>11898558</t>
  </si>
  <si>
    <t>11898559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</si>
  <si>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</si>
  <si>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</si>
  <si>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</si>
  <si>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</si>
  <si>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</si>
  <si>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</si>
  <si>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</si>
  <si>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</si>
  <si>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</si>
  <si>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</si>
  <si>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</si>
  <si>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90136004</t>
  </si>
  <si>
    <t>A+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</si>
  <si>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</si>
  <si>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</si>
  <si>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</si>
  <si>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</si>
  <si>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</si>
  <si>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</si>
  <si>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</si>
  <si>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</si>
  <si>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</si>
  <si>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</si>
  <si>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</si>
  <si>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</si>
  <si>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</si>
  <si>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</si>
  <si>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A</t>
  </si>
  <si>
    <t>91102701</t>
  </si>
  <si>
    <t>84666730</t>
  </si>
  <si>
    <t>91040003</t>
  </si>
  <si>
    <t>91040006</t>
  </si>
  <si>
    <t>91040009</t>
  </si>
  <si>
    <t>66679</t>
  </si>
  <si>
    <t>91040011</t>
  </si>
  <si>
    <t>482154</t>
  </si>
  <si>
    <t>482153</t>
  </si>
  <si>
    <t>84666732</t>
  </si>
  <si>
    <t>90320004</t>
  </si>
  <si>
    <t>90310010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</si>
  <si>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</si>
  <si>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</si>
  <si>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</si>
  <si>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</si>
  <si>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</si>
  <si>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</si>
  <si>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</si>
  <si>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</si>
  <si>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</si>
  <si>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9912270</t>
  </si>
  <si>
    <t>508506</t>
  </si>
  <si>
    <t>67859</t>
  </si>
  <si>
    <t>72808</t>
  </si>
  <si>
    <t>נדלן מקרקעין להשכרה - סטריט מול רמת ישי</t>
  </si>
  <si>
    <t>קניון</t>
  </si>
  <si>
    <t>האקליפטוס 3, פינת רח' הצפצפה, א.ת. רמת ישי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</si>
  <si>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</si>
  <si>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</si>
  <si>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</si>
  <si>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</si>
  <si>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</si>
  <si>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</si>
  <si>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</si>
  <si>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</si>
  <si>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</si>
  <si>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</si>
  <si>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</si>
  <si>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בחו"ל</t>
  </si>
  <si>
    <t>סה"כ יתרות התחייבות להשקעה</t>
  </si>
  <si>
    <t>tene growth capital IV</t>
  </si>
  <si>
    <t>ACE IV</t>
  </si>
  <si>
    <t xml:space="preserve">ADLS </t>
  </si>
  <si>
    <t>ADLS  co-inv</t>
  </si>
  <si>
    <t>Arclight Energy Partners Fund VII L.P</t>
  </si>
  <si>
    <t>ARES private credit solutions</t>
  </si>
  <si>
    <t>BROOKFIELD HSO CO-INVEST L.P</t>
  </si>
  <si>
    <t>brookfield III F3</t>
  </si>
  <si>
    <t>Crescent mezzanine VII</t>
  </si>
  <si>
    <t>EC1 ADLS  co-inv</t>
  </si>
  <si>
    <t>EC2 ADLS  co-inv</t>
  </si>
  <si>
    <t>GLOBAL INFRASTRUCTURE PARTNERS IV</t>
  </si>
  <si>
    <t>harbourvest part' co inv fund IV (Tranche B)</t>
  </si>
  <si>
    <t>ICG SDP III</t>
  </si>
  <si>
    <t>ICGL V</t>
  </si>
  <si>
    <t>infrared infrastructure fund v</t>
  </si>
  <si>
    <t>JCI Power Solut</t>
  </si>
  <si>
    <t>JP Morgan IIF - עמיתים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</si>
  <si>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</si>
  <si>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</si>
  <si>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</si>
  <si>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</si>
  <si>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</si>
  <si>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Migdal-HarbourVest 2016 Fund L.P. (Tranche B)</t>
  </si>
  <si>
    <t>Patria VI</t>
  </si>
  <si>
    <t>Permira</t>
  </si>
  <si>
    <t>PERMIRA CREDIT SOLUTIONS IV</t>
  </si>
  <si>
    <t>PERMIRA VII PCS</t>
  </si>
  <si>
    <t>PGCO IV Co-mingled Fund SCSP</t>
  </si>
  <si>
    <t>Reality IV</t>
  </si>
  <si>
    <t>SVB IX</t>
  </si>
  <si>
    <t>SVB VIII</t>
  </si>
  <si>
    <t xml:space="preserve">TDLIV </t>
  </si>
  <si>
    <t>TPG ASIA VII L.P</t>
  </si>
  <si>
    <t>Vintage Fund of Funds (access) V</t>
  </si>
  <si>
    <t>VINTAGE MIGDAL CO-INVESTMENT II LP</t>
  </si>
  <si>
    <t>Warburg Pincus China I</t>
  </si>
  <si>
    <t>waterton</t>
  </si>
  <si>
    <t xml:space="preserve">WSREDII </t>
  </si>
  <si>
    <t>גורם 111</t>
  </si>
  <si>
    <t>גורם 112</t>
  </si>
  <si>
    <t>גורם 151</t>
  </si>
  <si>
    <t>גורם 144</t>
  </si>
  <si>
    <t>גורם 37</t>
  </si>
  <si>
    <t>גורם 98</t>
  </si>
  <si>
    <t>גורם 105</t>
  </si>
  <si>
    <t>גורם 104</t>
  </si>
  <si>
    <t>גורם 137</t>
  </si>
  <si>
    <t>גורם 148</t>
  </si>
  <si>
    <t>גורם 143</t>
  </si>
  <si>
    <t>גורם 138</t>
  </si>
  <si>
    <t>גורם 149</t>
  </si>
  <si>
    <t>גורם 142</t>
  </si>
  <si>
    <t>גורם 146</t>
  </si>
  <si>
    <t>מובטחות משכנתא - גורם 01</t>
  </si>
  <si>
    <t>בבטחונות אחרים - גורם 94</t>
  </si>
  <si>
    <t>בבטחונות אחרים - גורם 111</t>
  </si>
  <si>
    <t>בבטחונות אחרים - גורם 147</t>
  </si>
  <si>
    <t>בבטחונות אחרים - גורם 41</t>
  </si>
  <si>
    <t>בבטחונות אחרים-גורם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</si>
  <si>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</si>
  <si>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</si>
  <si>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</si>
  <si>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</si>
  <si>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</si>
  <si>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אחרים-גורם 103</t>
  </si>
  <si>
    <t>בבטחונות אחרים - גורם 130</t>
  </si>
  <si>
    <t>בבטחונות אחרים - גורם 104</t>
  </si>
  <si>
    <t>בבטחונות אחרים - גורם 152</t>
  </si>
  <si>
    <t>בבטחונות אחרים - גורם 144</t>
  </si>
  <si>
    <t>בבטחונות אחרים - גורם 61</t>
  </si>
  <si>
    <t>בבטחונות אחרים - גורם 115*</t>
  </si>
  <si>
    <t>בבטחונות אחרים - גורם 102</t>
  </si>
  <si>
    <t>בבטחונות אחרים - גורם 133</t>
  </si>
  <si>
    <t>בבטחונות אחרים - גורם 137</t>
  </si>
  <si>
    <t>בבטחונות אחרים - גורם 148</t>
  </si>
  <si>
    <t>בבטחונות אחרים - גורם 131</t>
  </si>
  <si>
    <t>בבטחונות אחרים - גורם 143</t>
  </si>
  <si>
    <t>בבטחונות אחרים - גורם 138</t>
  </si>
  <si>
    <t>בבטחונות אחרים - גורם 112</t>
  </si>
  <si>
    <t>בבטחונות אחרים - גורם 149</t>
  </si>
  <si>
    <t>בבטחונות אחרים - גורם 142</t>
  </si>
  <si>
    <t>בבטחונות אחרים - 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</si>
</sst>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  <numFmt numFmtId="170" formatCode="_ * #,##0_ ;_ * \-#,##0_ ;_ * &quot;-&quot;??_ ;_ @_ 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29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2"/>
    </xf>
    <xf numFmtId="0" fontId="28" fillId="0" borderId="25" xfId="0" applyNumberFormat="1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31" xfId="13" applyFont="1" applyBorder="1" applyAlignment="1">
      <alignment horizontal="right"/>
    </xf>
    <xf numFmtId="10" fontId="5" fillId="0" borderId="31" xfId="14" applyNumberFormat="1" applyFont="1" applyBorder="1" applyAlignment="1">
      <alignment horizontal="center"/>
    </xf>
    <xf numFmtId="2" fontId="5" fillId="0" borderId="31" xfId="7" applyNumberFormat="1" applyFont="1" applyBorder="1" applyAlignment="1">
      <alignment horizontal="right"/>
    </xf>
    <xf numFmtId="169" fontId="5" fillId="0" borderId="31" xfId="7" applyNumberFormat="1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7" fillId="0" borderId="29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 indent="1"/>
    </xf>
    <xf numFmtId="164" fontId="29" fillId="0" borderId="0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10" fontId="29" fillId="0" borderId="0" xfId="15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Percent 3" xfId="15"/>
    <cellStyle name="Text" xfId="9"/>
    <cellStyle name="Total" xfId="10"/>
    <cellStyle name="היפר-קישור" xfId="11" builtinId="8"/>
  </cellStyles>
  <dxfs count="13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198120</xdr:colOff>
      <xdr:row>50</xdr:row>
      <xdr:rowOff>0</xdr:rowOff>
    </xdr:from>
    <xdr:to>
      <xdr:col>27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V66"/>
  <sheetViews>
    <sheetView rightToLeft="1" tabSelected="1" workbookViewId="0">
      <selection activeCell="L11" sqref="L11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2" width="6.7109375" style="9" customWidth="1"/>
    <col min="23" max="25" width="7.7109375" style="9" customWidth="1"/>
    <col min="26" max="26" width="7.140625" style="9" customWidth="1"/>
    <col min="27" max="27" width="6" style="9" customWidth="1"/>
    <col min="28" max="28" width="8.140625" style="9" customWidth="1"/>
    <col min="29" max="29" width="6.28515625" style="9" customWidth="1"/>
    <col min="30" max="30" width="8" style="9" customWidth="1"/>
    <col min="31" max="31" width="8.7109375" style="9" customWidth="1"/>
    <col min="32" max="32" width="10" style="9" customWidth="1"/>
    <col min="33" max="33" width="9.5703125" style="9" customWidth="1"/>
    <col min="34" max="34" width="6.140625" style="9" customWidth="1"/>
    <col min="35" max="36" width="5.7109375" style="9" customWidth="1"/>
    <col min="37" max="37" width="6.85546875" style="9" customWidth="1"/>
    <col min="38" max="38" width="6.42578125" style="9" customWidth="1"/>
    <col min="39" max="39" width="6.7109375" style="9" customWidth="1"/>
    <col min="40" max="40" width="7.28515625" style="9" customWidth="1"/>
    <col min="41" max="52" width="5.7109375" style="9" customWidth="1"/>
    <col min="53" max="16384" width="9.140625" style="9"/>
  </cols>
  <sheetData>
    <row r="1" spans="1:22">
      <c r="B1" s="57" t="s">
        <v>183</v>
      </c>
      <c r="C1" s="78" t="s" vm="1">
        <v>267</v>
      </c>
    </row>
    <row r="2" spans="1:22">
      <c r="B2" s="57" t="s">
        <v>182</v>
      </c>
      <c r="C2" s="78" t="s">
        <v>268</v>
      </c>
    </row>
    <row r="3" spans="1:22">
      <c r="B3" s="57" t="s">
        <v>184</v>
      </c>
      <c r="C3" s="78" t="s">
        <v>269</v>
      </c>
    </row>
    <row r="4" spans="1:22">
      <c r="B4" s="57" t="s">
        <v>185</v>
      </c>
      <c r="C4" s="78">
        <v>8803</v>
      </c>
    </row>
    <row r="6" spans="1:22" ht="26.25" customHeight="1">
      <c r="B6" s="139" t="s">
        <v>199</v>
      </c>
      <c r="C6" s="140"/>
      <c r="D6" s="141"/>
    </row>
    <row r="7" spans="1:22" s="10" customFormat="1">
      <c r="B7" s="23"/>
      <c r="C7" s="24" t="s">
        <v>114</v>
      </c>
      <c r="D7" s="25" t="s">
        <v>112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>
      <c r="B8" s="23"/>
      <c r="C8" s="26" t="s">
        <v>246</v>
      </c>
      <c r="D8" s="27" t="s">
        <v>20</v>
      </c>
    </row>
    <row r="9" spans="1:22" s="11" customFormat="1" ht="18" customHeight="1">
      <c r="B9" s="37"/>
      <c r="C9" s="20" t="s">
        <v>1</v>
      </c>
      <c r="D9" s="28" t="s">
        <v>2</v>
      </c>
    </row>
    <row r="10" spans="1:22" s="11" customFormat="1" ht="18" customHeight="1">
      <c r="B10" s="67" t="s">
        <v>198</v>
      </c>
      <c r="C10" s="118">
        <f>C11+C12+C23+C33+C35+C37</f>
        <v>950362.10187017394</v>
      </c>
      <c r="D10" s="119">
        <f>C10/$C$42</f>
        <v>1</v>
      </c>
    </row>
    <row r="11" spans="1:22">
      <c r="A11" s="45" t="s">
        <v>145</v>
      </c>
      <c r="B11" s="29" t="s">
        <v>200</v>
      </c>
      <c r="C11" s="118">
        <f>מזומנים!J10</f>
        <v>63673.910377096006</v>
      </c>
      <c r="D11" s="119">
        <f t="shared" ref="D11:D13" si="0">C11/$C$42</f>
        <v>6.6999631247705527E-2</v>
      </c>
    </row>
    <row r="12" spans="1:22">
      <c r="B12" s="29" t="s">
        <v>201</v>
      </c>
      <c r="C12" s="118">
        <f>C13+C15+C16+C17+C18+C19+C20+C21</f>
        <v>550442.71109493892</v>
      </c>
      <c r="D12" s="119">
        <f t="shared" si="0"/>
        <v>0.57919261512190767</v>
      </c>
    </row>
    <row r="13" spans="1:22">
      <c r="A13" s="55" t="s">
        <v>145</v>
      </c>
      <c r="B13" s="30" t="s">
        <v>71</v>
      </c>
      <c r="C13" s="118">
        <f>'תעודות התחייבות ממשלתיות'!O11</f>
        <v>131062.088460648</v>
      </c>
      <c r="D13" s="119">
        <f t="shared" si="0"/>
        <v>0.13790752830183037</v>
      </c>
    </row>
    <row r="14" spans="1:22">
      <c r="A14" s="55" t="s">
        <v>145</v>
      </c>
      <c r="B14" s="30" t="s">
        <v>72</v>
      </c>
      <c r="C14" s="118" t="s" vm="2">
        <v>2247</v>
      </c>
      <c r="D14" s="119" t="s" vm="3">
        <v>2247</v>
      </c>
    </row>
    <row r="15" spans="1:22">
      <c r="A15" s="55" t="s">
        <v>145</v>
      </c>
      <c r="B15" s="30" t="s">
        <v>73</v>
      </c>
      <c r="C15" s="118">
        <f>'אג"ח קונצרני'!R11</f>
        <v>252340.77936437202</v>
      </c>
      <c r="D15" s="119">
        <f t="shared" ref="D15:D21" si="1">C15/$C$42</f>
        <v>0.2655206671939066</v>
      </c>
    </row>
    <row r="16" spans="1:22">
      <c r="A16" s="55" t="s">
        <v>145</v>
      </c>
      <c r="B16" s="30" t="s">
        <v>74</v>
      </c>
      <c r="C16" s="118">
        <f>מניות!L11</f>
        <v>74824.42346873098</v>
      </c>
      <c r="D16" s="119">
        <f t="shared" si="1"/>
        <v>7.873254133502107E-2</v>
      </c>
    </row>
    <row r="17" spans="1:4">
      <c r="A17" s="55" t="s">
        <v>145</v>
      </c>
      <c r="B17" s="30" t="s">
        <v>260</v>
      </c>
      <c r="C17" s="118">
        <f>'קרנות סל'!K11</f>
        <v>69773.226454734002</v>
      </c>
      <c r="D17" s="119">
        <f t="shared" si="1"/>
        <v>7.3417517720277853E-2</v>
      </c>
    </row>
    <row r="18" spans="1:4">
      <c r="A18" s="55" t="s">
        <v>145</v>
      </c>
      <c r="B18" s="30" t="s">
        <v>75</v>
      </c>
      <c r="C18" s="118">
        <f>'קרנות נאמנות'!L11</f>
        <v>21346.025095848003</v>
      </c>
      <c r="D18" s="119">
        <f t="shared" si="1"/>
        <v>2.246093889249386E-2</v>
      </c>
    </row>
    <row r="19" spans="1:4">
      <c r="A19" s="55" t="s">
        <v>145</v>
      </c>
      <c r="B19" s="30" t="s">
        <v>76</v>
      </c>
      <c r="C19" s="118">
        <f>'כתבי אופציה'!I11</f>
        <v>6.5558643940000003</v>
      </c>
      <c r="D19" s="119">
        <f t="shared" si="1"/>
        <v>6.898280540752852E-6</v>
      </c>
    </row>
    <row r="20" spans="1:4">
      <c r="A20" s="55" t="s">
        <v>145</v>
      </c>
      <c r="B20" s="30" t="s">
        <v>77</v>
      </c>
      <c r="C20" s="118">
        <f>אופציות!I11</f>
        <v>54.563390155</v>
      </c>
      <c r="D20" s="119">
        <f t="shared" si="1"/>
        <v>5.7413263899756954E-5</v>
      </c>
    </row>
    <row r="21" spans="1:4">
      <c r="A21" s="55" t="s">
        <v>145</v>
      </c>
      <c r="B21" s="30" t="s">
        <v>78</v>
      </c>
      <c r="C21" s="118">
        <f>'חוזים עתידיים'!I11</f>
        <v>1035.0489960570001</v>
      </c>
      <c r="D21" s="119">
        <f t="shared" si="1"/>
        <v>1.0891101339375537E-3</v>
      </c>
    </row>
    <row r="22" spans="1:4">
      <c r="A22" s="55" t="s">
        <v>145</v>
      </c>
      <c r="B22" s="30" t="s">
        <v>79</v>
      </c>
      <c r="C22" s="118" t="s" vm="4">
        <v>2247</v>
      </c>
      <c r="D22" s="119" t="s" vm="5">
        <v>2247</v>
      </c>
    </row>
    <row r="23" spans="1:4">
      <c r="B23" s="29" t="s">
        <v>202</v>
      </c>
      <c r="C23" s="118">
        <f>C24+C26+C27+C28+C31</f>
        <v>300866.48616467899</v>
      </c>
      <c r="D23" s="119">
        <f>C23/$C$42</f>
        <v>0.31658089645264437</v>
      </c>
    </row>
    <row r="24" spans="1:4">
      <c r="A24" s="55" t="s">
        <v>145</v>
      </c>
      <c r="B24" s="30" t="s">
        <v>80</v>
      </c>
      <c r="C24" s="118">
        <f>'לא סחיר- תעודות התחייבות ממשלתי'!M11</f>
        <v>258603.99172999998</v>
      </c>
      <c r="D24" s="119">
        <f>C24/$C$42</f>
        <v>0.27211101034132679</v>
      </c>
    </row>
    <row r="25" spans="1:4">
      <c r="A25" s="55" t="s">
        <v>145</v>
      </c>
      <c r="B25" s="30" t="s">
        <v>81</v>
      </c>
      <c r="C25" s="118" t="s" vm="6">
        <v>2247</v>
      </c>
      <c r="D25" s="119" t="s" vm="7">
        <v>2247</v>
      </c>
    </row>
    <row r="26" spans="1:4">
      <c r="A26" s="55" t="s">
        <v>145</v>
      </c>
      <c r="B26" s="30" t="s">
        <v>73</v>
      </c>
      <c r="C26" s="118">
        <f>'לא סחיר - אג"ח קונצרני'!P11</f>
        <v>5921.1824000000006</v>
      </c>
      <c r="D26" s="119">
        <f>C26/$C$42</f>
        <v>6.2304487819410913E-3</v>
      </c>
    </row>
    <row r="27" spans="1:4">
      <c r="A27" s="55" t="s">
        <v>145</v>
      </c>
      <c r="B27" s="30" t="s">
        <v>82</v>
      </c>
      <c r="C27" s="118">
        <f>'לא סחיר - מניות'!J11</f>
        <v>10684.33223</v>
      </c>
      <c r="D27" s="119">
        <f>C27/$C$42</f>
        <v>1.1242380361101093E-2</v>
      </c>
    </row>
    <row r="28" spans="1:4">
      <c r="A28" s="55" t="s">
        <v>145</v>
      </c>
      <c r="B28" s="30" t="s">
        <v>83</v>
      </c>
      <c r="C28" s="118">
        <f>'לא סחיר - קרנות השקעה'!H11</f>
        <v>24769.956709999988</v>
      </c>
      <c r="D28" s="119">
        <f>C28/$C$42</f>
        <v>2.6063704204172627E-2</v>
      </c>
    </row>
    <row r="29" spans="1:4">
      <c r="A29" s="55" t="s">
        <v>145</v>
      </c>
      <c r="B29" s="30" t="s">
        <v>84</v>
      </c>
      <c r="C29" s="118" t="s" vm="8">
        <v>2247</v>
      </c>
      <c r="D29" s="119" t="s" vm="9">
        <v>2247</v>
      </c>
    </row>
    <row r="30" spans="1:4">
      <c r="A30" s="55" t="s">
        <v>145</v>
      </c>
      <c r="B30" s="30" t="s">
        <v>225</v>
      </c>
      <c r="C30" s="118" t="s" vm="10">
        <v>2247</v>
      </c>
      <c r="D30" s="119" t="s" vm="11">
        <v>2247</v>
      </c>
    </row>
    <row r="31" spans="1:4">
      <c r="A31" s="55" t="s">
        <v>145</v>
      </c>
      <c r="B31" s="30" t="s">
        <v>108</v>
      </c>
      <c r="C31" s="118">
        <f>'לא סחיר - חוזים עתידיים'!I11</f>
        <v>887.02309467899977</v>
      </c>
      <c r="D31" s="119">
        <f>C31/$C$42</f>
        <v>9.3335276410272232E-4</v>
      </c>
    </row>
    <row r="32" spans="1:4">
      <c r="A32" s="55" t="s">
        <v>145</v>
      </c>
      <c r="B32" s="30" t="s">
        <v>85</v>
      </c>
      <c r="C32" s="118" t="s" vm="12">
        <v>2247</v>
      </c>
      <c r="D32" s="119" t="s" vm="13">
        <v>2247</v>
      </c>
    </row>
    <row r="33" spans="1:4">
      <c r="A33" s="55" t="s">
        <v>145</v>
      </c>
      <c r="B33" s="29" t="s">
        <v>203</v>
      </c>
      <c r="C33" s="118">
        <f>הלוואות!O10</f>
        <v>27352.144399999997</v>
      </c>
      <c r="D33" s="119">
        <f>C33/$C$42</f>
        <v>2.8780760876485886E-2</v>
      </c>
    </row>
    <row r="34" spans="1:4">
      <c r="A34" s="55" t="s">
        <v>145</v>
      </c>
      <c r="B34" s="29" t="s">
        <v>204</v>
      </c>
      <c r="C34" s="118" t="s" vm="14">
        <v>2247</v>
      </c>
      <c r="D34" s="119" t="s" vm="15">
        <v>2247</v>
      </c>
    </row>
    <row r="35" spans="1:4">
      <c r="A35" s="55" t="s">
        <v>145</v>
      </c>
      <c r="B35" s="29" t="s">
        <v>205</v>
      </c>
      <c r="C35" s="118">
        <f>'זכויות מקרקעין'!G10</f>
        <v>8003.9080400000003</v>
      </c>
      <c r="D35" s="119">
        <f>C35/$C$42</f>
        <v>8.4219562462028701E-3</v>
      </c>
    </row>
    <row r="36" spans="1:4">
      <c r="A36" s="55" t="s">
        <v>145</v>
      </c>
      <c r="B36" s="56" t="s">
        <v>206</v>
      </c>
      <c r="C36" s="118" t="s" vm="16">
        <v>2247</v>
      </c>
      <c r="D36" s="119" t="s" vm="17">
        <v>2247</v>
      </c>
    </row>
    <row r="37" spans="1:4">
      <c r="A37" s="55" t="s">
        <v>145</v>
      </c>
      <c r="B37" s="29" t="s">
        <v>207</v>
      </c>
      <c r="C37" s="118">
        <f>'השקעות אחרות '!I10</f>
        <v>22.94179346</v>
      </c>
      <c r="D37" s="119">
        <f>C37/$C$42</f>
        <v>2.4140055053598937E-5</v>
      </c>
    </row>
    <row r="38" spans="1:4">
      <c r="A38" s="55"/>
      <c r="B38" s="68" t="s">
        <v>209</v>
      </c>
      <c r="C38" s="118">
        <v>0</v>
      </c>
      <c r="D38" s="119">
        <f>C38/$C$42</f>
        <v>0</v>
      </c>
    </row>
    <row r="39" spans="1:4">
      <c r="A39" s="55" t="s">
        <v>145</v>
      </c>
      <c r="B39" s="69" t="s">
        <v>210</v>
      </c>
      <c r="C39" s="118" t="s" vm="18">
        <v>2247</v>
      </c>
      <c r="D39" s="119" t="s" vm="19">
        <v>2247</v>
      </c>
    </row>
    <row r="40" spans="1:4">
      <c r="A40" s="55" t="s">
        <v>145</v>
      </c>
      <c r="B40" s="69" t="s">
        <v>244</v>
      </c>
      <c r="C40" s="118" t="s" vm="20">
        <v>2247</v>
      </c>
      <c r="D40" s="119" t="s" vm="21">
        <v>2247</v>
      </c>
    </row>
    <row r="41" spans="1:4">
      <c r="A41" s="55" t="s">
        <v>145</v>
      </c>
      <c r="B41" s="69" t="s">
        <v>211</v>
      </c>
      <c r="C41" s="118" t="s" vm="22">
        <v>2247</v>
      </c>
      <c r="D41" s="119" t="s" vm="23">
        <v>2247</v>
      </c>
    </row>
    <row r="42" spans="1:4">
      <c r="B42" s="69" t="s">
        <v>86</v>
      </c>
      <c r="C42" s="118">
        <f>C38+C10</f>
        <v>950362.10187017394</v>
      </c>
      <c r="D42" s="119">
        <f>C42/$C$42</f>
        <v>1</v>
      </c>
    </row>
    <row r="43" spans="1:4">
      <c r="A43" s="55" t="s">
        <v>145</v>
      </c>
      <c r="B43" s="69" t="s">
        <v>208</v>
      </c>
      <c r="C43" s="118">
        <f>'יתרת התחייבות להשקעה'!C10</f>
        <v>58595.664335563124</v>
      </c>
      <c r="D43" s="119"/>
    </row>
    <row r="44" spans="1:4">
      <c r="B44" s="6" t="s">
        <v>113</v>
      </c>
    </row>
    <row r="45" spans="1:4">
      <c r="C45" s="75" t="s">
        <v>190</v>
      </c>
      <c r="D45" s="36" t="s">
        <v>107</v>
      </c>
    </row>
    <row r="46" spans="1:4">
      <c r="C46" s="76" t="s">
        <v>1</v>
      </c>
      <c r="D46" s="25" t="s">
        <v>2</v>
      </c>
    </row>
    <row r="47" spans="1:4">
      <c r="C47" s="120" t="s">
        <v>171</v>
      </c>
      <c r="D47" s="121" vm="24">
        <v>2.4230999999999998</v>
      </c>
    </row>
    <row r="48" spans="1:4">
      <c r="C48" s="120" t="s">
        <v>180</v>
      </c>
      <c r="D48" s="121">
        <v>0.85865487341300406</v>
      </c>
    </row>
    <row r="49" spans="2:4">
      <c r="C49" s="120" t="s">
        <v>176</v>
      </c>
      <c r="D49" s="121" vm="25">
        <v>2.6535000000000002</v>
      </c>
    </row>
    <row r="50" spans="2:4">
      <c r="B50" s="12"/>
      <c r="C50" s="120" t="s">
        <v>1498</v>
      </c>
      <c r="D50" s="121" vm="26">
        <v>3.5750000000000002</v>
      </c>
    </row>
    <row r="51" spans="2:4">
      <c r="C51" s="120" t="s">
        <v>169</v>
      </c>
      <c r="D51" s="121" vm="27">
        <v>3.8782000000000001</v>
      </c>
    </row>
    <row r="52" spans="2:4">
      <c r="C52" s="120" t="s">
        <v>170</v>
      </c>
      <c r="D52" s="121" vm="28">
        <v>4.5597000000000003</v>
      </c>
    </row>
    <row r="53" spans="2:4">
      <c r="C53" s="120" t="s">
        <v>172</v>
      </c>
      <c r="D53" s="121">
        <v>0.44351475174210436</v>
      </c>
    </row>
    <row r="54" spans="2:4">
      <c r="C54" s="120" t="s">
        <v>177</v>
      </c>
      <c r="D54" s="121" vm="29">
        <v>3.1846999999999999</v>
      </c>
    </row>
    <row r="55" spans="2:4">
      <c r="C55" s="120" t="s">
        <v>178</v>
      </c>
      <c r="D55" s="121">
        <v>0.18275657839072681</v>
      </c>
    </row>
    <row r="56" spans="2:4">
      <c r="C56" s="120" t="s">
        <v>175</v>
      </c>
      <c r="D56" s="121" vm="30">
        <v>0.51910000000000001</v>
      </c>
    </row>
    <row r="57" spans="2:4">
      <c r="C57" s="120" t="s">
        <v>2248</v>
      </c>
      <c r="D57" s="121">
        <v>2.3265791999999998</v>
      </c>
    </row>
    <row r="58" spans="2:4">
      <c r="C58" s="120" t="s">
        <v>174</v>
      </c>
      <c r="D58" s="121" vm="31">
        <v>0.3715</v>
      </c>
    </row>
    <row r="59" spans="2:4">
      <c r="C59" s="120" t="s">
        <v>167</v>
      </c>
      <c r="D59" s="121" vm="32">
        <v>3.456</v>
      </c>
    </row>
    <row r="60" spans="2:4">
      <c r="C60" s="120" t="s">
        <v>181</v>
      </c>
      <c r="D60" s="121" vm="33">
        <v>0.2465</v>
      </c>
    </row>
    <row r="61" spans="2:4">
      <c r="C61" s="120" t="s">
        <v>2249</v>
      </c>
      <c r="D61" s="121" vm="34">
        <v>0.39319999999999999</v>
      </c>
    </row>
    <row r="62" spans="2:4">
      <c r="C62" s="120" t="s">
        <v>2250</v>
      </c>
      <c r="D62" s="121">
        <v>5.5684993087713533E-2</v>
      </c>
    </row>
    <row r="63" spans="2:4">
      <c r="C63" s="120" t="s">
        <v>2251</v>
      </c>
      <c r="D63" s="121">
        <v>0.49632352941176472</v>
      </c>
    </row>
    <row r="64" spans="2:4">
      <c r="C64" s="120" t="s">
        <v>168</v>
      </c>
      <c r="D64" s="121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2" sqref="K12:K15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58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183</v>
      </c>
      <c r="C1" s="78" t="s" vm="1">
        <v>267</v>
      </c>
    </row>
    <row r="2" spans="2:60">
      <c r="B2" s="57" t="s">
        <v>182</v>
      </c>
      <c r="C2" s="78" t="s">
        <v>268</v>
      </c>
    </row>
    <row r="3" spans="2:60">
      <c r="B3" s="57" t="s">
        <v>184</v>
      </c>
      <c r="C3" s="78" t="s">
        <v>269</v>
      </c>
    </row>
    <row r="4" spans="2:60">
      <c r="B4" s="57" t="s">
        <v>185</v>
      </c>
      <c r="C4" s="78">
        <v>8803</v>
      </c>
    </row>
    <row r="6" spans="2:60" ht="26.25" customHeight="1">
      <c r="B6" s="153" t="s">
        <v>213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60" ht="26.25" customHeight="1">
      <c r="B7" s="153" t="s">
        <v>96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  <c r="BH7" s="3"/>
    </row>
    <row r="8" spans="2:60" s="3" customFormat="1" ht="78.75">
      <c r="B8" s="23" t="s">
        <v>120</v>
      </c>
      <c r="C8" s="31" t="s">
        <v>47</v>
      </c>
      <c r="D8" s="31" t="s">
        <v>123</v>
      </c>
      <c r="E8" s="31" t="s">
        <v>68</v>
      </c>
      <c r="F8" s="31" t="s">
        <v>105</v>
      </c>
      <c r="G8" s="31" t="s">
        <v>243</v>
      </c>
      <c r="H8" s="31" t="s">
        <v>242</v>
      </c>
      <c r="I8" s="31" t="s">
        <v>65</v>
      </c>
      <c r="J8" s="31" t="s">
        <v>62</v>
      </c>
      <c r="K8" s="31" t="s">
        <v>186</v>
      </c>
      <c r="L8" s="31" t="s">
        <v>188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250</v>
      </c>
      <c r="H9" s="17"/>
      <c r="I9" s="17" t="s">
        <v>246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8" t="s">
        <v>50</v>
      </c>
      <c r="C11" s="124"/>
      <c r="D11" s="124"/>
      <c r="E11" s="124"/>
      <c r="F11" s="124"/>
      <c r="G11" s="125"/>
      <c r="H11" s="127"/>
      <c r="I11" s="125">
        <v>6.5558643940000003</v>
      </c>
      <c r="J11" s="124"/>
      <c r="K11" s="126">
        <f>I11/$I$11</f>
        <v>1</v>
      </c>
      <c r="L11" s="126">
        <f>I11/'סכום נכסי הקרן'!$C$42</f>
        <v>6.898280540752852E-6</v>
      </c>
      <c r="BC11" s="100"/>
      <c r="BD11" s="3"/>
      <c r="BE11" s="100"/>
      <c r="BG11" s="100"/>
    </row>
    <row r="12" spans="2:60" s="4" customFormat="1" ht="18" customHeight="1">
      <c r="B12" s="129" t="s">
        <v>28</v>
      </c>
      <c r="C12" s="124"/>
      <c r="D12" s="124"/>
      <c r="E12" s="124"/>
      <c r="F12" s="124"/>
      <c r="G12" s="125"/>
      <c r="H12" s="127"/>
      <c r="I12" s="125">
        <v>6.5558643940000003</v>
      </c>
      <c r="J12" s="124"/>
      <c r="K12" s="126">
        <f t="shared" ref="K12:K15" si="0">I12/$I$11</f>
        <v>1</v>
      </c>
      <c r="L12" s="126">
        <f>I12/'סכום נכסי הקרן'!$C$42</f>
        <v>6.898280540752852E-6</v>
      </c>
      <c r="BC12" s="100"/>
      <c r="BD12" s="3"/>
      <c r="BE12" s="100"/>
      <c r="BG12" s="100"/>
    </row>
    <row r="13" spans="2:60">
      <c r="B13" s="102" t="s">
        <v>1822</v>
      </c>
      <c r="C13" s="82"/>
      <c r="D13" s="82"/>
      <c r="E13" s="82"/>
      <c r="F13" s="82"/>
      <c r="G13" s="91"/>
      <c r="H13" s="93"/>
      <c r="I13" s="91">
        <v>6.5558643940000003</v>
      </c>
      <c r="J13" s="82"/>
      <c r="K13" s="92">
        <f t="shared" si="0"/>
        <v>1</v>
      </c>
      <c r="L13" s="92">
        <f>I13/'סכום נכסי הקרן'!$C$42</f>
        <v>6.898280540752852E-6</v>
      </c>
      <c r="BD13" s="3"/>
    </row>
    <row r="14" spans="2:60" ht="20.25">
      <c r="B14" s="87" t="s">
        <v>1823</v>
      </c>
      <c r="C14" s="84" t="s">
        <v>1824</v>
      </c>
      <c r="D14" s="97" t="s">
        <v>124</v>
      </c>
      <c r="E14" s="97" t="s">
        <v>194</v>
      </c>
      <c r="F14" s="97" t="s">
        <v>168</v>
      </c>
      <c r="G14" s="94">
        <v>3002.5259999999998</v>
      </c>
      <c r="H14" s="96">
        <v>205.7</v>
      </c>
      <c r="I14" s="94">
        <v>6.1761959820000003</v>
      </c>
      <c r="J14" s="95">
        <v>2.7023198799019341E-4</v>
      </c>
      <c r="K14" s="95">
        <f t="shared" si="0"/>
        <v>0.94208720785202993</v>
      </c>
      <c r="L14" s="95">
        <f>I14/'סכום נכסי הקרן'!$C$42</f>
        <v>6.498781853617845E-6</v>
      </c>
      <c r="BD14" s="4"/>
    </row>
    <row r="15" spans="2:60">
      <c r="B15" s="87" t="s">
        <v>1825</v>
      </c>
      <c r="C15" s="84" t="s">
        <v>1826</v>
      </c>
      <c r="D15" s="97" t="s">
        <v>124</v>
      </c>
      <c r="E15" s="97" t="s">
        <v>194</v>
      </c>
      <c r="F15" s="97" t="s">
        <v>168</v>
      </c>
      <c r="G15" s="94">
        <v>747.37876400000005</v>
      </c>
      <c r="H15" s="96">
        <v>50.8</v>
      </c>
      <c r="I15" s="94">
        <v>0.37966841199999996</v>
      </c>
      <c r="J15" s="95">
        <v>6.2309551040008813E-4</v>
      </c>
      <c r="K15" s="95">
        <f t="shared" si="0"/>
        <v>5.7912792147970099E-2</v>
      </c>
      <c r="L15" s="95">
        <f>I15/'סכום נכסי הקרן'!$C$42</f>
        <v>3.9949868713500667E-7</v>
      </c>
    </row>
    <row r="16" spans="2:60">
      <c r="B16" s="83"/>
      <c r="C16" s="84"/>
      <c r="D16" s="84"/>
      <c r="E16" s="84"/>
      <c r="F16" s="84"/>
      <c r="G16" s="94"/>
      <c r="H16" s="96"/>
      <c r="I16" s="84"/>
      <c r="J16" s="84"/>
      <c r="K16" s="95"/>
      <c r="L16" s="84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99" t="s">
        <v>259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99" t="s">
        <v>116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99" t="s">
        <v>241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99" t="s">
        <v>249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K17" activeCellId="1" sqref="K12:K15 K17:K22"/>
    </sheetView>
  </sheetViews>
  <sheetFormatPr defaultColWidth="9.140625" defaultRowHeight="18"/>
  <cols>
    <col min="1" max="1" width="6.28515625" style="1" customWidth="1"/>
    <col min="2" max="2" width="29.42578125" style="2" bestFit="1" customWidth="1"/>
    <col min="3" max="3" width="58.140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183</v>
      </c>
      <c r="C1" s="78" t="s" vm="1">
        <v>267</v>
      </c>
    </row>
    <row r="2" spans="2:61">
      <c r="B2" s="57" t="s">
        <v>182</v>
      </c>
      <c r="C2" s="78" t="s">
        <v>268</v>
      </c>
    </row>
    <row r="3" spans="2:61">
      <c r="B3" s="57" t="s">
        <v>184</v>
      </c>
      <c r="C3" s="78" t="s">
        <v>269</v>
      </c>
    </row>
    <row r="4" spans="2:61">
      <c r="B4" s="57" t="s">
        <v>185</v>
      </c>
      <c r="C4" s="78">
        <v>8803</v>
      </c>
    </row>
    <row r="6" spans="2:61" ht="26.25" customHeight="1">
      <c r="B6" s="153" t="s">
        <v>213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61" ht="26.25" customHeight="1">
      <c r="B7" s="153" t="s">
        <v>97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  <c r="BI7" s="3"/>
    </row>
    <row r="8" spans="2:61" s="3" customFormat="1" ht="78.75">
      <c r="B8" s="23" t="s">
        <v>120</v>
      </c>
      <c r="C8" s="31" t="s">
        <v>47</v>
      </c>
      <c r="D8" s="31" t="s">
        <v>123</v>
      </c>
      <c r="E8" s="31" t="s">
        <v>68</v>
      </c>
      <c r="F8" s="31" t="s">
        <v>105</v>
      </c>
      <c r="G8" s="31" t="s">
        <v>243</v>
      </c>
      <c r="H8" s="31" t="s">
        <v>242</v>
      </c>
      <c r="I8" s="31" t="s">
        <v>65</v>
      </c>
      <c r="J8" s="31" t="s">
        <v>62</v>
      </c>
      <c r="K8" s="31" t="s">
        <v>186</v>
      </c>
      <c r="L8" s="32" t="s">
        <v>188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250</v>
      </c>
      <c r="H9" s="17"/>
      <c r="I9" s="17" t="s">
        <v>246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6" t="s">
        <v>52</v>
      </c>
      <c r="C11" s="82"/>
      <c r="D11" s="82"/>
      <c r="E11" s="82"/>
      <c r="F11" s="82"/>
      <c r="G11" s="91"/>
      <c r="H11" s="93"/>
      <c r="I11" s="91">
        <v>54.563390155</v>
      </c>
      <c r="J11" s="82"/>
      <c r="K11" s="92">
        <f>I11/$I$11</f>
        <v>1</v>
      </c>
      <c r="L11" s="92">
        <f>I11/'סכום נכסי הקרן'!$C$42</f>
        <v>5.7413263899756954E-5</v>
      </c>
      <c r="BD11" s="1"/>
      <c r="BE11" s="3"/>
      <c r="BF11" s="1"/>
      <c r="BH11" s="1"/>
    </row>
    <row r="12" spans="2:61" s="100" customFormat="1">
      <c r="B12" s="129" t="s">
        <v>238</v>
      </c>
      <c r="C12" s="124"/>
      <c r="D12" s="124"/>
      <c r="E12" s="124"/>
      <c r="F12" s="124"/>
      <c r="G12" s="125"/>
      <c r="H12" s="127"/>
      <c r="I12" s="125">
        <v>45.288100499999999</v>
      </c>
      <c r="J12" s="124"/>
      <c r="K12" s="126">
        <f t="shared" ref="K12:K15" si="0">I12/$I$11</f>
        <v>0.8300089193752187</v>
      </c>
      <c r="L12" s="126">
        <f>I12/'סכום נכסי הקרן'!$C$42</f>
        <v>4.7653521127241531E-5</v>
      </c>
      <c r="BE12" s="3"/>
    </row>
    <row r="13" spans="2:61" ht="20.25">
      <c r="B13" s="102" t="s">
        <v>231</v>
      </c>
      <c r="C13" s="82"/>
      <c r="D13" s="82"/>
      <c r="E13" s="82"/>
      <c r="F13" s="82"/>
      <c r="G13" s="91"/>
      <c r="H13" s="93"/>
      <c r="I13" s="91">
        <v>45.288100499999999</v>
      </c>
      <c r="J13" s="82"/>
      <c r="K13" s="92">
        <f t="shared" si="0"/>
        <v>0.8300089193752187</v>
      </c>
      <c r="L13" s="92">
        <f>I13/'סכום נכסי הקרן'!$C$42</f>
        <v>4.7653521127241531E-5</v>
      </c>
      <c r="BE13" s="4"/>
    </row>
    <row r="14" spans="2:61">
      <c r="B14" s="87" t="s">
        <v>1827</v>
      </c>
      <c r="C14" s="84" t="s">
        <v>1828</v>
      </c>
      <c r="D14" s="97" t="s">
        <v>124</v>
      </c>
      <c r="E14" s="97" t="s">
        <v>1829</v>
      </c>
      <c r="F14" s="97" t="s">
        <v>168</v>
      </c>
      <c r="G14" s="94">
        <v>25.021049999999999</v>
      </c>
      <c r="H14" s="96">
        <v>200000</v>
      </c>
      <c r="I14" s="94">
        <v>50.042099999999998</v>
      </c>
      <c r="J14" s="84"/>
      <c r="K14" s="95">
        <f t="shared" si="0"/>
        <v>0.9171369274864295</v>
      </c>
      <c r="L14" s="95">
        <f>I14/'סכום נכסי הקרן'!$C$42</f>
        <v>5.2655824449990635E-5</v>
      </c>
    </row>
    <row r="15" spans="2:61">
      <c r="B15" s="87" t="s">
        <v>1830</v>
      </c>
      <c r="C15" s="84" t="s">
        <v>1831</v>
      </c>
      <c r="D15" s="97" t="s">
        <v>124</v>
      </c>
      <c r="E15" s="97" t="s">
        <v>1829</v>
      </c>
      <c r="F15" s="97" t="s">
        <v>168</v>
      </c>
      <c r="G15" s="94">
        <v>-25.021049999999999</v>
      </c>
      <c r="H15" s="96">
        <v>19000</v>
      </c>
      <c r="I15" s="94">
        <v>-4.7539994999999999</v>
      </c>
      <c r="J15" s="84"/>
      <c r="K15" s="95">
        <f t="shared" si="0"/>
        <v>-8.7128008111210811E-2</v>
      </c>
      <c r="L15" s="95">
        <f>I15/'סכום נכסי הקרן'!$C$42</f>
        <v>-5.0023033227491104E-6</v>
      </c>
    </row>
    <row r="16" spans="2:61">
      <c r="B16" s="83"/>
      <c r="C16" s="84"/>
      <c r="D16" s="84"/>
      <c r="E16" s="84"/>
      <c r="F16" s="84"/>
      <c r="G16" s="94"/>
      <c r="H16" s="96"/>
      <c r="I16" s="84"/>
      <c r="J16" s="84"/>
      <c r="K16" s="95"/>
      <c r="L16" s="84"/>
    </row>
    <row r="17" spans="2:56" s="100" customFormat="1">
      <c r="B17" s="129" t="s">
        <v>237</v>
      </c>
      <c r="C17" s="124"/>
      <c r="D17" s="124"/>
      <c r="E17" s="124"/>
      <c r="F17" s="124"/>
      <c r="G17" s="125"/>
      <c r="H17" s="127"/>
      <c r="I17" s="125">
        <v>9.2752896549999964</v>
      </c>
      <c r="J17" s="124"/>
      <c r="K17" s="126">
        <f t="shared" ref="K17:K22" si="1">I17/$I$11</f>
        <v>0.16999108062478116</v>
      </c>
      <c r="L17" s="126">
        <f>I17/'סכום נכסי הקרן'!$C$42</f>
        <v>9.7597427725154226E-6</v>
      </c>
    </row>
    <row r="18" spans="2:56" ht="20.25">
      <c r="B18" s="102" t="s">
        <v>231</v>
      </c>
      <c r="C18" s="82"/>
      <c r="D18" s="82"/>
      <c r="E18" s="82"/>
      <c r="F18" s="82"/>
      <c r="G18" s="91"/>
      <c r="H18" s="93"/>
      <c r="I18" s="91">
        <v>9.2752896549999964</v>
      </c>
      <c r="J18" s="82"/>
      <c r="K18" s="92">
        <f t="shared" si="1"/>
        <v>0.16999108062478116</v>
      </c>
      <c r="L18" s="92">
        <f>I18/'סכום נכסי הקרן'!$C$42</f>
        <v>9.7597427725154226E-6</v>
      </c>
      <c r="BD18" s="4"/>
    </row>
    <row r="19" spans="2:56">
      <c r="B19" s="87" t="s">
        <v>1832</v>
      </c>
      <c r="C19" s="84" t="s">
        <v>1833</v>
      </c>
      <c r="D19" s="97" t="s">
        <v>30</v>
      </c>
      <c r="E19" s="97" t="s">
        <v>1829</v>
      </c>
      <c r="F19" s="97" t="s">
        <v>167</v>
      </c>
      <c r="G19" s="94">
        <v>-15.163072</v>
      </c>
      <c r="H19" s="96">
        <v>526</v>
      </c>
      <c r="I19" s="94">
        <v>-27.564281157</v>
      </c>
      <c r="J19" s="84"/>
      <c r="K19" s="95">
        <f t="shared" si="1"/>
        <v>-0.50517904182084816</v>
      </c>
      <c r="L19" s="95">
        <f>I19/'סכום נכסי הקרן'!$C$42</f>
        <v>-2.9003977644686713E-5</v>
      </c>
    </row>
    <row r="20" spans="2:56">
      <c r="B20" s="87" t="s">
        <v>1834</v>
      </c>
      <c r="C20" s="84" t="s">
        <v>1835</v>
      </c>
      <c r="D20" s="97" t="s">
        <v>30</v>
      </c>
      <c r="E20" s="97" t="s">
        <v>1829</v>
      </c>
      <c r="F20" s="97" t="s">
        <v>167</v>
      </c>
      <c r="G20" s="94">
        <v>15.163072</v>
      </c>
      <c r="H20" s="96">
        <v>2065</v>
      </c>
      <c r="I20" s="94">
        <v>108.213385273</v>
      </c>
      <c r="J20" s="84"/>
      <c r="K20" s="95">
        <f t="shared" si="1"/>
        <v>1.9832599287836534</v>
      </c>
      <c r="L20" s="95">
        <f>I20/'סכום נכסי הקרן'!$C$42</f>
        <v>1.1386542567306908E-4</v>
      </c>
    </row>
    <row r="21" spans="2:56">
      <c r="B21" s="87" t="s">
        <v>1836</v>
      </c>
      <c r="C21" s="84" t="s">
        <v>1837</v>
      </c>
      <c r="D21" s="97" t="s">
        <v>30</v>
      </c>
      <c r="E21" s="97" t="s">
        <v>1829</v>
      </c>
      <c r="F21" s="97" t="s">
        <v>167</v>
      </c>
      <c r="G21" s="94">
        <v>-2.5933079999999999</v>
      </c>
      <c r="H21" s="96">
        <v>7837</v>
      </c>
      <c r="I21" s="94">
        <v>-70.238896575000012</v>
      </c>
      <c r="J21" s="84"/>
      <c r="K21" s="95">
        <f t="shared" si="1"/>
        <v>-1.2872898178700056</v>
      </c>
      <c r="L21" s="95">
        <f>I21/'סכום נכסי הקרן'!$C$42</f>
        <v>-7.3907510028840704E-5</v>
      </c>
      <c r="BD21" s="3"/>
    </row>
    <row r="22" spans="2:56">
      <c r="B22" s="87" t="s">
        <v>1838</v>
      </c>
      <c r="C22" s="84" t="s">
        <v>1839</v>
      </c>
      <c r="D22" s="97" t="s">
        <v>1442</v>
      </c>
      <c r="E22" s="97" t="s">
        <v>1829</v>
      </c>
      <c r="F22" s="97" t="s">
        <v>167</v>
      </c>
      <c r="G22" s="94">
        <v>-4.9013520000000002</v>
      </c>
      <c r="H22" s="96">
        <v>67</v>
      </c>
      <c r="I22" s="94">
        <v>-1.134917886</v>
      </c>
      <c r="J22" s="84"/>
      <c r="K22" s="95">
        <f t="shared" si="1"/>
        <v>-2.0799988468018608E-2</v>
      </c>
      <c r="L22" s="95">
        <f>I22/'סכום נכסי הקרן'!$C$42</f>
        <v>-1.1941952270262537E-6</v>
      </c>
    </row>
    <row r="23" spans="2:56">
      <c r="B23" s="83"/>
      <c r="C23" s="84"/>
      <c r="D23" s="84"/>
      <c r="E23" s="84"/>
      <c r="F23" s="84"/>
      <c r="G23" s="94"/>
      <c r="H23" s="96"/>
      <c r="I23" s="84"/>
      <c r="J23" s="84"/>
      <c r="K23" s="95"/>
      <c r="L23" s="84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99" t="s">
        <v>259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99" t="s">
        <v>116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99" t="s">
        <v>241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99" t="s">
        <v>249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2" sqref="J12:J16"/>
    </sheetView>
  </sheetViews>
  <sheetFormatPr defaultColWidth="9.140625" defaultRowHeight="18"/>
  <cols>
    <col min="1" max="1" width="6.28515625" style="2" customWidth="1"/>
    <col min="2" max="2" width="33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183</v>
      </c>
      <c r="C1" s="78" t="s" vm="1">
        <v>267</v>
      </c>
    </row>
    <row r="2" spans="1:60">
      <c r="B2" s="57" t="s">
        <v>182</v>
      </c>
      <c r="C2" s="78" t="s">
        <v>268</v>
      </c>
    </row>
    <row r="3" spans="1:60">
      <c r="B3" s="57" t="s">
        <v>184</v>
      </c>
      <c r="C3" s="78" t="s">
        <v>269</v>
      </c>
    </row>
    <row r="4" spans="1:60">
      <c r="B4" s="57" t="s">
        <v>185</v>
      </c>
      <c r="C4" s="78">
        <v>8803</v>
      </c>
    </row>
    <row r="6" spans="1:60" ht="26.25" customHeight="1">
      <c r="B6" s="153" t="s">
        <v>213</v>
      </c>
      <c r="C6" s="154"/>
      <c r="D6" s="154"/>
      <c r="E6" s="154"/>
      <c r="F6" s="154"/>
      <c r="G6" s="154"/>
      <c r="H6" s="154"/>
      <c r="I6" s="154"/>
      <c r="J6" s="154"/>
      <c r="K6" s="155"/>
      <c r="BD6" s="1" t="s">
        <v>124</v>
      </c>
      <c r="BF6" s="1" t="s">
        <v>191</v>
      </c>
      <c r="BH6" s="3" t="s">
        <v>168</v>
      </c>
    </row>
    <row r="7" spans="1:60" ht="26.25" customHeight="1">
      <c r="B7" s="153" t="s">
        <v>98</v>
      </c>
      <c r="C7" s="154"/>
      <c r="D7" s="154"/>
      <c r="E7" s="154"/>
      <c r="F7" s="154"/>
      <c r="G7" s="154"/>
      <c r="H7" s="154"/>
      <c r="I7" s="154"/>
      <c r="J7" s="154"/>
      <c r="K7" s="155"/>
      <c r="BD7" s="3" t="s">
        <v>126</v>
      </c>
      <c r="BF7" s="1" t="s">
        <v>146</v>
      </c>
      <c r="BH7" s="3" t="s">
        <v>167</v>
      </c>
    </row>
    <row r="8" spans="1:60" s="3" customFormat="1" ht="78.75">
      <c r="A8" s="2"/>
      <c r="B8" s="23" t="s">
        <v>120</v>
      </c>
      <c r="C8" s="31" t="s">
        <v>47</v>
      </c>
      <c r="D8" s="31" t="s">
        <v>123</v>
      </c>
      <c r="E8" s="31" t="s">
        <v>68</v>
      </c>
      <c r="F8" s="31" t="s">
        <v>105</v>
      </c>
      <c r="G8" s="31" t="s">
        <v>243</v>
      </c>
      <c r="H8" s="31" t="s">
        <v>242</v>
      </c>
      <c r="I8" s="31" t="s">
        <v>65</v>
      </c>
      <c r="J8" s="31" t="s">
        <v>186</v>
      </c>
      <c r="K8" s="31" t="s">
        <v>188</v>
      </c>
      <c r="BC8" s="1" t="s">
        <v>139</v>
      </c>
      <c r="BD8" s="1" t="s">
        <v>140</v>
      </c>
      <c r="BE8" s="1" t="s">
        <v>147</v>
      </c>
      <c r="BG8" s="4" t="s">
        <v>169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250</v>
      </c>
      <c r="H9" s="17"/>
      <c r="I9" s="17" t="s">
        <v>246</v>
      </c>
      <c r="J9" s="33" t="s">
        <v>20</v>
      </c>
      <c r="K9" s="58" t="s">
        <v>20</v>
      </c>
      <c r="BC9" s="1" t="s">
        <v>136</v>
      </c>
      <c r="BE9" s="1" t="s">
        <v>148</v>
      </c>
      <c r="BG9" s="4" t="s">
        <v>170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132</v>
      </c>
      <c r="BD10" s="3"/>
      <c r="BE10" s="1" t="s">
        <v>192</v>
      </c>
      <c r="BG10" s="1" t="s">
        <v>176</v>
      </c>
    </row>
    <row r="11" spans="1:60" s="4" customFormat="1" ht="18" customHeight="1">
      <c r="A11" s="117"/>
      <c r="B11" s="128" t="s">
        <v>51</v>
      </c>
      <c r="C11" s="124"/>
      <c r="D11" s="124"/>
      <c r="E11" s="124"/>
      <c r="F11" s="124"/>
      <c r="G11" s="125"/>
      <c r="H11" s="127"/>
      <c r="I11" s="125">
        <v>1035.0489960570001</v>
      </c>
      <c r="J11" s="126">
        <f>I11/$I$11</f>
        <v>1</v>
      </c>
      <c r="K11" s="126">
        <f>I11/'סכום נכסי הקרן'!$C$42</f>
        <v>1.0891101339375537E-3</v>
      </c>
      <c r="L11" s="3"/>
      <c r="M11" s="3"/>
      <c r="N11" s="3"/>
      <c r="O11" s="3"/>
      <c r="BC11" s="100" t="s">
        <v>131</v>
      </c>
      <c r="BD11" s="3"/>
      <c r="BE11" s="100" t="s">
        <v>149</v>
      </c>
      <c r="BG11" s="100" t="s">
        <v>171</v>
      </c>
    </row>
    <row r="12" spans="1:60" s="100" customFormat="1" ht="20.25">
      <c r="A12" s="117"/>
      <c r="B12" s="129" t="s">
        <v>239</v>
      </c>
      <c r="C12" s="124"/>
      <c r="D12" s="124"/>
      <c r="E12" s="124"/>
      <c r="F12" s="124"/>
      <c r="G12" s="125"/>
      <c r="H12" s="127"/>
      <c r="I12" s="125">
        <v>1035.0489960570001</v>
      </c>
      <c r="J12" s="126">
        <f t="shared" ref="J12:J16" si="0">I12/$I$11</f>
        <v>1</v>
      </c>
      <c r="K12" s="126">
        <f>I12/'סכום נכסי הקרן'!$C$42</f>
        <v>1.0891101339375537E-3</v>
      </c>
      <c r="L12" s="3"/>
      <c r="M12" s="3"/>
      <c r="N12" s="3"/>
      <c r="O12" s="3"/>
      <c r="BC12" s="100" t="s">
        <v>129</v>
      </c>
      <c r="BD12" s="4"/>
      <c r="BE12" s="100" t="s">
        <v>150</v>
      </c>
      <c r="BG12" s="100" t="s">
        <v>172</v>
      </c>
    </row>
    <row r="13" spans="1:60">
      <c r="B13" s="83" t="s">
        <v>1840</v>
      </c>
      <c r="C13" s="84" t="s">
        <v>1841</v>
      </c>
      <c r="D13" s="97" t="s">
        <v>30</v>
      </c>
      <c r="E13" s="97" t="s">
        <v>1829</v>
      </c>
      <c r="F13" s="97" t="s">
        <v>167</v>
      </c>
      <c r="G13" s="94">
        <v>4.4449309999999995</v>
      </c>
      <c r="H13" s="96">
        <v>112020</v>
      </c>
      <c r="I13" s="94">
        <v>53.381830268999991</v>
      </c>
      <c r="J13" s="95">
        <f t="shared" si="0"/>
        <v>5.1574206121987543E-2</v>
      </c>
      <c r="K13" s="95">
        <f>I13/'סכום נכסי הקרן'!$C$42</f>
        <v>5.6169990537240844E-5</v>
      </c>
      <c r="P13" s="1"/>
      <c r="BC13" s="1" t="s">
        <v>133</v>
      </c>
      <c r="BE13" s="1" t="s">
        <v>151</v>
      </c>
      <c r="BG13" s="1" t="s">
        <v>173</v>
      </c>
    </row>
    <row r="14" spans="1:60">
      <c r="B14" s="83" t="s">
        <v>1842</v>
      </c>
      <c r="C14" s="84" t="s">
        <v>1843</v>
      </c>
      <c r="D14" s="97" t="s">
        <v>30</v>
      </c>
      <c r="E14" s="97" t="s">
        <v>1829</v>
      </c>
      <c r="F14" s="97" t="s">
        <v>167</v>
      </c>
      <c r="G14" s="94">
        <v>97.547279999999986</v>
      </c>
      <c r="H14" s="96">
        <v>323100</v>
      </c>
      <c r="I14" s="94">
        <v>943.94174565200001</v>
      </c>
      <c r="J14" s="95">
        <f t="shared" si="0"/>
        <v>0.91197783800373566</v>
      </c>
      <c r="K14" s="95">
        <f>I14/'סכום נכסי הקרן'!$C$42</f>
        <v>9.9324430529632913E-4</v>
      </c>
      <c r="P14" s="1"/>
      <c r="BC14" s="1" t="s">
        <v>130</v>
      </c>
      <c r="BE14" s="1" t="s">
        <v>152</v>
      </c>
      <c r="BG14" s="1" t="s">
        <v>175</v>
      </c>
    </row>
    <row r="15" spans="1:60">
      <c r="B15" s="83" t="s">
        <v>1844</v>
      </c>
      <c r="C15" s="84" t="s">
        <v>1845</v>
      </c>
      <c r="D15" s="97" t="s">
        <v>30</v>
      </c>
      <c r="E15" s="97" t="s">
        <v>1829</v>
      </c>
      <c r="F15" s="97" t="s">
        <v>169</v>
      </c>
      <c r="G15" s="94">
        <v>168.58835999999999</v>
      </c>
      <c r="H15" s="96">
        <v>41380</v>
      </c>
      <c r="I15" s="94">
        <v>34.533120953999997</v>
      </c>
      <c r="J15" s="95">
        <f t="shared" si="0"/>
        <v>3.3363754842092773E-2</v>
      </c>
      <c r="K15" s="95">
        <f>I15/'סכום נכסי הקרן'!$C$42</f>
        <v>3.6336803504731357E-5</v>
      </c>
      <c r="P15" s="1"/>
      <c r="BC15" s="1" t="s">
        <v>141</v>
      </c>
      <c r="BE15" s="1" t="s">
        <v>193</v>
      </c>
      <c r="BG15" s="1" t="s">
        <v>177</v>
      </c>
    </row>
    <row r="16" spans="1:60" ht="20.25">
      <c r="B16" s="83" t="s">
        <v>1846</v>
      </c>
      <c r="C16" s="84" t="s">
        <v>1847</v>
      </c>
      <c r="D16" s="97" t="s">
        <v>30</v>
      </c>
      <c r="E16" s="97" t="s">
        <v>1829</v>
      </c>
      <c r="F16" s="97" t="s">
        <v>177</v>
      </c>
      <c r="G16" s="94">
        <v>2.665921</v>
      </c>
      <c r="H16" s="96">
        <v>172100</v>
      </c>
      <c r="I16" s="94">
        <v>3.1922991820000002</v>
      </c>
      <c r="J16" s="95">
        <f t="shared" si="0"/>
        <v>3.0842010321839881E-3</v>
      </c>
      <c r="K16" s="95">
        <f>I16/'סכום נכסי הקרן'!$C$42</f>
        <v>3.3590345992522441E-6</v>
      </c>
      <c r="P16" s="1"/>
      <c r="BC16" s="4" t="s">
        <v>127</v>
      </c>
      <c r="BD16" s="1" t="s">
        <v>142</v>
      </c>
      <c r="BE16" s="1" t="s">
        <v>153</v>
      </c>
      <c r="BG16" s="1" t="s">
        <v>178</v>
      </c>
    </row>
    <row r="17" spans="2:60">
      <c r="B17" s="105"/>
      <c r="C17" s="84"/>
      <c r="D17" s="84"/>
      <c r="E17" s="84"/>
      <c r="F17" s="84"/>
      <c r="G17" s="94"/>
      <c r="H17" s="96"/>
      <c r="I17" s="84"/>
      <c r="J17" s="95"/>
      <c r="K17" s="84"/>
      <c r="P17" s="1"/>
      <c r="BC17" s="1" t="s">
        <v>137</v>
      </c>
      <c r="BE17" s="1" t="s">
        <v>154</v>
      </c>
      <c r="BG17" s="1" t="s">
        <v>179</v>
      </c>
    </row>
    <row r="18" spans="2:6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BD18" s="1" t="s">
        <v>125</v>
      </c>
      <c r="BF18" s="1" t="s">
        <v>155</v>
      </c>
      <c r="BH18" s="1" t="s">
        <v>30</v>
      </c>
    </row>
    <row r="19" spans="2:6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BD19" s="1" t="s">
        <v>138</v>
      </c>
      <c r="BF19" s="1" t="s">
        <v>156</v>
      </c>
    </row>
    <row r="20" spans="2:60">
      <c r="B20" s="99" t="s">
        <v>259</v>
      </c>
      <c r="C20" s="101"/>
      <c r="D20" s="101"/>
      <c r="E20" s="101"/>
      <c r="F20" s="101"/>
      <c r="G20" s="101"/>
      <c r="H20" s="101"/>
      <c r="I20" s="101"/>
      <c r="J20" s="101"/>
      <c r="K20" s="101"/>
      <c r="BD20" s="1" t="s">
        <v>143</v>
      </c>
      <c r="BF20" s="1" t="s">
        <v>157</v>
      </c>
    </row>
    <row r="21" spans="2:60">
      <c r="B21" s="99" t="s">
        <v>116</v>
      </c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128</v>
      </c>
      <c r="BE21" s="1" t="s">
        <v>144</v>
      </c>
      <c r="BF21" s="1" t="s">
        <v>158</v>
      </c>
    </row>
    <row r="22" spans="2:60">
      <c r="B22" s="99" t="s">
        <v>241</v>
      </c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134</v>
      </c>
      <c r="BF22" s="1" t="s">
        <v>159</v>
      </c>
    </row>
    <row r="23" spans="2:60">
      <c r="B23" s="99" t="s">
        <v>249</v>
      </c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30</v>
      </c>
      <c r="BE23" s="1" t="s">
        <v>135</v>
      </c>
      <c r="BF23" s="1" t="s">
        <v>194</v>
      </c>
    </row>
    <row r="24" spans="2:6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197</v>
      </c>
    </row>
    <row r="25" spans="2:6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160</v>
      </c>
    </row>
    <row r="26" spans="2:6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161</v>
      </c>
    </row>
    <row r="27" spans="2:6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196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162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163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195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30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183</v>
      </c>
      <c r="C1" s="78" t="s" vm="1">
        <v>267</v>
      </c>
    </row>
    <row r="2" spans="2:81">
      <c r="B2" s="57" t="s">
        <v>182</v>
      </c>
      <c r="C2" s="78" t="s">
        <v>268</v>
      </c>
    </row>
    <row r="3" spans="2:81">
      <c r="B3" s="57" t="s">
        <v>184</v>
      </c>
      <c r="C3" s="78" t="s">
        <v>269</v>
      </c>
      <c r="E3" s="2"/>
    </row>
    <row r="4" spans="2:81">
      <c r="B4" s="57" t="s">
        <v>185</v>
      </c>
      <c r="C4" s="78">
        <v>8803</v>
      </c>
    </row>
    <row r="6" spans="2:81" ht="26.25" customHeight="1">
      <c r="B6" s="153" t="s">
        <v>213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81" ht="26.25" customHeight="1">
      <c r="B7" s="153" t="s">
        <v>99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</row>
    <row r="8" spans="2:81" s="3" customFormat="1" ht="47.25">
      <c r="B8" s="23" t="s">
        <v>120</v>
      </c>
      <c r="C8" s="31" t="s">
        <v>47</v>
      </c>
      <c r="D8" s="14" t="s">
        <v>53</v>
      </c>
      <c r="E8" s="31" t="s">
        <v>15</v>
      </c>
      <c r="F8" s="31" t="s">
        <v>69</v>
      </c>
      <c r="G8" s="31" t="s">
        <v>106</v>
      </c>
      <c r="H8" s="31" t="s">
        <v>18</v>
      </c>
      <c r="I8" s="31" t="s">
        <v>105</v>
      </c>
      <c r="J8" s="31" t="s">
        <v>17</v>
      </c>
      <c r="K8" s="31" t="s">
        <v>19</v>
      </c>
      <c r="L8" s="31" t="s">
        <v>243</v>
      </c>
      <c r="M8" s="31" t="s">
        <v>242</v>
      </c>
      <c r="N8" s="31" t="s">
        <v>65</v>
      </c>
      <c r="O8" s="31" t="s">
        <v>62</v>
      </c>
      <c r="P8" s="31" t="s">
        <v>186</v>
      </c>
      <c r="Q8" s="32" t="s">
        <v>188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250</v>
      </c>
      <c r="M9" s="33"/>
      <c r="N9" s="33" t="s">
        <v>246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117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259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116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241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249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66"/>
  <sheetViews>
    <sheetView rightToLeft="1" topLeftCell="A40" workbookViewId="0">
      <selection activeCell="O12" sqref="O12:O60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58.140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183</v>
      </c>
      <c r="C1" s="78" t="s" vm="1">
        <v>267</v>
      </c>
    </row>
    <row r="2" spans="2:72">
      <c r="B2" s="57" t="s">
        <v>182</v>
      </c>
      <c r="C2" s="78" t="s">
        <v>268</v>
      </c>
    </row>
    <row r="3" spans="2:72">
      <c r="B3" s="57" t="s">
        <v>184</v>
      </c>
      <c r="C3" s="78" t="s">
        <v>269</v>
      </c>
    </row>
    <row r="4" spans="2:72">
      <c r="B4" s="57" t="s">
        <v>185</v>
      </c>
      <c r="C4" s="78">
        <v>8803</v>
      </c>
    </row>
    <row r="6" spans="2:72" ht="26.25" customHeight="1">
      <c r="B6" s="153" t="s">
        <v>214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72" ht="26.25" customHeight="1">
      <c r="B7" s="153" t="s">
        <v>91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72" s="3" customFormat="1" ht="78.75">
      <c r="B8" s="23" t="s">
        <v>120</v>
      </c>
      <c r="C8" s="31" t="s">
        <v>47</v>
      </c>
      <c r="D8" s="31" t="s">
        <v>15</v>
      </c>
      <c r="E8" s="31" t="s">
        <v>69</v>
      </c>
      <c r="F8" s="31" t="s">
        <v>106</v>
      </c>
      <c r="G8" s="31" t="s">
        <v>18</v>
      </c>
      <c r="H8" s="31" t="s">
        <v>105</v>
      </c>
      <c r="I8" s="31" t="s">
        <v>17</v>
      </c>
      <c r="J8" s="31" t="s">
        <v>19</v>
      </c>
      <c r="K8" s="31" t="s">
        <v>243</v>
      </c>
      <c r="L8" s="31" t="s">
        <v>242</v>
      </c>
      <c r="M8" s="31" t="s">
        <v>114</v>
      </c>
      <c r="N8" s="31" t="s">
        <v>62</v>
      </c>
      <c r="O8" s="31" t="s">
        <v>186</v>
      </c>
      <c r="P8" s="32" t="s">
        <v>188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250</v>
      </c>
      <c r="L9" s="33"/>
      <c r="M9" s="33" t="s">
        <v>246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9" t="s">
        <v>29</v>
      </c>
      <c r="C11" s="80"/>
      <c r="D11" s="80"/>
      <c r="E11" s="80"/>
      <c r="F11" s="80"/>
      <c r="G11" s="88">
        <v>9.4658243065183338</v>
      </c>
      <c r="H11" s="80"/>
      <c r="I11" s="80"/>
      <c r="J11" s="103">
        <v>4.8515990213358035E-2</v>
      </c>
      <c r="K11" s="88"/>
      <c r="L11" s="80"/>
      <c r="M11" s="88">
        <v>258603.99172999998</v>
      </c>
      <c r="N11" s="80"/>
      <c r="O11" s="89">
        <f>M11/$M$11</f>
        <v>1</v>
      </c>
      <c r="P11" s="89">
        <f>M11/'סכום נכסי הקרן'!$C$42</f>
        <v>0.27211101034132679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1" t="s">
        <v>238</v>
      </c>
      <c r="C12" s="82"/>
      <c r="D12" s="82"/>
      <c r="E12" s="82"/>
      <c r="F12" s="82"/>
      <c r="G12" s="91">
        <v>9.4658243065183285</v>
      </c>
      <c r="H12" s="82"/>
      <c r="I12" s="82"/>
      <c r="J12" s="104">
        <v>4.8515990213358007E-2</v>
      </c>
      <c r="K12" s="91"/>
      <c r="L12" s="82"/>
      <c r="M12" s="91">
        <v>258603.99173000004</v>
      </c>
      <c r="N12" s="82"/>
      <c r="O12" s="92">
        <f t="shared" ref="O12:O60" si="0">M12/$M$11</f>
        <v>1.0000000000000002</v>
      </c>
      <c r="P12" s="92">
        <f>M12/'סכום נכסי הקרן'!$C$42</f>
        <v>0.27211101034132684</v>
      </c>
    </row>
    <row r="13" spans="2:72">
      <c r="B13" s="102" t="s">
        <v>70</v>
      </c>
      <c r="C13" s="82"/>
      <c r="D13" s="82"/>
      <c r="E13" s="82"/>
      <c r="F13" s="82"/>
      <c r="G13" s="91">
        <v>9.4658243065183285</v>
      </c>
      <c r="H13" s="82"/>
      <c r="I13" s="82"/>
      <c r="J13" s="104">
        <v>4.8515990213358007E-2</v>
      </c>
      <c r="K13" s="91"/>
      <c r="L13" s="82"/>
      <c r="M13" s="91">
        <v>258603.99173000004</v>
      </c>
      <c r="N13" s="82"/>
      <c r="O13" s="92">
        <f t="shared" si="0"/>
        <v>1.0000000000000002</v>
      </c>
      <c r="P13" s="92">
        <f>M13/'סכום נכסי הקרן'!$C$42</f>
        <v>0.27211101034132684</v>
      </c>
    </row>
    <row r="14" spans="2:72">
      <c r="B14" s="87" t="s">
        <v>1848</v>
      </c>
      <c r="C14" s="84" t="s">
        <v>1849</v>
      </c>
      <c r="D14" s="84" t="s">
        <v>272</v>
      </c>
      <c r="E14" s="84"/>
      <c r="F14" s="107">
        <v>40909</v>
      </c>
      <c r="G14" s="94">
        <v>5.8900000000000006</v>
      </c>
      <c r="H14" s="97" t="s">
        <v>168</v>
      </c>
      <c r="I14" s="98">
        <v>4.8000000000000001E-2</v>
      </c>
      <c r="J14" s="98">
        <v>4.8600000000000004E-2</v>
      </c>
      <c r="K14" s="94">
        <v>28000</v>
      </c>
      <c r="L14" s="108">
        <v>106.37869999999999</v>
      </c>
      <c r="M14" s="94">
        <v>29.776759999999999</v>
      </c>
      <c r="N14" s="84"/>
      <c r="O14" s="95">
        <f t="shared" si="0"/>
        <v>1.1514423965693826E-4</v>
      </c>
      <c r="P14" s="95">
        <f>M14/'סכום נכסי הקרן'!$C$42</f>
        <v>3.133201538803334E-5</v>
      </c>
    </row>
    <row r="15" spans="2:72">
      <c r="B15" s="87" t="s">
        <v>1850</v>
      </c>
      <c r="C15" s="84">
        <v>8790</v>
      </c>
      <c r="D15" s="84" t="s">
        <v>272</v>
      </c>
      <c r="E15" s="84"/>
      <c r="F15" s="107">
        <v>41030</v>
      </c>
      <c r="G15" s="94">
        <v>6.2200000000000015</v>
      </c>
      <c r="H15" s="97" t="s">
        <v>168</v>
      </c>
      <c r="I15" s="98">
        <v>4.8000000000000001E-2</v>
      </c>
      <c r="J15" s="98">
        <v>4.8600000000000011E-2</v>
      </c>
      <c r="K15" s="94">
        <v>1074000</v>
      </c>
      <c r="L15" s="108">
        <v>104.26519999999999</v>
      </c>
      <c r="M15" s="94">
        <v>1119.8223799999998</v>
      </c>
      <c r="N15" s="84"/>
      <c r="O15" s="95">
        <f t="shared" si="0"/>
        <v>4.3302594538802402E-3</v>
      </c>
      <c r="P15" s="95">
        <f>M15/'סכום נכסי הקרן'!$C$42</f>
        <v>1.1783112750354341E-3</v>
      </c>
    </row>
    <row r="16" spans="2:72">
      <c r="B16" s="87" t="s">
        <v>1851</v>
      </c>
      <c r="C16" s="84">
        <v>8805</v>
      </c>
      <c r="D16" s="84" t="s">
        <v>272</v>
      </c>
      <c r="E16" s="84"/>
      <c r="F16" s="107">
        <v>41487</v>
      </c>
      <c r="G16" s="94">
        <v>7</v>
      </c>
      <c r="H16" s="97" t="s">
        <v>168</v>
      </c>
      <c r="I16" s="98">
        <v>4.8000000000000001E-2</v>
      </c>
      <c r="J16" s="98">
        <v>4.8499999999999995E-2</v>
      </c>
      <c r="K16" s="94">
        <v>507000</v>
      </c>
      <c r="L16" s="108">
        <v>102.8857</v>
      </c>
      <c r="M16" s="94">
        <v>521.60775000000001</v>
      </c>
      <c r="N16" s="84"/>
      <c r="O16" s="95">
        <f t="shared" si="0"/>
        <v>2.0170135291051258E-3</v>
      </c>
      <c r="P16" s="95">
        <f>M16/'סכום נכסי הקרן'!$C$42</f>
        <v>5.4885158927692093E-4</v>
      </c>
    </row>
    <row r="17" spans="2:16">
      <c r="B17" s="87" t="s">
        <v>1852</v>
      </c>
      <c r="C17" s="84" t="s">
        <v>1853</v>
      </c>
      <c r="D17" s="84" t="s">
        <v>272</v>
      </c>
      <c r="E17" s="84"/>
      <c r="F17" s="107">
        <v>41609</v>
      </c>
      <c r="G17" s="94">
        <v>7.34</v>
      </c>
      <c r="H17" s="97" t="s">
        <v>168</v>
      </c>
      <c r="I17" s="98">
        <v>4.8000000000000001E-2</v>
      </c>
      <c r="J17" s="98">
        <v>4.8600000000000004E-2</v>
      </c>
      <c r="K17" s="94">
        <v>10507000</v>
      </c>
      <c r="L17" s="108">
        <v>100.4819</v>
      </c>
      <c r="M17" s="94">
        <v>10556.85802</v>
      </c>
      <c r="N17" s="84"/>
      <c r="O17" s="95">
        <f t="shared" si="0"/>
        <v>4.0822486727204399E-2</v>
      </c>
      <c r="P17" s="95">
        <f>M17/'סכום נכסי הקרן'!$C$42</f>
        <v>1.1108248107984992E-2</v>
      </c>
    </row>
    <row r="18" spans="2:16">
      <c r="B18" s="87" t="s">
        <v>1854</v>
      </c>
      <c r="C18" s="84" t="s">
        <v>1855</v>
      </c>
      <c r="D18" s="84" t="s">
        <v>272</v>
      </c>
      <c r="E18" s="84"/>
      <c r="F18" s="107">
        <v>42218</v>
      </c>
      <c r="G18" s="94">
        <v>8.2700000000000014</v>
      </c>
      <c r="H18" s="97" t="s">
        <v>168</v>
      </c>
      <c r="I18" s="98">
        <v>4.8000000000000001E-2</v>
      </c>
      <c r="J18" s="98">
        <v>4.8499999999999995E-2</v>
      </c>
      <c r="K18" s="94">
        <v>3000</v>
      </c>
      <c r="L18" s="108">
        <v>102.7769</v>
      </c>
      <c r="M18" s="94">
        <v>3.0833699999999999</v>
      </c>
      <c r="N18" s="84"/>
      <c r="O18" s="95">
        <f t="shared" si="0"/>
        <v>1.1923133820839263E-5</v>
      </c>
      <c r="P18" s="95">
        <f>M18/'סכום נכסי הקרן'!$C$42</f>
        <v>3.2444159904234161E-6</v>
      </c>
    </row>
    <row r="19" spans="2:16">
      <c r="B19" s="87" t="s">
        <v>1856</v>
      </c>
      <c r="C19" s="84" t="s">
        <v>1857</v>
      </c>
      <c r="D19" s="84" t="s">
        <v>272</v>
      </c>
      <c r="E19" s="84"/>
      <c r="F19" s="107">
        <v>42309</v>
      </c>
      <c r="G19" s="94">
        <v>8.51</v>
      </c>
      <c r="H19" s="97" t="s">
        <v>168</v>
      </c>
      <c r="I19" s="98">
        <v>4.8000000000000001E-2</v>
      </c>
      <c r="J19" s="98">
        <v>4.8500000000000008E-2</v>
      </c>
      <c r="K19" s="94">
        <v>180000</v>
      </c>
      <c r="L19" s="108">
        <v>101.9867</v>
      </c>
      <c r="M19" s="94">
        <v>183.57617000000002</v>
      </c>
      <c r="N19" s="84"/>
      <c r="O19" s="95">
        <f t="shared" si="0"/>
        <v>7.0987369054869784E-4</v>
      </c>
      <c r="P19" s="95">
        <f>M19/'סכום נכסי הקרן'!$C$42</f>
        <v>1.9316444714993254E-4</v>
      </c>
    </row>
    <row r="20" spans="2:16">
      <c r="B20" s="87" t="s">
        <v>1858</v>
      </c>
      <c r="C20" s="84" t="s">
        <v>1859</v>
      </c>
      <c r="D20" s="84" t="s">
        <v>272</v>
      </c>
      <c r="E20" s="84"/>
      <c r="F20" s="107">
        <v>42370</v>
      </c>
      <c r="G20" s="94">
        <v>8.48</v>
      </c>
      <c r="H20" s="97" t="s">
        <v>168</v>
      </c>
      <c r="I20" s="98">
        <v>4.8000000000000001E-2</v>
      </c>
      <c r="J20" s="98">
        <v>4.8499999999999995E-2</v>
      </c>
      <c r="K20" s="94">
        <v>107000</v>
      </c>
      <c r="L20" s="108">
        <v>103.9255</v>
      </c>
      <c r="M20" s="94">
        <v>111.20031</v>
      </c>
      <c r="N20" s="84"/>
      <c r="O20" s="95">
        <f t="shared" si="0"/>
        <v>4.3000229523177904E-4</v>
      </c>
      <c r="P20" s="95">
        <f>M20/'סכום נכסי הקרן'!$C$42</f>
        <v>1.1700835900460889E-4</v>
      </c>
    </row>
    <row r="21" spans="2:16">
      <c r="B21" s="87" t="s">
        <v>1860</v>
      </c>
      <c r="C21" s="84" t="s">
        <v>1861</v>
      </c>
      <c r="D21" s="84" t="s">
        <v>272</v>
      </c>
      <c r="E21" s="84"/>
      <c r="F21" s="107">
        <v>42461</v>
      </c>
      <c r="G21" s="94">
        <v>8.7200000000000006</v>
      </c>
      <c r="H21" s="97" t="s">
        <v>168</v>
      </c>
      <c r="I21" s="98">
        <v>4.8000000000000001E-2</v>
      </c>
      <c r="J21" s="98">
        <v>4.8500000000000008E-2</v>
      </c>
      <c r="K21" s="94">
        <v>1612000</v>
      </c>
      <c r="L21" s="108">
        <v>103.6403</v>
      </c>
      <c r="M21" s="94">
        <v>1670.68218</v>
      </c>
      <c r="N21" s="84"/>
      <c r="O21" s="95">
        <f t="shared" si="0"/>
        <v>6.4603882129719986E-3</v>
      </c>
      <c r="P21" s="95">
        <f>M21/'סכום נכסי הקרן'!$C$42</f>
        <v>1.7579427638290093E-3</v>
      </c>
    </row>
    <row r="22" spans="2:16">
      <c r="B22" s="87" t="s">
        <v>1862</v>
      </c>
      <c r="C22" s="84" t="s">
        <v>1863</v>
      </c>
      <c r="D22" s="84" t="s">
        <v>272</v>
      </c>
      <c r="E22" s="84"/>
      <c r="F22" s="107">
        <v>42491</v>
      </c>
      <c r="G22" s="94">
        <v>8.81</v>
      </c>
      <c r="H22" s="97" t="s">
        <v>168</v>
      </c>
      <c r="I22" s="98">
        <v>4.8000000000000001E-2</v>
      </c>
      <c r="J22" s="98">
        <v>4.8600000000000004E-2</v>
      </c>
      <c r="K22" s="94">
        <v>2873000</v>
      </c>
      <c r="L22" s="108">
        <v>103.4418</v>
      </c>
      <c r="M22" s="94">
        <v>2971.8839900000003</v>
      </c>
      <c r="N22" s="84"/>
      <c r="O22" s="95">
        <f t="shared" si="0"/>
        <v>1.1492026747610485E-2</v>
      </c>
      <c r="P22" s="95">
        <f>M22/'סכום נכסי הקרן'!$C$42</f>
        <v>3.1271070091618406E-3</v>
      </c>
    </row>
    <row r="23" spans="2:16">
      <c r="B23" s="87" t="s">
        <v>1864</v>
      </c>
      <c r="C23" s="84" t="s">
        <v>1865</v>
      </c>
      <c r="D23" s="84" t="s">
        <v>272</v>
      </c>
      <c r="E23" s="84"/>
      <c r="F23" s="107">
        <v>42522</v>
      </c>
      <c r="G23" s="94">
        <v>8.8899999999999988</v>
      </c>
      <c r="H23" s="97" t="s">
        <v>168</v>
      </c>
      <c r="I23" s="98">
        <v>4.8000000000000001E-2</v>
      </c>
      <c r="J23" s="98">
        <v>4.8499999999999995E-2</v>
      </c>
      <c r="K23" s="94">
        <v>3590000</v>
      </c>
      <c r="L23" s="108">
        <v>102.6153</v>
      </c>
      <c r="M23" s="94">
        <v>3683.8874700000001</v>
      </c>
      <c r="N23" s="84"/>
      <c r="O23" s="95">
        <f t="shared" si="0"/>
        <v>1.424528463522801E-2</v>
      </c>
      <c r="P23" s="95">
        <f>M23/'סכום נכסי הקרן'!$C$42</f>
        <v>3.876298794691673E-3</v>
      </c>
    </row>
    <row r="24" spans="2:16">
      <c r="B24" s="87" t="s">
        <v>1866</v>
      </c>
      <c r="C24" s="84" t="s">
        <v>1867</v>
      </c>
      <c r="D24" s="84" t="s">
        <v>272</v>
      </c>
      <c r="E24" s="84"/>
      <c r="F24" s="107">
        <v>42552</v>
      </c>
      <c r="G24" s="94">
        <v>8.77</v>
      </c>
      <c r="H24" s="97" t="s">
        <v>168</v>
      </c>
      <c r="I24" s="98">
        <v>4.8000000000000001E-2</v>
      </c>
      <c r="J24" s="98">
        <v>4.8500000000000008E-2</v>
      </c>
      <c r="K24" s="94">
        <v>4923000</v>
      </c>
      <c r="L24" s="108">
        <v>104.34529999999999</v>
      </c>
      <c r="M24" s="94">
        <v>5136.9458700000005</v>
      </c>
      <c r="N24" s="84"/>
      <c r="O24" s="95">
        <f t="shared" si="0"/>
        <v>1.9864139898363668E-2</v>
      </c>
      <c r="P24" s="95">
        <f>M24/'סכום נכסי הקרן'!$C$42</f>
        <v>5.4052511773051981E-3</v>
      </c>
    </row>
    <row r="25" spans="2:16">
      <c r="B25" s="87" t="s">
        <v>1868</v>
      </c>
      <c r="C25" s="84" t="s">
        <v>1869</v>
      </c>
      <c r="D25" s="84" t="s">
        <v>272</v>
      </c>
      <c r="E25" s="84"/>
      <c r="F25" s="107">
        <v>42583</v>
      </c>
      <c r="G25" s="94">
        <v>8.85</v>
      </c>
      <c r="H25" s="97" t="s">
        <v>168</v>
      </c>
      <c r="I25" s="98">
        <v>4.8000000000000001E-2</v>
      </c>
      <c r="J25" s="98">
        <v>4.8499999999999995E-2</v>
      </c>
      <c r="K25" s="94">
        <v>37044000</v>
      </c>
      <c r="L25" s="108">
        <v>103.63079999999999</v>
      </c>
      <c r="M25" s="94">
        <v>38388.962740000003</v>
      </c>
      <c r="N25" s="84"/>
      <c r="O25" s="95">
        <f t="shared" si="0"/>
        <v>0.14844690711534209</v>
      </c>
      <c r="P25" s="95">
        <f>M25/'סכום נכסי הקרן'!$C$42</f>
        <v>4.0394037877200833E-2</v>
      </c>
    </row>
    <row r="26" spans="2:16">
      <c r="B26" s="87" t="s">
        <v>1870</v>
      </c>
      <c r="C26" s="84" t="s">
        <v>1871</v>
      </c>
      <c r="D26" s="84" t="s">
        <v>272</v>
      </c>
      <c r="E26" s="84"/>
      <c r="F26" s="107">
        <v>42614</v>
      </c>
      <c r="G26" s="94">
        <v>8.93</v>
      </c>
      <c r="H26" s="97" t="s">
        <v>168</v>
      </c>
      <c r="I26" s="98">
        <v>4.8000000000000001E-2</v>
      </c>
      <c r="J26" s="98">
        <v>4.8499999999999995E-2</v>
      </c>
      <c r="K26" s="94">
        <v>27007000</v>
      </c>
      <c r="L26" s="108">
        <v>102.79649999999999</v>
      </c>
      <c r="M26" s="94">
        <v>27762.026850000002</v>
      </c>
      <c r="N26" s="84"/>
      <c r="O26" s="95">
        <f t="shared" si="0"/>
        <v>0.10735343512789018</v>
      </c>
      <c r="P26" s="95">
        <f>M26/'סכום נכסי הקרן'!$C$42</f>
        <v>2.9212051696262283E-2</v>
      </c>
    </row>
    <row r="27" spans="2:16">
      <c r="B27" s="87" t="s">
        <v>1872</v>
      </c>
      <c r="C27" s="84" t="s">
        <v>1873</v>
      </c>
      <c r="D27" s="84" t="s">
        <v>272</v>
      </c>
      <c r="E27" s="84"/>
      <c r="F27" s="107">
        <v>42644</v>
      </c>
      <c r="G27" s="94">
        <v>9.0200000000000014</v>
      </c>
      <c r="H27" s="97" t="s">
        <v>168</v>
      </c>
      <c r="I27" s="98">
        <v>4.8000000000000001E-2</v>
      </c>
      <c r="J27" s="98">
        <v>4.8600000000000004E-2</v>
      </c>
      <c r="K27" s="94">
        <v>4931000</v>
      </c>
      <c r="L27" s="108">
        <v>102.7002</v>
      </c>
      <c r="M27" s="94">
        <v>5064.1218799999997</v>
      </c>
      <c r="N27" s="84"/>
      <c r="O27" s="95">
        <f t="shared" si="0"/>
        <v>1.9582535621829399E-2</v>
      </c>
      <c r="P27" s="95">
        <f>M27/'סכום נכסי הקרן'!$C$42</f>
        <v>5.3286235531010201E-3</v>
      </c>
    </row>
    <row r="28" spans="2:16">
      <c r="B28" s="87" t="s">
        <v>1874</v>
      </c>
      <c r="C28" s="84" t="s">
        <v>1875</v>
      </c>
      <c r="D28" s="84" t="s">
        <v>272</v>
      </c>
      <c r="E28" s="84"/>
      <c r="F28" s="107">
        <v>42675</v>
      </c>
      <c r="G28" s="94">
        <v>9.1</v>
      </c>
      <c r="H28" s="97" t="s">
        <v>168</v>
      </c>
      <c r="I28" s="98">
        <v>4.8000000000000001E-2</v>
      </c>
      <c r="J28" s="98">
        <v>4.8499999999999995E-2</v>
      </c>
      <c r="K28" s="94">
        <v>1958000</v>
      </c>
      <c r="L28" s="108">
        <v>102.3974</v>
      </c>
      <c r="M28" s="94">
        <v>2004.9462900000001</v>
      </c>
      <c r="N28" s="84"/>
      <c r="O28" s="95">
        <f t="shared" si="0"/>
        <v>7.7529595602425939E-3</v>
      </c>
      <c r="P28" s="95">
        <f>M28/'סכום נכסי הקרן'!$C$42</f>
        <v>2.109665659073061E-3</v>
      </c>
    </row>
    <row r="29" spans="2:16">
      <c r="B29" s="87" t="s">
        <v>1876</v>
      </c>
      <c r="C29" s="84" t="s">
        <v>1877</v>
      </c>
      <c r="D29" s="84" t="s">
        <v>272</v>
      </c>
      <c r="E29" s="84"/>
      <c r="F29" s="107">
        <v>42705</v>
      </c>
      <c r="G29" s="94">
        <v>9.1900000000000013</v>
      </c>
      <c r="H29" s="97" t="s">
        <v>168</v>
      </c>
      <c r="I29" s="98">
        <v>4.8000000000000001E-2</v>
      </c>
      <c r="J29" s="98">
        <v>4.8500000000000008E-2</v>
      </c>
      <c r="K29" s="94">
        <v>2986000</v>
      </c>
      <c r="L29" s="108">
        <v>101.7881</v>
      </c>
      <c r="M29" s="94">
        <v>3039.3952599999998</v>
      </c>
      <c r="N29" s="84"/>
      <c r="O29" s="95">
        <f t="shared" si="0"/>
        <v>1.1753087180391761E-2</v>
      </c>
      <c r="P29" s="95">
        <f>M29/'סכום נכסי הקרן'!$C$42</f>
        <v>3.198144427286098E-3</v>
      </c>
    </row>
    <row r="30" spans="2:16">
      <c r="B30" s="87" t="s">
        <v>1878</v>
      </c>
      <c r="C30" s="84" t="s">
        <v>1879</v>
      </c>
      <c r="D30" s="84" t="s">
        <v>272</v>
      </c>
      <c r="E30" s="84"/>
      <c r="F30" s="107">
        <v>42736</v>
      </c>
      <c r="G30" s="94">
        <v>9.0499999999999989</v>
      </c>
      <c r="H30" s="97" t="s">
        <v>168</v>
      </c>
      <c r="I30" s="98">
        <v>4.8000000000000001E-2</v>
      </c>
      <c r="J30" s="98">
        <v>4.8499999999999995E-2</v>
      </c>
      <c r="K30" s="94">
        <v>936000</v>
      </c>
      <c r="L30" s="108">
        <v>104.24</v>
      </c>
      <c r="M30" s="94">
        <v>975.68616000000009</v>
      </c>
      <c r="N30" s="84"/>
      <c r="O30" s="95">
        <f t="shared" si="0"/>
        <v>3.7728967502507938E-3</v>
      </c>
      <c r="P30" s="95">
        <f>M30/'סכום נכסי הקרן'!$C$42</f>
        <v>1.026646746624252E-3</v>
      </c>
    </row>
    <row r="31" spans="2:16">
      <c r="B31" s="87" t="s">
        <v>1880</v>
      </c>
      <c r="C31" s="84" t="s">
        <v>1881</v>
      </c>
      <c r="D31" s="84" t="s">
        <v>272</v>
      </c>
      <c r="E31" s="84"/>
      <c r="F31" s="107">
        <v>42767</v>
      </c>
      <c r="G31" s="94">
        <v>9.129999999999999</v>
      </c>
      <c r="H31" s="97" t="s">
        <v>168</v>
      </c>
      <c r="I31" s="98">
        <v>4.8000000000000001E-2</v>
      </c>
      <c r="J31" s="98">
        <v>4.8499999999999995E-2</v>
      </c>
      <c r="K31" s="94">
        <v>2040000</v>
      </c>
      <c r="L31" s="108">
        <v>103.8287</v>
      </c>
      <c r="M31" s="94">
        <v>2118.1046000000001</v>
      </c>
      <c r="N31" s="84"/>
      <c r="O31" s="95">
        <f t="shared" si="0"/>
        <v>8.1905332776589321E-3</v>
      </c>
      <c r="P31" s="95">
        <f>M31/'סכום נכסי הקרן'!$C$42</f>
        <v>2.2287342854180312E-3</v>
      </c>
    </row>
    <row r="32" spans="2:16">
      <c r="B32" s="87" t="s">
        <v>1882</v>
      </c>
      <c r="C32" s="84" t="s">
        <v>1883</v>
      </c>
      <c r="D32" s="84" t="s">
        <v>272</v>
      </c>
      <c r="E32" s="84"/>
      <c r="F32" s="107">
        <v>42795</v>
      </c>
      <c r="G32" s="94">
        <v>9.2200000000000006</v>
      </c>
      <c r="H32" s="97" t="s">
        <v>168</v>
      </c>
      <c r="I32" s="98">
        <v>4.8000000000000001E-2</v>
      </c>
      <c r="J32" s="98">
        <v>4.8500000000000008E-2</v>
      </c>
      <c r="K32" s="94">
        <v>3984000</v>
      </c>
      <c r="L32" s="108">
        <v>103.6262</v>
      </c>
      <c r="M32" s="94">
        <v>4128.4696899999999</v>
      </c>
      <c r="N32" s="84"/>
      <c r="O32" s="95">
        <f t="shared" si="0"/>
        <v>1.5964446884139363E-2</v>
      </c>
      <c r="P32" s="95">
        <f>M32/'סכום נכסי הקרן'!$C$42</f>
        <v>4.3441017711836087E-3</v>
      </c>
    </row>
    <row r="33" spans="2:16">
      <c r="B33" s="87" t="s">
        <v>1884</v>
      </c>
      <c r="C33" s="84" t="s">
        <v>1885</v>
      </c>
      <c r="D33" s="84" t="s">
        <v>272</v>
      </c>
      <c r="E33" s="84"/>
      <c r="F33" s="107">
        <v>42826</v>
      </c>
      <c r="G33" s="94">
        <v>9.3000000000000007</v>
      </c>
      <c r="H33" s="97" t="s">
        <v>168</v>
      </c>
      <c r="I33" s="98">
        <v>4.8000000000000001E-2</v>
      </c>
      <c r="J33" s="98">
        <v>4.8499999999999995E-2</v>
      </c>
      <c r="K33" s="94">
        <v>4341000</v>
      </c>
      <c r="L33" s="108">
        <v>103.21729999999999</v>
      </c>
      <c r="M33" s="94">
        <v>4480.6647599999997</v>
      </c>
      <c r="N33" s="84"/>
      <c r="O33" s="95">
        <f t="shared" si="0"/>
        <v>1.7326355753541949E-2</v>
      </c>
      <c r="P33" s="95">
        <f>M33/'סכום נכסי הקרן'!$C$42</f>
        <v>4.7146921696295608E-3</v>
      </c>
    </row>
    <row r="34" spans="2:16">
      <c r="B34" s="87" t="s">
        <v>1886</v>
      </c>
      <c r="C34" s="84" t="s">
        <v>1887</v>
      </c>
      <c r="D34" s="84" t="s">
        <v>272</v>
      </c>
      <c r="E34" s="84"/>
      <c r="F34" s="107">
        <v>42856</v>
      </c>
      <c r="G34" s="94">
        <v>9.379999999999999</v>
      </c>
      <c r="H34" s="97" t="s">
        <v>168</v>
      </c>
      <c r="I34" s="98">
        <v>4.8000000000000001E-2</v>
      </c>
      <c r="J34" s="98">
        <v>4.8600000000000004E-2</v>
      </c>
      <c r="K34" s="94">
        <v>3371731</v>
      </c>
      <c r="L34" s="108">
        <v>102.4982</v>
      </c>
      <c r="M34" s="94">
        <v>3455.7390399999999</v>
      </c>
      <c r="N34" s="84"/>
      <c r="O34" s="95">
        <f t="shared" si="0"/>
        <v>1.336305374438313E-2</v>
      </c>
      <c r="P34" s="95">
        <f>M34/'סכום נכסי הקרן'!$C$42</f>
        <v>3.6362340556295434E-3</v>
      </c>
    </row>
    <row r="35" spans="2:16">
      <c r="B35" s="87" t="s">
        <v>1888</v>
      </c>
      <c r="C35" s="84" t="s">
        <v>1889</v>
      </c>
      <c r="D35" s="84" t="s">
        <v>272</v>
      </c>
      <c r="E35" s="84"/>
      <c r="F35" s="107">
        <v>42887</v>
      </c>
      <c r="G35" s="94">
        <v>9.4699999999999989</v>
      </c>
      <c r="H35" s="97" t="s">
        <v>168</v>
      </c>
      <c r="I35" s="98">
        <v>4.8000000000000001E-2</v>
      </c>
      <c r="J35" s="98">
        <v>4.8599999999999997E-2</v>
      </c>
      <c r="K35" s="94">
        <v>11736000</v>
      </c>
      <c r="L35" s="108">
        <v>101.89319999999999</v>
      </c>
      <c r="M35" s="94">
        <v>11957.318060000001</v>
      </c>
      <c r="N35" s="84"/>
      <c r="O35" s="95">
        <f t="shared" si="0"/>
        <v>4.6237948532844957E-2</v>
      </c>
      <c r="P35" s="95">
        <f>M35/'סכום נכסי הקרן'!$C$42</f>
        <v>1.2581854891382711E-2</v>
      </c>
    </row>
    <row r="36" spans="2:16">
      <c r="B36" s="87" t="s">
        <v>1890</v>
      </c>
      <c r="C36" s="84" t="s">
        <v>1891</v>
      </c>
      <c r="D36" s="84" t="s">
        <v>272</v>
      </c>
      <c r="E36" s="84"/>
      <c r="F36" s="107">
        <v>42949</v>
      </c>
      <c r="G36" s="94">
        <v>9.4099999999999984</v>
      </c>
      <c r="H36" s="97" t="s">
        <v>168</v>
      </c>
      <c r="I36" s="98">
        <v>4.8000000000000001E-2</v>
      </c>
      <c r="J36" s="98">
        <v>4.8499999999999995E-2</v>
      </c>
      <c r="K36" s="94">
        <v>2609000</v>
      </c>
      <c r="L36" s="108">
        <v>103.8266</v>
      </c>
      <c r="M36" s="94">
        <v>2708.8363300000001</v>
      </c>
      <c r="N36" s="84"/>
      <c r="O36" s="95">
        <f t="shared" si="0"/>
        <v>1.0474843454188473E-2</v>
      </c>
      <c r="P36" s="95">
        <f>M36/'סכום נכסי הקרן'!$C$42</f>
        <v>2.8503202354864588E-3</v>
      </c>
    </row>
    <row r="37" spans="2:16">
      <c r="B37" s="87" t="s">
        <v>1892</v>
      </c>
      <c r="C37" s="84" t="s">
        <v>1893</v>
      </c>
      <c r="D37" s="84" t="s">
        <v>272</v>
      </c>
      <c r="E37" s="84"/>
      <c r="F37" s="107">
        <v>42979</v>
      </c>
      <c r="G37" s="94">
        <v>9.49</v>
      </c>
      <c r="H37" s="97" t="s">
        <v>168</v>
      </c>
      <c r="I37" s="98">
        <v>4.8000000000000001E-2</v>
      </c>
      <c r="J37" s="98">
        <v>4.8500000000000008E-2</v>
      </c>
      <c r="K37" s="94">
        <v>4767000</v>
      </c>
      <c r="L37" s="108">
        <v>103.5342</v>
      </c>
      <c r="M37" s="94">
        <v>4935.4755400000004</v>
      </c>
      <c r="N37" s="84"/>
      <c r="O37" s="95">
        <f t="shared" si="0"/>
        <v>1.9085070988204118E-2</v>
      </c>
      <c r="P37" s="95">
        <f>M37/'סכום נכסי הקרן'!$C$42</f>
        <v>5.1932579490361671E-3</v>
      </c>
    </row>
    <row r="38" spans="2:16">
      <c r="B38" s="87" t="s">
        <v>1894</v>
      </c>
      <c r="C38" s="84" t="s">
        <v>1895</v>
      </c>
      <c r="D38" s="84" t="s">
        <v>272</v>
      </c>
      <c r="E38" s="84"/>
      <c r="F38" s="107">
        <v>43009</v>
      </c>
      <c r="G38" s="94">
        <v>9.5799999999999983</v>
      </c>
      <c r="H38" s="97" t="s">
        <v>168</v>
      </c>
      <c r="I38" s="98">
        <v>4.8000000000000001E-2</v>
      </c>
      <c r="J38" s="98">
        <v>4.8499999999999995E-2</v>
      </c>
      <c r="K38" s="94">
        <v>4151000</v>
      </c>
      <c r="L38" s="108">
        <v>102.8169</v>
      </c>
      <c r="M38" s="94">
        <v>4267.9312300000001</v>
      </c>
      <c r="N38" s="84"/>
      <c r="O38" s="95">
        <f t="shared" si="0"/>
        <v>1.6503732991314413E-2</v>
      </c>
      <c r="P38" s="95">
        <f>M38/'סכום נכסי הקרן'!$C$42</f>
        <v>4.4908474586700525E-3</v>
      </c>
    </row>
    <row r="39" spans="2:16">
      <c r="B39" s="87" t="s">
        <v>1896</v>
      </c>
      <c r="C39" s="84" t="s">
        <v>1897</v>
      </c>
      <c r="D39" s="84" t="s">
        <v>272</v>
      </c>
      <c r="E39" s="84"/>
      <c r="F39" s="107">
        <v>43040</v>
      </c>
      <c r="G39" s="94">
        <v>9.66</v>
      </c>
      <c r="H39" s="97" t="s">
        <v>168</v>
      </c>
      <c r="I39" s="98">
        <v>4.8000000000000001E-2</v>
      </c>
      <c r="J39" s="98">
        <v>4.8500000000000008E-2</v>
      </c>
      <c r="K39" s="94">
        <v>2418000</v>
      </c>
      <c r="L39" s="108">
        <v>102.3092</v>
      </c>
      <c r="M39" s="94">
        <v>2473.8391299999998</v>
      </c>
      <c r="N39" s="84"/>
      <c r="O39" s="95">
        <f t="shared" si="0"/>
        <v>9.5661289427537329E-3</v>
      </c>
      <c r="P39" s="95">
        <f>M39/'סכום נכסי הקרן'!$C$42</f>
        <v>2.6030490116681266E-3</v>
      </c>
    </row>
    <row r="40" spans="2:16">
      <c r="B40" s="87" t="s">
        <v>1898</v>
      </c>
      <c r="C40" s="84" t="s">
        <v>1899</v>
      </c>
      <c r="D40" s="84" t="s">
        <v>272</v>
      </c>
      <c r="E40" s="84"/>
      <c r="F40" s="107">
        <v>43070</v>
      </c>
      <c r="G40" s="94">
        <v>9.74</v>
      </c>
      <c r="H40" s="97" t="s">
        <v>168</v>
      </c>
      <c r="I40" s="98">
        <v>4.8000000000000001E-2</v>
      </c>
      <c r="J40" s="98">
        <v>4.8499999999999995E-2</v>
      </c>
      <c r="K40" s="94">
        <v>5183000</v>
      </c>
      <c r="L40" s="108">
        <v>101.60169999999999</v>
      </c>
      <c r="M40" s="94">
        <v>5266.0184300000001</v>
      </c>
      <c r="N40" s="84"/>
      <c r="O40" s="95">
        <f t="shared" si="0"/>
        <v>2.036325268906939E-2</v>
      </c>
      <c r="P40" s="95">
        <f>M40/'סכום נכסי הקרן'!$C$42</f>
        <v>5.5410652630584114E-3</v>
      </c>
    </row>
    <row r="41" spans="2:16">
      <c r="B41" s="87" t="s">
        <v>1900</v>
      </c>
      <c r="C41" s="84" t="s">
        <v>1901</v>
      </c>
      <c r="D41" s="84" t="s">
        <v>272</v>
      </c>
      <c r="E41" s="84"/>
      <c r="F41" s="107">
        <v>43101</v>
      </c>
      <c r="G41" s="94">
        <v>9.6000000000000014</v>
      </c>
      <c r="H41" s="97" t="s">
        <v>168</v>
      </c>
      <c r="I41" s="98">
        <v>4.8000000000000001E-2</v>
      </c>
      <c r="J41" s="98">
        <v>4.8500000000000008E-2</v>
      </c>
      <c r="K41" s="94">
        <v>4713000</v>
      </c>
      <c r="L41" s="108">
        <v>103.93980000000001</v>
      </c>
      <c r="M41" s="94">
        <v>4898.6816399999998</v>
      </c>
      <c r="N41" s="84"/>
      <c r="O41" s="95">
        <f t="shared" si="0"/>
        <v>1.8942792055253944E-2</v>
      </c>
      <c r="P41" s="95">
        <f>M41/'סכום נכסי הקרן'!$C$42</f>
        <v>5.1545422848408087E-3</v>
      </c>
    </row>
    <row r="42" spans="2:16">
      <c r="B42" s="87" t="s">
        <v>1902</v>
      </c>
      <c r="C42" s="84" t="s">
        <v>1903</v>
      </c>
      <c r="D42" s="84" t="s">
        <v>272</v>
      </c>
      <c r="E42" s="84"/>
      <c r="F42" s="107">
        <v>43132</v>
      </c>
      <c r="G42" s="94">
        <v>9.68</v>
      </c>
      <c r="H42" s="97" t="s">
        <v>168</v>
      </c>
      <c r="I42" s="98">
        <v>4.8000000000000001E-2</v>
      </c>
      <c r="J42" s="98">
        <v>4.8499999999999995E-2</v>
      </c>
      <c r="K42" s="94">
        <v>3304000</v>
      </c>
      <c r="L42" s="108">
        <v>103.4211</v>
      </c>
      <c r="M42" s="94">
        <v>3417.2149100000001</v>
      </c>
      <c r="N42" s="84"/>
      <c r="O42" s="95">
        <f t="shared" si="0"/>
        <v>1.3214084156782093E-2</v>
      </c>
      <c r="P42" s="95">
        <f>M42/'סכום נכסי הקרן'!$C$42</f>
        <v>3.5956977906372949E-3</v>
      </c>
    </row>
    <row r="43" spans="2:16">
      <c r="B43" s="87" t="s">
        <v>1904</v>
      </c>
      <c r="C43" s="84" t="s">
        <v>1905</v>
      </c>
      <c r="D43" s="84" t="s">
        <v>272</v>
      </c>
      <c r="E43" s="84"/>
      <c r="F43" s="107">
        <v>43161</v>
      </c>
      <c r="G43" s="94">
        <v>9.77</v>
      </c>
      <c r="H43" s="97" t="s">
        <v>168</v>
      </c>
      <c r="I43" s="98">
        <v>4.8000000000000001E-2</v>
      </c>
      <c r="J43" s="98">
        <v>4.8499999999999995E-2</v>
      </c>
      <c r="K43" s="94">
        <v>3485000</v>
      </c>
      <c r="L43" s="108">
        <v>103.5206</v>
      </c>
      <c r="M43" s="94">
        <v>3607.6918100000003</v>
      </c>
      <c r="N43" s="84"/>
      <c r="O43" s="95">
        <f t="shared" si="0"/>
        <v>1.3950642392893432E-2</v>
      </c>
      <c r="P43" s="95">
        <f>M43/'סכום נכסי הקרן'!$C$42</f>
        <v>3.7961233964407767E-3</v>
      </c>
    </row>
    <row r="44" spans="2:16">
      <c r="B44" s="87" t="s">
        <v>1906</v>
      </c>
      <c r="C44" s="84" t="s">
        <v>1907</v>
      </c>
      <c r="D44" s="84" t="s">
        <v>272</v>
      </c>
      <c r="E44" s="84"/>
      <c r="F44" s="107">
        <v>43221</v>
      </c>
      <c r="G44" s="94">
        <v>9.93</v>
      </c>
      <c r="H44" s="97" t="s">
        <v>168</v>
      </c>
      <c r="I44" s="98">
        <v>4.8000000000000001E-2</v>
      </c>
      <c r="J44" s="98">
        <v>4.8500000000000008E-2</v>
      </c>
      <c r="K44" s="94">
        <v>138000</v>
      </c>
      <c r="L44" s="108">
        <v>102.29810000000001</v>
      </c>
      <c r="M44" s="94">
        <v>141.18686</v>
      </c>
      <c r="N44" s="84"/>
      <c r="O44" s="95">
        <f t="shared" si="0"/>
        <v>5.4595777526670437E-4</v>
      </c>
      <c r="P44" s="95">
        <f>M44/'סכום נכסי הקרן'!$C$42</f>
        <v>1.4856112183152595E-4</v>
      </c>
    </row>
    <row r="45" spans="2:16">
      <c r="B45" s="87" t="s">
        <v>1908</v>
      </c>
      <c r="C45" s="84" t="s">
        <v>1909</v>
      </c>
      <c r="D45" s="84" t="s">
        <v>272</v>
      </c>
      <c r="E45" s="84"/>
      <c r="F45" s="107">
        <v>43252</v>
      </c>
      <c r="G45" s="94">
        <v>10.02</v>
      </c>
      <c r="H45" s="97" t="s">
        <v>168</v>
      </c>
      <c r="I45" s="98">
        <v>4.8000000000000001E-2</v>
      </c>
      <c r="J45" s="98">
        <v>4.8499999999999995E-2</v>
      </c>
      <c r="K45" s="94">
        <v>2416000</v>
      </c>
      <c r="L45" s="108">
        <v>101.49979999999999</v>
      </c>
      <c r="M45" s="94">
        <v>2452.2624999999998</v>
      </c>
      <c r="N45" s="84"/>
      <c r="O45" s="95">
        <f t="shared" si="0"/>
        <v>9.4826939197455527E-3</v>
      </c>
      <c r="P45" s="95">
        <f>M45/'סכום נכסי הקרן'!$C$42</f>
        <v>2.5803454232595185E-3</v>
      </c>
    </row>
    <row r="46" spans="2:16">
      <c r="B46" s="87" t="s">
        <v>1910</v>
      </c>
      <c r="C46" s="84" t="s">
        <v>1911</v>
      </c>
      <c r="D46" s="84" t="s">
        <v>272</v>
      </c>
      <c r="E46" s="84"/>
      <c r="F46" s="107">
        <v>43282</v>
      </c>
      <c r="G46" s="94">
        <v>9.86</v>
      </c>
      <c r="H46" s="97" t="s">
        <v>168</v>
      </c>
      <c r="I46" s="98">
        <v>4.8000000000000001E-2</v>
      </c>
      <c r="J46" s="98">
        <v>4.8499999999999995E-2</v>
      </c>
      <c r="K46" s="94">
        <v>2594000</v>
      </c>
      <c r="L46" s="108">
        <v>103.01560000000001</v>
      </c>
      <c r="M46" s="94">
        <v>2672.2199900000001</v>
      </c>
      <c r="N46" s="84"/>
      <c r="O46" s="95">
        <f t="shared" si="0"/>
        <v>1.0333251130902797E-2</v>
      </c>
      <c r="P46" s="95">
        <f>M46/'סכום נכסי הקרן'!$C$42</f>
        <v>2.811791405340618E-3</v>
      </c>
    </row>
    <row r="47" spans="2:16">
      <c r="B47" s="87" t="s">
        <v>1912</v>
      </c>
      <c r="C47" s="84" t="s">
        <v>1913</v>
      </c>
      <c r="D47" s="84" t="s">
        <v>272</v>
      </c>
      <c r="E47" s="84"/>
      <c r="F47" s="107">
        <v>43313</v>
      </c>
      <c r="G47" s="94">
        <v>9.94</v>
      </c>
      <c r="H47" s="97" t="s">
        <v>168</v>
      </c>
      <c r="I47" s="98">
        <v>4.8000000000000001E-2</v>
      </c>
      <c r="J47" s="98">
        <v>4.8499999999999995E-2</v>
      </c>
      <c r="K47" s="94">
        <v>768000</v>
      </c>
      <c r="L47" s="108">
        <v>102.4871</v>
      </c>
      <c r="M47" s="94">
        <v>787.25924999999995</v>
      </c>
      <c r="N47" s="84"/>
      <c r="O47" s="95">
        <f t="shared" si="0"/>
        <v>3.0442656539576996E-3</v>
      </c>
      <c r="P47" s="95">
        <f>M47/'סכום נכסי הקרן'!$C$42</f>
        <v>8.283782028458296E-4</v>
      </c>
    </row>
    <row r="48" spans="2:16">
      <c r="B48" s="87" t="s">
        <v>1914</v>
      </c>
      <c r="C48" s="84" t="s">
        <v>1915</v>
      </c>
      <c r="D48" s="84" t="s">
        <v>272</v>
      </c>
      <c r="E48" s="84"/>
      <c r="F48" s="107">
        <v>43345</v>
      </c>
      <c r="G48" s="94">
        <v>10.030000000000001</v>
      </c>
      <c r="H48" s="97" t="s">
        <v>168</v>
      </c>
      <c r="I48" s="98">
        <v>4.8000000000000001E-2</v>
      </c>
      <c r="J48" s="98">
        <v>4.8500000000000008E-2</v>
      </c>
      <c r="K48" s="94">
        <v>2498000</v>
      </c>
      <c r="L48" s="108">
        <v>102.0659</v>
      </c>
      <c r="M48" s="94">
        <v>2550.20505</v>
      </c>
      <c r="N48" s="84"/>
      <c r="O48" s="95">
        <f t="shared" si="0"/>
        <v>9.8614295662635635E-3</v>
      </c>
      <c r="P48" s="95">
        <f>M48/'סכום נכסי הקרן'!$C$42</f>
        <v>2.6834035626858107E-3</v>
      </c>
    </row>
    <row r="49" spans="2:16">
      <c r="B49" s="87" t="s">
        <v>1916</v>
      </c>
      <c r="C49" s="84" t="s">
        <v>1917</v>
      </c>
      <c r="D49" s="84" t="s">
        <v>272</v>
      </c>
      <c r="E49" s="84"/>
      <c r="F49" s="107">
        <v>43375</v>
      </c>
      <c r="G49" s="94">
        <v>10.11</v>
      </c>
      <c r="H49" s="97" t="s">
        <v>168</v>
      </c>
      <c r="I49" s="98">
        <v>4.8000000000000001E-2</v>
      </c>
      <c r="J49" s="98">
        <v>4.8499999999999995E-2</v>
      </c>
      <c r="K49" s="94">
        <v>2401000</v>
      </c>
      <c r="L49" s="108">
        <v>101.5868</v>
      </c>
      <c r="M49" s="94">
        <v>2439.0998300000001</v>
      </c>
      <c r="N49" s="84"/>
      <c r="O49" s="95">
        <f t="shared" si="0"/>
        <v>9.4317949761061112E-3</v>
      </c>
      <c r="P49" s="95">
        <f>M49/'סכום נכסי הקרן'!$C$42</f>
        <v>2.566495260280484E-3</v>
      </c>
    </row>
    <row r="50" spans="2:16">
      <c r="B50" s="87" t="s">
        <v>1918</v>
      </c>
      <c r="C50" s="84" t="s">
        <v>1919</v>
      </c>
      <c r="D50" s="84" t="s">
        <v>272</v>
      </c>
      <c r="E50" s="84"/>
      <c r="F50" s="107">
        <v>43435</v>
      </c>
      <c r="G50" s="94">
        <v>10.28</v>
      </c>
      <c r="H50" s="97" t="s">
        <v>168</v>
      </c>
      <c r="I50" s="98">
        <v>4.8000000000000001E-2</v>
      </c>
      <c r="J50" s="98">
        <v>4.8500000000000008E-2</v>
      </c>
      <c r="K50" s="94">
        <v>4620000</v>
      </c>
      <c r="L50" s="108">
        <v>100.404</v>
      </c>
      <c r="M50" s="94">
        <v>4638.67058</v>
      </c>
      <c r="N50" s="84"/>
      <c r="O50" s="95">
        <f t="shared" si="0"/>
        <v>1.7937351039975766E-2</v>
      </c>
      <c r="P50" s="95">
        <f>M50/'סכום נכסי הקרן'!$C$42</f>
        <v>4.8809507143348554E-3</v>
      </c>
    </row>
    <row r="51" spans="2:16">
      <c r="B51" s="87" t="s">
        <v>1920</v>
      </c>
      <c r="C51" s="84" t="s">
        <v>1921</v>
      </c>
      <c r="D51" s="84" t="s">
        <v>272</v>
      </c>
      <c r="E51" s="84"/>
      <c r="F51" s="107">
        <v>43497</v>
      </c>
      <c r="G51" s="94">
        <v>10.200000000000001</v>
      </c>
      <c r="H51" s="97" t="s">
        <v>168</v>
      </c>
      <c r="I51" s="98">
        <v>4.8000000000000001E-2</v>
      </c>
      <c r="J51" s="98">
        <v>4.8500000000000008E-2</v>
      </c>
      <c r="K51" s="94">
        <v>8738000</v>
      </c>
      <c r="L51" s="108">
        <v>102.6078</v>
      </c>
      <c r="M51" s="94">
        <v>8965.9771999999994</v>
      </c>
      <c r="N51" s="84"/>
      <c r="O51" s="95">
        <f t="shared" si="0"/>
        <v>3.4670683696797246E-2</v>
      </c>
      <c r="P51" s="95">
        <f>M51/'סכום נכסי הקרן'!$C$42</f>
        <v>9.4342747699600656E-3</v>
      </c>
    </row>
    <row r="52" spans="2:16">
      <c r="B52" s="87" t="s">
        <v>1922</v>
      </c>
      <c r="C52" s="84" t="s">
        <v>1923</v>
      </c>
      <c r="D52" s="84" t="s">
        <v>272</v>
      </c>
      <c r="E52" s="84"/>
      <c r="F52" s="107">
        <v>43525</v>
      </c>
      <c r="G52" s="94">
        <v>10.28</v>
      </c>
      <c r="H52" s="97" t="s">
        <v>168</v>
      </c>
      <c r="I52" s="98">
        <v>4.8000000000000001E-2</v>
      </c>
      <c r="J52" s="98">
        <v>4.8500000000000008E-2</v>
      </c>
      <c r="K52" s="94">
        <v>12632000</v>
      </c>
      <c r="L52" s="108">
        <v>102.2958</v>
      </c>
      <c r="M52" s="94">
        <v>12923.07368</v>
      </c>
      <c r="N52" s="84"/>
      <c r="O52" s="95">
        <f t="shared" si="0"/>
        <v>4.9972444715751178E-2</v>
      </c>
      <c r="P52" s="95">
        <f>M52/'סכום נכסי הקרן'!$C$42</f>
        <v>1.3598052420829152E-2</v>
      </c>
    </row>
    <row r="53" spans="2:16">
      <c r="B53" s="87" t="s">
        <v>1924</v>
      </c>
      <c r="C53" s="84" t="s">
        <v>1925</v>
      </c>
      <c r="D53" s="84" t="s">
        <v>272</v>
      </c>
      <c r="E53" s="84"/>
      <c r="F53" s="107">
        <v>43556</v>
      </c>
      <c r="G53" s="94">
        <v>10.370000000000001</v>
      </c>
      <c r="H53" s="97" t="s">
        <v>168</v>
      </c>
      <c r="I53" s="98">
        <v>4.8000000000000001E-2</v>
      </c>
      <c r="J53" s="98">
        <v>4.8500000000000008E-2</v>
      </c>
      <c r="K53" s="94">
        <v>8051000</v>
      </c>
      <c r="L53" s="108">
        <v>101.79900000000001</v>
      </c>
      <c r="M53" s="94">
        <v>8195.834429999999</v>
      </c>
      <c r="N53" s="84"/>
      <c r="O53" s="95">
        <f t="shared" si="0"/>
        <v>3.169260603895474E-2</v>
      </c>
      <c r="P53" s="95">
        <f>M53/'סכום נכסי הקרן'!$C$42</f>
        <v>8.6239070496096099E-3</v>
      </c>
    </row>
    <row r="54" spans="2:16">
      <c r="B54" s="87" t="s">
        <v>1926</v>
      </c>
      <c r="C54" s="84" t="s">
        <v>1927</v>
      </c>
      <c r="D54" s="84" t="s">
        <v>272</v>
      </c>
      <c r="E54" s="84"/>
      <c r="F54" s="107">
        <v>43586</v>
      </c>
      <c r="G54" s="94">
        <v>10.45</v>
      </c>
      <c r="H54" s="97" t="s">
        <v>168</v>
      </c>
      <c r="I54" s="98">
        <v>4.8000000000000001E-2</v>
      </c>
      <c r="J54" s="98">
        <v>4.8499999999999995E-2</v>
      </c>
      <c r="K54" s="94">
        <v>8385000</v>
      </c>
      <c r="L54" s="108">
        <v>100.8998</v>
      </c>
      <c r="M54" s="94">
        <v>8459.5140500000016</v>
      </c>
      <c r="N54" s="84"/>
      <c r="O54" s="95">
        <f t="shared" si="0"/>
        <v>3.271223306882403E-2</v>
      </c>
      <c r="P54" s="95">
        <f>M54/'סכום נכסי הקרן'!$C$42</f>
        <v>8.901358790878668E-3</v>
      </c>
    </row>
    <row r="55" spans="2:16">
      <c r="B55" s="87" t="s">
        <v>1928</v>
      </c>
      <c r="C55" s="84" t="s">
        <v>1929</v>
      </c>
      <c r="D55" s="84" t="s">
        <v>272</v>
      </c>
      <c r="E55" s="84"/>
      <c r="F55" s="107">
        <v>43647</v>
      </c>
      <c r="G55" s="94">
        <v>10.370000000000001</v>
      </c>
      <c r="H55" s="97" t="s">
        <v>168</v>
      </c>
      <c r="I55" s="98">
        <v>4.8000000000000001E-2</v>
      </c>
      <c r="J55" s="98">
        <v>4.8500000000000008E-2</v>
      </c>
      <c r="K55" s="94">
        <v>8020000</v>
      </c>
      <c r="L55" s="108">
        <v>102.4002</v>
      </c>
      <c r="M55" s="94">
        <v>8212.4922599999991</v>
      </c>
      <c r="N55" s="84"/>
      <c r="O55" s="95">
        <f t="shared" si="0"/>
        <v>3.1757020473892741E-2</v>
      </c>
      <c r="P55" s="95">
        <f>M55/'סכום נכסי הקרן'!$C$42</f>
        <v>8.6414349265811555E-3</v>
      </c>
    </row>
    <row r="56" spans="2:16">
      <c r="B56" s="87" t="s">
        <v>1930</v>
      </c>
      <c r="C56" s="84" t="s">
        <v>1931</v>
      </c>
      <c r="D56" s="84" t="s">
        <v>272</v>
      </c>
      <c r="E56" s="84"/>
      <c r="F56" s="107">
        <v>43678</v>
      </c>
      <c r="G56" s="94">
        <v>10.45</v>
      </c>
      <c r="H56" s="97" t="s">
        <v>168</v>
      </c>
      <c r="I56" s="98">
        <v>4.8000000000000001E-2</v>
      </c>
      <c r="J56" s="98">
        <v>4.8500000000000008E-2</v>
      </c>
      <c r="K56" s="94">
        <v>8229000</v>
      </c>
      <c r="L56" s="108">
        <v>101.9962</v>
      </c>
      <c r="M56" s="94">
        <v>8393.2665099999995</v>
      </c>
      <c r="N56" s="84"/>
      <c r="O56" s="95">
        <f t="shared" si="0"/>
        <v>3.2456059374223183E-2</v>
      </c>
      <c r="P56" s="95">
        <f>M56/'סכום נכסי הקרן'!$C$42</f>
        <v>8.8316511080179603E-3</v>
      </c>
    </row>
    <row r="57" spans="2:16">
      <c r="B57" s="87" t="s">
        <v>1932</v>
      </c>
      <c r="C57" s="84" t="s">
        <v>1933</v>
      </c>
      <c r="D57" s="84" t="s">
        <v>272</v>
      </c>
      <c r="E57" s="84"/>
      <c r="F57" s="107">
        <v>43740</v>
      </c>
      <c r="G57" s="94">
        <v>10.620000000000001</v>
      </c>
      <c r="H57" s="97" t="s">
        <v>168</v>
      </c>
      <c r="I57" s="98">
        <v>4.8000000000000001E-2</v>
      </c>
      <c r="J57" s="98">
        <v>4.8499999999999995E-2</v>
      </c>
      <c r="K57" s="94">
        <v>6923000</v>
      </c>
      <c r="L57" s="108">
        <v>101.1797</v>
      </c>
      <c r="M57" s="94">
        <v>7004.6711500000001</v>
      </c>
      <c r="N57" s="84"/>
      <c r="O57" s="95">
        <f t="shared" si="0"/>
        <v>2.7086477293487989E-2</v>
      </c>
      <c r="P57" s="95">
        <f>M57/'סכום נכסי הקרן'!$C$42</f>
        <v>7.3705287029184234E-3</v>
      </c>
    </row>
    <row r="58" spans="2:16">
      <c r="B58" s="87" t="s">
        <v>1934</v>
      </c>
      <c r="C58" s="84" t="s">
        <v>1935</v>
      </c>
      <c r="D58" s="84" t="s">
        <v>272</v>
      </c>
      <c r="E58" s="84"/>
      <c r="F58" s="107">
        <v>43770</v>
      </c>
      <c r="G58" s="94">
        <v>10.700000000000001</v>
      </c>
      <c r="H58" s="97" t="s">
        <v>168</v>
      </c>
      <c r="I58" s="98">
        <v>4.8000000000000001E-2</v>
      </c>
      <c r="J58" s="98">
        <v>4.8500000000000008E-2</v>
      </c>
      <c r="K58" s="94">
        <v>6282000</v>
      </c>
      <c r="L58" s="108">
        <v>100.7938</v>
      </c>
      <c r="M58" s="94">
        <v>6331.8689699999995</v>
      </c>
      <c r="N58" s="84"/>
      <c r="O58" s="95">
        <f t="shared" si="0"/>
        <v>2.4484807553206287E-2</v>
      </c>
      <c r="P58" s="95">
        <f>M58/'סכום נכסי הקרן'!$C$42</f>
        <v>6.6625857213159128E-3</v>
      </c>
    </row>
    <row r="59" spans="2:16">
      <c r="B59" s="87" t="s">
        <v>1936</v>
      </c>
      <c r="C59" s="84" t="s">
        <v>1937</v>
      </c>
      <c r="D59" s="84" t="s">
        <v>272</v>
      </c>
      <c r="E59" s="84"/>
      <c r="F59" s="107">
        <v>43800</v>
      </c>
      <c r="G59" s="94">
        <v>10.790000000000001</v>
      </c>
      <c r="H59" s="97" t="s">
        <v>168</v>
      </c>
      <c r="I59" s="98">
        <v>4.8000000000000001E-2</v>
      </c>
      <c r="J59" s="98">
        <v>4.8500000000000008E-2</v>
      </c>
      <c r="K59" s="94">
        <v>10357000</v>
      </c>
      <c r="L59" s="108">
        <v>100.39619999999999</v>
      </c>
      <c r="M59" s="94">
        <v>10398.03585</v>
      </c>
      <c r="N59" s="84"/>
      <c r="O59" s="95">
        <f t="shared" si="0"/>
        <v>4.0208334683620242E-2</v>
      </c>
      <c r="P59" s="95">
        <f>M59/'סכום נכסי הקרן'!$C$42</f>
        <v>1.0941130574902118E-2</v>
      </c>
    </row>
    <row r="60" spans="2:16">
      <c r="B60" s="87" t="s">
        <v>1938</v>
      </c>
      <c r="C60" s="84" t="s">
        <v>1939</v>
      </c>
      <c r="D60" s="84" t="s">
        <v>272</v>
      </c>
      <c r="E60" s="84"/>
      <c r="F60" s="107">
        <v>40969</v>
      </c>
      <c r="G60" s="94">
        <v>6.05</v>
      </c>
      <c r="H60" s="97" t="s">
        <v>168</v>
      </c>
      <c r="I60" s="98">
        <v>4.8000000000000001E-2</v>
      </c>
      <c r="J60" s="98">
        <v>4.87E-2</v>
      </c>
      <c r="K60" s="94">
        <v>2937000</v>
      </c>
      <c r="L60" s="108">
        <v>105.526</v>
      </c>
      <c r="M60" s="94">
        <v>3097.9049500000001</v>
      </c>
      <c r="N60" s="84"/>
      <c r="O60" s="95">
        <f t="shared" si="0"/>
        <v>1.1979339256427341E-2</v>
      </c>
      <c r="P60" s="95">
        <f>M60/'סכום נכסי הקרן'!$C$42</f>
        <v>3.2597101082879622E-3</v>
      </c>
    </row>
    <row r="64" spans="2:16">
      <c r="B64" s="99" t="s">
        <v>116</v>
      </c>
    </row>
    <row r="65" spans="2:2">
      <c r="B65" s="99" t="s">
        <v>241</v>
      </c>
    </row>
    <row r="66" spans="2:2">
      <c r="B66" s="99" t="s">
        <v>249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183</v>
      </c>
      <c r="C1" s="78" t="s" vm="1">
        <v>267</v>
      </c>
    </row>
    <row r="2" spans="2:65">
      <c r="B2" s="57" t="s">
        <v>182</v>
      </c>
      <c r="C2" s="78" t="s">
        <v>268</v>
      </c>
    </row>
    <row r="3" spans="2:65">
      <c r="B3" s="57" t="s">
        <v>184</v>
      </c>
      <c r="C3" s="78" t="s">
        <v>269</v>
      </c>
    </row>
    <row r="4" spans="2:65">
      <c r="B4" s="57" t="s">
        <v>185</v>
      </c>
      <c r="C4" s="78">
        <v>8803</v>
      </c>
    </row>
    <row r="6" spans="2:65" ht="26.25" customHeight="1">
      <c r="B6" s="153" t="s">
        <v>214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</row>
    <row r="7" spans="2:65" ht="26.25" customHeight="1">
      <c r="B7" s="153" t="s">
        <v>92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2:65" s="3" customFormat="1" ht="78.75">
      <c r="B8" s="23" t="s">
        <v>120</v>
      </c>
      <c r="C8" s="31" t="s">
        <v>47</v>
      </c>
      <c r="D8" s="31" t="s">
        <v>122</v>
      </c>
      <c r="E8" s="31" t="s">
        <v>121</v>
      </c>
      <c r="F8" s="31" t="s">
        <v>68</v>
      </c>
      <c r="G8" s="31" t="s">
        <v>15</v>
      </c>
      <c r="H8" s="31" t="s">
        <v>69</v>
      </c>
      <c r="I8" s="31" t="s">
        <v>106</v>
      </c>
      <c r="J8" s="31" t="s">
        <v>18</v>
      </c>
      <c r="K8" s="31" t="s">
        <v>105</v>
      </c>
      <c r="L8" s="31" t="s">
        <v>17</v>
      </c>
      <c r="M8" s="71" t="s">
        <v>19</v>
      </c>
      <c r="N8" s="31" t="s">
        <v>243</v>
      </c>
      <c r="O8" s="31" t="s">
        <v>242</v>
      </c>
      <c r="P8" s="31" t="s">
        <v>114</v>
      </c>
      <c r="Q8" s="31" t="s">
        <v>62</v>
      </c>
      <c r="R8" s="31" t="s">
        <v>186</v>
      </c>
      <c r="S8" s="32" t="s">
        <v>188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250</v>
      </c>
      <c r="O9" s="33"/>
      <c r="P9" s="33" t="s">
        <v>246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117</v>
      </c>
      <c r="R10" s="21" t="s">
        <v>118</v>
      </c>
      <c r="S10" s="21" t="s">
        <v>189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259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116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241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249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topLeftCell="A4" workbookViewId="0">
      <selection activeCell="R23" sqref="R23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58.1406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183</v>
      </c>
      <c r="C1" s="78" t="s" vm="1">
        <v>267</v>
      </c>
    </row>
    <row r="2" spans="2:81">
      <c r="B2" s="57" t="s">
        <v>182</v>
      </c>
      <c r="C2" s="78" t="s">
        <v>268</v>
      </c>
    </row>
    <row r="3" spans="2:81">
      <c r="B3" s="57" t="s">
        <v>184</v>
      </c>
      <c r="C3" s="78" t="s">
        <v>269</v>
      </c>
    </row>
    <row r="4" spans="2:81">
      <c r="B4" s="57" t="s">
        <v>185</v>
      </c>
      <c r="C4" s="78">
        <v>8803</v>
      </c>
    </row>
    <row r="6" spans="2:81" ht="26.25" customHeight="1">
      <c r="B6" s="153" t="s">
        <v>214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</row>
    <row r="7" spans="2:81" ht="26.25" customHeight="1">
      <c r="B7" s="153" t="s">
        <v>93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2:81" s="3" customFormat="1" ht="78.75">
      <c r="B8" s="23" t="s">
        <v>120</v>
      </c>
      <c r="C8" s="31" t="s">
        <v>47</v>
      </c>
      <c r="D8" s="31" t="s">
        <v>122</v>
      </c>
      <c r="E8" s="31" t="s">
        <v>121</v>
      </c>
      <c r="F8" s="31" t="s">
        <v>68</v>
      </c>
      <c r="G8" s="31" t="s">
        <v>15</v>
      </c>
      <c r="H8" s="31" t="s">
        <v>69</v>
      </c>
      <c r="I8" s="31" t="s">
        <v>106</v>
      </c>
      <c r="J8" s="31" t="s">
        <v>18</v>
      </c>
      <c r="K8" s="31" t="s">
        <v>105</v>
      </c>
      <c r="L8" s="31" t="s">
        <v>17</v>
      </c>
      <c r="M8" s="71" t="s">
        <v>19</v>
      </c>
      <c r="N8" s="71" t="s">
        <v>243</v>
      </c>
      <c r="O8" s="31" t="s">
        <v>242</v>
      </c>
      <c r="P8" s="31" t="s">
        <v>114</v>
      </c>
      <c r="Q8" s="31" t="s">
        <v>62</v>
      </c>
      <c r="R8" s="31" t="s">
        <v>186</v>
      </c>
      <c r="S8" s="32" t="s">
        <v>188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250</v>
      </c>
      <c r="O9" s="33"/>
      <c r="P9" s="33" t="s">
        <v>246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117</v>
      </c>
      <c r="R10" s="21" t="s">
        <v>118</v>
      </c>
      <c r="S10" s="21" t="s">
        <v>189</v>
      </c>
      <c r="T10" s="5"/>
      <c r="BZ10" s="1"/>
    </row>
    <row r="11" spans="2:81" s="4" customFormat="1" ht="18" customHeight="1">
      <c r="B11" s="130" t="s">
        <v>54</v>
      </c>
      <c r="C11" s="82"/>
      <c r="D11" s="82"/>
      <c r="E11" s="82"/>
      <c r="F11" s="82"/>
      <c r="G11" s="82"/>
      <c r="H11" s="82"/>
      <c r="I11" s="82"/>
      <c r="J11" s="93">
        <v>7.2538657931057822</v>
      </c>
      <c r="K11" s="82"/>
      <c r="L11" s="82"/>
      <c r="M11" s="92">
        <v>1.2185174501633322E-2</v>
      </c>
      <c r="N11" s="91"/>
      <c r="O11" s="93"/>
      <c r="P11" s="91">
        <v>5921.1824000000006</v>
      </c>
      <c r="Q11" s="82"/>
      <c r="R11" s="92">
        <f>P11/$P$11</f>
        <v>1</v>
      </c>
      <c r="S11" s="92">
        <f>P11/'סכום נכסי הקרן'!$C$42</f>
        <v>6.2304487819410913E-3</v>
      </c>
      <c r="T11" s="5"/>
      <c r="BZ11" s="100"/>
      <c r="CC11" s="100"/>
    </row>
    <row r="12" spans="2:81" s="100" customFormat="1" ht="17.25" customHeight="1">
      <c r="B12" s="131" t="s">
        <v>238</v>
      </c>
      <c r="C12" s="82"/>
      <c r="D12" s="82"/>
      <c r="E12" s="82"/>
      <c r="F12" s="82"/>
      <c r="G12" s="82"/>
      <c r="H12" s="82"/>
      <c r="I12" s="82"/>
      <c r="J12" s="93">
        <v>7.2538657931057822</v>
      </c>
      <c r="K12" s="82"/>
      <c r="L12" s="82"/>
      <c r="M12" s="92">
        <v>1.2185174501633322E-2</v>
      </c>
      <c r="N12" s="91"/>
      <c r="O12" s="93"/>
      <c r="P12" s="91">
        <v>5921.1824000000006</v>
      </c>
      <c r="Q12" s="82"/>
      <c r="R12" s="92">
        <f t="shared" ref="R12:R19" si="0">P12/$P$11</f>
        <v>1</v>
      </c>
      <c r="S12" s="92">
        <f>P12/'סכום נכסי הקרן'!$C$42</f>
        <v>6.2304487819410913E-3</v>
      </c>
    </row>
    <row r="13" spans="2:81">
      <c r="B13" s="109" t="s">
        <v>63</v>
      </c>
      <c r="C13" s="82"/>
      <c r="D13" s="82"/>
      <c r="E13" s="82"/>
      <c r="F13" s="82"/>
      <c r="G13" s="82"/>
      <c r="H13" s="82"/>
      <c r="I13" s="82"/>
      <c r="J13" s="93">
        <v>10.036060234096784</v>
      </c>
      <c r="K13" s="82"/>
      <c r="L13" s="82"/>
      <c r="M13" s="92">
        <v>8.0791451321801759E-3</v>
      </c>
      <c r="N13" s="91"/>
      <c r="O13" s="93"/>
      <c r="P13" s="91">
        <v>3275.7340199999999</v>
      </c>
      <c r="Q13" s="82"/>
      <c r="R13" s="92">
        <f t="shared" si="0"/>
        <v>0.55322295425319101</v>
      </c>
      <c r="S13" s="92">
        <f>P13/'סכום נכסי הקרן'!$C$42</f>
        <v>3.4468272814686457E-3</v>
      </c>
    </row>
    <row r="14" spans="2:81">
      <c r="B14" s="110" t="s">
        <v>1940</v>
      </c>
      <c r="C14" s="84" t="s">
        <v>1941</v>
      </c>
      <c r="D14" s="97" t="s">
        <v>1942</v>
      </c>
      <c r="E14" s="84" t="s">
        <v>396</v>
      </c>
      <c r="F14" s="97" t="s">
        <v>160</v>
      </c>
      <c r="G14" s="84" t="s">
        <v>354</v>
      </c>
      <c r="H14" s="84" t="s">
        <v>355</v>
      </c>
      <c r="I14" s="107">
        <v>42639</v>
      </c>
      <c r="J14" s="96">
        <v>8</v>
      </c>
      <c r="K14" s="97" t="s">
        <v>168</v>
      </c>
      <c r="L14" s="98">
        <v>4.9000000000000002E-2</v>
      </c>
      <c r="M14" s="95">
        <v>7.6E-3</v>
      </c>
      <c r="N14" s="94">
        <v>242358</v>
      </c>
      <c r="O14" s="96">
        <v>164.73</v>
      </c>
      <c r="P14" s="94">
        <v>399.23632000000003</v>
      </c>
      <c r="Q14" s="95">
        <v>1.2345703765386773E-4</v>
      </c>
      <c r="R14" s="95">
        <f t="shared" si="0"/>
        <v>6.7425100770413693E-2</v>
      </c>
      <c r="S14" s="95">
        <f>P14/'סכום נכסי הקרן'!$C$42</f>
        <v>4.2008863696727932E-4</v>
      </c>
    </row>
    <row r="15" spans="2:81">
      <c r="B15" s="110" t="s">
        <v>1943</v>
      </c>
      <c r="C15" s="84" t="s">
        <v>1944</v>
      </c>
      <c r="D15" s="97" t="s">
        <v>1942</v>
      </c>
      <c r="E15" s="84" t="s">
        <v>396</v>
      </c>
      <c r="F15" s="97" t="s">
        <v>160</v>
      </c>
      <c r="G15" s="84" t="s">
        <v>354</v>
      </c>
      <c r="H15" s="84" t="s">
        <v>355</v>
      </c>
      <c r="I15" s="107">
        <v>42639</v>
      </c>
      <c r="J15" s="96">
        <v>12.069999999999999</v>
      </c>
      <c r="K15" s="97" t="s">
        <v>168</v>
      </c>
      <c r="L15" s="98">
        <v>4.0999999999999995E-2</v>
      </c>
      <c r="M15" s="95">
        <v>1.0499999999999999E-2</v>
      </c>
      <c r="N15" s="94">
        <v>1468746.05</v>
      </c>
      <c r="O15" s="96">
        <v>147.94</v>
      </c>
      <c r="P15" s="94">
        <v>2172.8629100000003</v>
      </c>
      <c r="Q15" s="95">
        <v>3.4868133711104789E-4</v>
      </c>
      <c r="R15" s="95">
        <f t="shared" si="0"/>
        <v>0.36696436002376825</v>
      </c>
      <c r="S15" s="95">
        <f>P15/'סכום נכסי הקרן'!$C$42</f>
        <v>2.2863526499258789E-3</v>
      </c>
    </row>
    <row r="16" spans="2:81">
      <c r="B16" s="110" t="s">
        <v>1945</v>
      </c>
      <c r="C16" s="84" t="s">
        <v>1946</v>
      </c>
      <c r="D16" s="97" t="s">
        <v>1942</v>
      </c>
      <c r="E16" s="84" t="s">
        <v>1947</v>
      </c>
      <c r="F16" s="97" t="s">
        <v>1221</v>
      </c>
      <c r="G16" s="84" t="s">
        <v>367</v>
      </c>
      <c r="H16" s="84" t="s">
        <v>164</v>
      </c>
      <c r="I16" s="107">
        <v>42796</v>
      </c>
      <c r="J16" s="96">
        <v>7.3</v>
      </c>
      <c r="K16" s="97" t="s">
        <v>168</v>
      </c>
      <c r="L16" s="98">
        <v>2.1400000000000002E-2</v>
      </c>
      <c r="M16" s="95">
        <v>2.5000000000000001E-3</v>
      </c>
      <c r="N16" s="94">
        <v>318000</v>
      </c>
      <c r="O16" s="96">
        <v>117.33</v>
      </c>
      <c r="P16" s="94">
        <v>373.10940000000005</v>
      </c>
      <c r="Q16" s="95">
        <v>1.2247444597644486E-3</v>
      </c>
      <c r="R16" s="95">
        <f t="shared" si="0"/>
        <v>6.301265098673535E-2</v>
      </c>
      <c r="S16" s="95">
        <f>P16/'סכום נכסי הקרן'!$C$42</f>
        <v>3.9259709458718439E-4</v>
      </c>
    </row>
    <row r="17" spans="2:19">
      <c r="B17" s="110" t="s">
        <v>1948</v>
      </c>
      <c r="C17" s="84" t="s">
        <v>1949</v>
      </c>
      <c r="D17" s="97" t="s">
        <v>1942</v>
      </c>
      <c r="E17" s="84" t="s">
        <v>484</v>
      </c>
      <c r="F17" s="97" t="s">
        <v>485</v>
      </c>
      <c r="G17" s="84" t="s">
        <v>422</v>
      </c>
      <c r="H17" s="84" t="s">
        <v>355</v>
      </c>
      <c r="I17" s="107">
        <v>42768</v>
      </c>
      <c r="J17" s="96">
        <v>0.12</v>
      </c>
      <c r="K17" s="97" t="s">
        <v>168</v>
      </c>
      <c r="L17" s="98">
        <v>6.8499999999999991E-2</v>
      </c>
      <c r="M17" s="95">
        <v>5.8999999999999999E-3</v>
      </c>
      <c r="N17" s="94">
        <v>25700</v>
      </c>
      <c r="O17" s="96">
        <v>117.03</v>
      </c>
      <c r="P17" s="94">
        <v>30.076720000000002</v>
      </c>
      <c r="Q17" s="95">
        <v>5.0885950131768874E-5</v>
      </c>
      <c r="R17" s="95">
        <f t="shared" si="0"/>
        <v>5.0795124973687681E-3</v>
      </c>
      <c r="S17" s="95">
        <f>P17/'סכום נכסי הקרן'!$C$42</f>
        <v>3.1647642452085797E-5</v>
      </c>
    </row>
    <row r="18" spans="2:19">
      <c r="B18" s="110" t="s">
        <v>1950</v>
      </c>
      <c r="C18" s="84" t="s">
        <v>1951</v>
      </c>
      <c r="D18" s="97" t="s">
        <v>1942</v>
      </c>
      <c r="E18" s="84" t="s">
        <v>432</v>
      </c>
      <c r="F18" s="97" t="s">
        <v>160</v>
      </c>
      <c r="G18" s="84" t="s">
        <v>410</v>
      </c>
      <c r="H18" s="84" t="s">
        <v>164</v>
      </c>
      <c r="I18" s="107">
        <v>42835</v>
      </c>
      <c r="J18" s="96">
        <v>3.8200000000000003</v>
      </c>
      <c r="K18" s="97" t="s">
        <v>168</v>
      </c>
      <c r="L18" s="98">
        <v>5.5999999999999994E-2</v>
      </c>
      <c r="M18" s="95">
        <v>-3.5000000000000005E-3</v>
      </c>
      <c r="N18" s="94">
        <v>67118.03</v>
      </c>
      <c r="O18" s="96">
        <v>151.13999999999999</v>
      </c>
      <c r="P18" s="94">
        <v>101.44217999999999</v>
      </c>
      <c r="Q18" s="95">
        <v>8.9855539325509965E-5</v>
      </c>
      <c r="R18" s="95">
        <f t="shared" si="0"/>
        <v>1.7132081592352227E-2</v>
      </c>
      <c r="S18" s="95">
        <f>P18/'סכום נכסי הקרן'!$C$42</f>
        <v>1.0674055688918633E-4</v>
      </c>
    </row>
    <row r="19" spans="2:19">
      <c r="B19" s="110" t="s">
        <v>1952</v>
      </c>
      <c r="C19" s="84" t="s">
        <v>1953</v>
      </c>
      <c r="D19" s="97" t="s">
        <v>1942</v>
      </c>
      <c r="E19" s="84" t="s">
        <v>484</v>
      </c>
      <c r="F19" s="97" t="s">
        <v>485</v>
      </c>
      <c r="G19" s="84" t="s">
        <v>459</v>
      </c>
      <c r="H19" s="84" t="s">
        <v>164</v>
      </c>
      <c r="I19" s="107">
        <v>42935</v>
      </c>
      <c r="J19" s="96">
        <v>1.71</v>
      </c>
      <c r="K19" s="97" t="s">
        <v>168</v>
      </c>
      <c r="L19" s="98">
        <v>0.06</v>
      </c>
      <c r="M19" s="95">
        <v>-7.000000000000001E-4</v>
      </c>
      <c r="N19" s="94">
        <v>165000</v>
      </c>
      <c r="O19" s="96">
        <v>120.61</v>
      </c>
      <c r="P19" s="94">
        <v>199.00648999999999</v>
      </c>
      <c r="Q19" s="95">
        <v>4.4585571583520302E-5</v>
      </c>
      <c r="R19" s="95">
        <f t="shared" si="0"/>
        <v>3.3609248382552775E-2</v>
      </c>
      <c r="S19" s="95">
        <f>P19/'סכום נכסי הקרן'!$C$42</f>
        <v>2.0940070064703154E-4</v>
      </c>
    </row>
    <row r="20" spans="2:19">
      <c r="B20" s="111"/>
      <c r="C20" s="84"/>
      <c r="D20" s="84"/>
      <c r="E20" s="84"/>
      <c r="F20" s="84"/>
      <c r="G20" s="84"/>
      <c r="H20" s="84"/>
      <c r="I20" s="84"/>
      <c r="J20" s="96"/>
      <c r="K20" s="84"/>
      <c r="L20" s="84"/>
      <c r="M20" s="95"/>
      <c r="N20" s="94"/>
      <c r="O20" s="96"/>
      <c r="P20" s="84"/>
      <c r="Q20" s="84"/>
      <c r="R20" s="95"/>
      <c r="S20" s="84"/>
    </row>
    <row r="21" spans="2:19">
      <c r="B21" s="109" t="s">
        <v>64</v>
      </c>
      <c r="C21" s="82"/>
      <c r="D21" s="82"/>
      <c r="E21" s="82"/>
      <c r="F21" s="82"/>
      <c r="G21" s="82"/>
      <c r="H21" s="82"/>
      <c r="I21" s="82"/>
      <c r="J21" s="93">
        <v>4.0476611909503832</v>
      </c>
      <c r="K21" s="82"/>
      <c r="L21" s="82"/>
      <c r="M21" s="92">
        <v>1.4503232556044566E-2</v>
      </c>
      <c r="N21" s="91"/>
      <c r="O21" s="93"/>
      <c r="P21" s="91">
        <v>2303.4124999999999</v>
      </c>
      <c r="Q21" s="82"/>
      <c r="R21" s="92">
        <f t="shared" ref="R21:R26" si="1">P21/$P$11</f>
        <v>0.38901225201236828</v>
      </c>
      <c r="S21" s="92">
        <f>P21/'סכום נכסי הקרן'!$C$42</f>
        <v>2.4237209117106209E-3</v>
      </c>
    </row>
    <row r="22" spans="2:19">
      <c r="B22" s="110" t="s">
        <v>1954</v>
      </c>
      <c r="C22" s="84" t="s">
        <v>1955</v>
      </c>
      <c r="D22" s="97" t="s">
        <v>1942</v>
      </c>
      <c r="E22" s="84" t="s">
        <v>1947</v>
      </c>
      <c r="F22" s="97" t="s">
        <v>1221</v>
      </c>
      <c r="G22" s="84" t="s">
        <v>367</v>
      </c>
      <c r="H22" s="84" t="s">
        <v>164</v>
      </c>
      <c r="I22" s="107">
        <v>42796</v>
      </c>
      <c r="J22" s="96">
        <v>6.81</v>
      </c>
      <c r="K22" s="97" t="s">
        <v>168</v>
      </c>
      <c r="L22" s="98">
        <v>3.7400000000000003E-2</v>
      </c>
      <c r="M22" s="95">
        <v>1.72E-2</v>
      </c>
      <c r="N22" s="94">
        <v>441670</v>
      </c>
      <c r="O22" s="96">
        <v>115.39</v>
      </c>
      <c r="P22" s="94">
        <v>509.64302000000004</v>
      </c>
      <c r="Q22" s="95">
        <v>8.575150759720264E-4</v>
      </c>
      <c r="R22" s="95">
        <f t="shared" si="1"/>
        <v>8.6071157004047022E-2</v>
      </c>
      <c r="S22" s="95">
        <f>P22/'סכום נכסי הקרן'!$C$42</f>
        <v>5.3626193531612523E-4</v>
      </c>
    </row>
    <row r="23" spans="2:19">
      <c r="B23" s="110" t="s">
        <v>1956</v>
      </c>
      <c r="C23" s="84" t="s">
        <v>1957</v>
      </c>
      <c r="D23" s="97" t="s">
        <v>1942</v>
      </c>
      <c r="E23" s="84" t="s">
        <v>1947</v>
      </c>
      <c r="F23" s="97" t="s">
        <v>1221</v>
      </c>
      <c r="G23" s="84" t="s">
        <v>367</v>
      </c>
      <c r="H23" s="84" t="s">
        <v>164</v>
      </c>
      <c r="I23" s="107">
        <v>42796</v>
      </c>
      <c r="J23" s="96">
        <v>3.09</v>
      </c>
      <c r="K23" s="97" t="s">
        <v>168</v>
      </c>
      <c r="L23" s="98">
        <v>2.5000000000000001E-2</v>
      </c>
      <c r="M23" s="95">
        <v>1.0500000000000001E-2</v>
      </c>
      <c r="N23" s="94">
        <v>538740</v>
      </c>
      <c r="O23" s="96">
        <v>105.26</v>
      </c>
      <c r="P23" s="94">
        <v>567.07772</v>
      </c>
      <c r="Q23" s="95">
        <v>7.4278639341730822E-4</v>
      </c>
      <c r="R23" s="95">
        <f t="shared" si="1"/>
        <v>9.5771027084049956E-2</v>
      </c>
      <c r="S23" s="95">
        <f>P23/'סכום נכסי הקרן'!$C$42</f>
        <v>5.9669647904106633E-4</v>
      </c>
    </row>
    <row r="24" spans="2:19">
      <c r="B24" s="110" t="s">
        <v>1958</v>
      </c>
      <c r="C24" s="84" t="s">
        <v>1959</v>
      </c>
      <c r="D24" s="97" t="s">
        <v>1942</v>
      </c>
      <c r="E24" s="84" t="s">
        <v>1960</v>
      </c>
      <c r="F24" s="97" t="s">
        <v>421</v>
      </c>
      <c r="G24" s="84" t="s">
        <v>459</v>
      </c>
      <c r="H24" s="84" t="s">
        <v>164</v>
      </c>
      <c r="I24" s="107">
        <v>42598</v>
      </c>
      <c r="J24" s="96">
        <v>4.9499999999999993</v>
      </c>
      <c r="K24" s="97" t="s">
        <v>168</v>
      </c>
      <c r="L24" s="98">
        <v>3.1E-2</v>
      </c>
      <c r="M24" s="95">
        <v>1.61E-2</v>
      </c>
      <c r="N24" s="94">
        <v>323944.84000000003</v>
      </c>
      <c r="O24" s="96">
        <v>107.58</v>
      </c>
      <c r="P24" s="94">
        <v>348.49986000000001</v>
      </c>
      <c r="Q24" s="95">
        <v>4.8309918184183864E-4</v>
      </c>
      <c r="R24" s="95">
        <f t="shared" si="1"/>
        <v>5.88564642089053E-2</v>
      </c>
      <c r="S24" s="95">
        <f>P24/'סכום נכסי הקרן'!$C$42</f>
        <v>3.6670218573973344E-4</v>
      </c>
    </row>
    <row r="25" spans="2:19">
      <c r="B25" s="110" t="s">
        <v>1961</v>
      </c>
      <c r="C25" s="84" t="s">
        <v>1962</v>
      </c>
      <c r="D25" s="97" t="s">
        <v>1942</v>
      </c>
      <c r="E25" s="84" t="s">
        <v>1963</v>
      </c>
      <c r="F25" s="97" t="s">
        <v>161</v>
      </c>
      <c r="G25" s="84" t="s">
        <v>543</v>
      </c>
      <c r="H25" s="84" t="s">
        <v>164</v>
      </c>
      <c r="I25" s="107">
        <v>43741</v>
      </c>
      <c r="J25" s="96">
        <v>1.7300000000000002</v>
      </c>
      <c r="K25" s="97" t="s">
        <v>168</v>
      </c>
      <c r="L25" s="98">
        <v>1.34E-2</v>
      </c>
      <c r="M25" s="95">
        <v>1.23E-2</v>
      </c>
      <c r="N25" s="94">
        <v>541000</v>
      </c>
      <c r="O25" s="96">
        <v>100.51</v>
      </c>
      <c r="P25" s="94">
        <v>543.75909999999999</v>
      </c>
      <c r="Q25" s="95">
        <v>1.0820000000000001E-3</v>
      </c>
      <c r="R25" s="95">
        <f t="shared" si="1"/>
        <v>9.183285757250105E-2</v>
      </c>
      <c r="S25" s="95">
        <f>P25/'סכום נכסי הקרן'!$C$42</f>
        <v>5.7215991560475893E-4</v>
      </c>
    </row>
    <row r="26" spans="2:19">
      <c r="B26" s="110" t="s">
        <v>1964</v>
      </c>
      <c r="C26" s="84" t="s">
        <v>1965</v>
      </c>
      <c r="D26" s="97" t="s">
        <v>1942</v>
      </c>
      <c r="E26" s="84" t="s">
        <v>1966</v>
      </c>
      <c r="F26" s="97" t="s">
        <v>421</v>
      </c>
      <c r="G26" s="84" t="s">
        <v>638</v>
      </c>
      <c r="H26" s="84" t="s">
        <v>355</v>
      </c>
      <c r="I26" s="107">
        <v>43312</v>
      </c>
      <c r="J26" s="96">
        <v>4.2900000000000009</v>
      </c>
      <c r="K26" s="97" t="s">
        <v>168</v>
      </c>
      <c r="L26" s="98">
        <v>3.5499999999999997E-2</v>
      </c>
      <c r="M26" s="95">
        <v>1.9100000000000002E-2</v>
      </c>
      <c r="N26" s="94">
        <v>312000</v>
      </c>
      <c r="O26" s="96">
        <v>107.19</v>
      </c>
      <c r="P26" s="94">
        <v>334.43279999999999</v>
      </c>
      <c r="Q26" s="95">
        <v>1.015625E-3</v>
      </c>
      <c r="R26" s="95">
        <f t="shared" si="1"/>
        <v>5.6480746142864968E-2</v>
      </c>
      <c r="S26" s="95">
        <f>P26/'סכום נכסי הקרן'!$C$42</f>
        <v>3.5190039600893706E-4</v>
      </c>
    </row>
    <row r="27" spans="2:19">
      <c r="B27" s="111"/>
      <c r="C27" s="84"/>
      <c r="D27" s="84"/>
      <c r="E27" s="84"/>
      <c r="F27" s="84"/>
      <c r="G27" s="84"/>
      <c r="H27" s="84"/>
      <c r="I27" s="84"/>
      <c r="J27" s="96"/>
      <c r="K27" s="84"/>
      <c r="L27" s="84"/>
      <c r="M27" s="95"/>
      <c r="N27" s="94"/>
      <c r="O27" s="96"/>
      <c r="P27" s="84"/>
      <c r="Q27" s="84"/>
      <c r="R27" s="95"/>
      <c r="S27" s="84"/>
    </row>
    <row r="28" spans="2:19">
      <c r="B28" s="109" t="s">
        <v>49</v>
      </c>
      <c r="C28" s="82"/>
      <c r="D28" s="82"/>
      <c r="E28" s="82"/>
      <c r="F28" s="82"/>
      <c r="G28" s="82"/>
      <c r="H28" s="82"/>
      <c r="I28" s="82"/>
      <c r="J28" s="93">
        <v>2.200252053965801</v>
      </c>
      <c r="K28" s="82"/>
      <c r="L28" s="82"/>
      <c r="M28" s="92">
        <v>3.5898523505779573E-2</v>
      </c>
      <c r="N28" s="91"/>
      <c r="O28" s="93"/>
      <c r="P28" s="91">
        <v>342.03588000000002</v>
      </c>
      <c r="Q28" s="82"/>
      <c r="R28" s="92">
        <f t="shared" ref="R28:R30" si="2">P28/$P$11</f>
        <v>5.7764793734440607E-2</v>
      </c>
      <c r="S28" s="92">
        <f>P28/'סכום נכסי הקרן'!$C$42</f>
        <v>3.5990058876182387E-4</v>
      </c>
    </row>
    <row r="29" spans="2:19">
      <c r="B29" s="110" t="s">
        <v>1967</v>
      </c>
      <c r="C29" s="84" t="s">
        <v>1968</v>
      </c>
      <c r="D29" s="97" t="s">
        <v>1942</v>
      </c>
      <c r="E29" s="84" t="s">
        <v>1134</v>
      </c>
      <c r="F29" s="97" t="s">
        <v>194</v>
      </c>
      <c r="G29" s="84" t="s">
        <v>535</v>
      </c>
      <c r="H29" s="84" t="s">
        <v>355</v>
      </c>
      <c r="I29" s="107">
        <v>42954</v>
      </c>
      <c r="J29" s="96">
        <v>0.70000000000000007</v>
      </c>
      <c r="K29" s="97" t="s">
        <v>167</v>
      </c>
      <c r="L29" s="98">
        <v>3.7000000000000005E-2</v>
      </c>
      <c r="M29" s="95">
        <v>2.86E-2</v>
      </c>
      <c r="N29" s="94">
        <v>18403</v>
      </c>
      <c r="O29" s="96">
        <v>101.67</v>
      </c>
      <c r="P29" s="94">
        <v>64.662890000000004</v>
      </c>
      <c r="Q29" s="95">
        <v>2.7383786679364324E-4</v>
      </c>
      <c r="R29" s="95">
        <f t="shared" si="2"/>
        <v>1.0920604303626924E-2</v>
      </c>
      <c r="S29" s="95">
        <f>P29/'סכום נכסי הקרן'!$C$42</f>
        <v>6.8040265781593002E-5</v>
      </c>
    </row>
    <row r="30" spans="2:19">
      <c r="B30" s="110" t="s">
        <v>1969</v>
      </c>
      <c r="C30" s="84" t="s">
        <v>1970</v>
      </c>
      <c r="D30" s="97" t="s">
        <v>1942</v>
      </c>
      <c r="E30" s="84" t="s">
        <v>1134</v>
      </c>
      <c r="F30" s="97" t="s">
        <v>194</v>
      </c>
      <c r="G30" s="84" t="s">
        <v>535</v>
      </c>
      <c r="H30" s="84" t="s">
        <v>355</v>
      </c>
      <c r="I30" s="107">
        <v>42625</v>
      </c>
      <c r="J30" s="96">
        <v>2.5500000000000003</v>
      </c>
      <c r="K30" s="97" t="s">
        <v>167</v>
      </c>
      <c r="L30" s="98">
        <v>4.4500000000000005E-2</v>
      </c>
      <c r="M30" s="95">
        <v>3.7600000000000001E-2</v>
      </c>
      <c r="N30" s="94">
        <v>77815</v>
      </c>
      <c r="O30" s="96">
        <v>103.14</v>
      </c>
      <c r="P30" s="94">
        <v>277.37299000000002</v>
      </c>
      <c r="Q30" s="95">
        <v>5.6746172637834919E-4</v>
      </c>
      <c r="R30" s="95">
        <f t="shared" si="2"/>
        <v>4.6844189430813685E-2</v>
      </c>
      <c r="S30" s="95">
        <f>P30/'סכום נכסי הקרן'!$C$42</f>
        <v>2.9186032298023085E-4</v>
      </c>
    </row>
    <row r="31" spans="2:19">
      <c r="B31" s="112"/>
      <c r="C31" s="113"/>
      <c r="D31" s="113"/>
      <c r="E31" s="113"/>
      <c r="F31" s="113"/>
      <c r="G31" s="113"/>
      <c r="H31" s="113"/>
      <c r="I31" s="113"/>
      <c r="J31" s="114"/>
      <c r="K31" s="113"/>
      <c r="L31" s="113"/>
      <c r="M31" s="115"/>
      <c r="N31" s="116"/>
      <c r="O31" s="114"/>
      <c r="P31" s="113"/>
      <c r="Q31" s="113"/>
      <c r="R31" s="115"/>
      <c r="S31" s="113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99" t="s">
        <v>259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99" t="s">
        <v>116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99" t="s">
        <v>241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99" t="s">
        <v>249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2:19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2:19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2:19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2:19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2:19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2:19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2:19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2:19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</row>
    <row r="120" spans="2:19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19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19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19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2:19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2:19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</row>
    <row r="126" spans="2:19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</row>
    <row r="127" spans="2:19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2:19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pans="2:19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</row>
    <row r="130" spans="2:19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3 B38:B130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workbookViewId="0">
      <selection activeCell="L12" sqref="L12:L24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58.14062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183</v>
      </c>
      <c r="C1" s="78" t="s" vm="1">
        <v>267</v>
      </c>
    </row>
    <row r="2" spans="2:98">
      <c r="B2" s="57" t="s">
        <v>182</v>
      </c>
      <c r="C2" s="78" t="s">
        <v>268</v>
      </c>
    </row>
    <row r="3" spans="2:98">
      <c r="B3" s="57" t="s">
        <v>184</v>
      </c>
      <c r="C3" s="78" t="s">
        <v>269</v>
      </c>
    </row>
    <row r="4" spans="2:98">
      <c r="B4" s="57" t="s">
        <v>185</v>
      </c>
      <c r="C4" s="78">
        <v>8803</v>
      </c>
    </row>
    <row r="6" spans="2:98" ht="26.25" customHeight="1">
      <c r="B6" s="153" t="s">
        <v>214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2:98" ht="26.25" customHeight="1">
      <c r="B7" s="153" t="s">
        <v>94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</row>
    <row r="8" spans="2:98" s="3" customFormat="1" ht="63">
      <c r="B8" s="23" t="s">
        <v>120</v>
      </c>
      <c r="C8" s="31" t="s">
        <v>47</v>
      </c>
      <c r="D8" s="31" t="s">
        <v>122</v>
      </c>
      <c r="E8" s="31" t="s">
        <v>121</v>
      </c>
      <c r="F8" s="31" t="s">
        <v>68</v>
      </c>
      <c r="G8" s="31" t="s">
        <v>105</v>
      </c>
      <c r="H8" s="31" t="s">
        <v>243</v>
      </c>
      <c r="I8" s="31" t="s">
        <v>242</v>
      </c>
      <c r="J8" s="31" t="s">
        <v>114</v>
      </c>
      <c r="K8" s="31" t="s">
        <v>62</v>
      </c>
      <c r="L8" s="31" t="s">
        <v>186</v>
      </c>
      <c r="M8" s="32" t="s">
        <v>188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250</v>
      </c>
      <c r="I9" s="33"/>
      <c r="J9" s="33" t="s">
        <v>246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28" t="s">
        <v>32</v>
      </c>
      <c r="C11" s="124"/>
      <c r="D11" s="124"/>
      <c r="E11" s="124"/>
      <c r="F11" s="124"/>
      <c r="G11" s="124"/>
      <c r="H11" s="125"/>
      <c r="I11" s="125"/>
      <c r="J11" s="125">
        <v>10684.33223</v>
      </c>
      <c r="K11" s="124"/>
      <c r="L11" s="126">
        <f>J11/$J$11</f>
        <v>1</v>
      </c>
      <c r="M11" s="126">
        <f>J11/'סכום נכסי הקרן'!$C$42</f>
        <v>1.1242380361101093E-2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CT11" s="100"/>
    </row>
    <row r="12" spans="2:98" s="100" customFormat="1">
      <c r="B12" s="129" t="s">
        <v>237</v>
      </c>
      <c r="C12" s="124"/>
      <c r="D12" s="124"/>
      <c r="E12" s="124"/>
      <c r="F12" s="124"/>
      <c r="G12" s="124"/>
      <c r="H12" s="125"/>
      <c r="I12" s="125"/>
      <c r="J12" s="125">
        <v>10684.33223</v>
      </c>
      <c r="K12" s="124"/>
      <c r="L12" s="126">
        <f t="shared" ref="L12:L24" si="0">J12/$J$11</f>
        <v>1</v>
      </c>
      <c r="M12" s="126">
        <f>J12/'סכום נכסי הקרן'!$C$42</f>
        <v>1.1242380361101093E-2</v>
      </c>
    </row>
    <row r="13" spans="2:98">
      <c r="B13" s="102" t="s">
        <v>66</v>
      </c>
      <c r="C13" s="82"/>
      <c r="D13" s="82"/>
      <c r="E13" s="82"/>
      <c r="F13" s="82"/>
      <c r="G13" s="82"/>
      <c r="H13" s="91"/>
      <c r="I13" s="91"/>
      <c r="J13" s="91">
        <v>10684.33223</v>
      </c>
      <c r="K13" s="82"/>
      <c r="L13" s="92">
        <f t="shared" si="0"/>
        <v>1</v>
      </c>
      <c r="M13" s="92">
        <f>J13/'סכום נכסי הקרן'!$C$42</f>
        <v>1.1242380361101093E-2</v>
      </c>
    </row>
    <row r="14" spans="2:98">
      <c r="B14" s="87" t="s">
        <v>1971</v>
      </c>
      <c r="C14" s="84">
        <v>6824</v>
      </c>
      <c r="D14" s="97" t="s">
        <v>30</v>
      </c>
      <c r="E14" s="84"/>
      <c r="F14" s="97" t="s">
        <v>1503</v>
      </c>
      <c r="G14" s="97" t="s">
        <v>167</v>
      </c>
      <c r="H14" s="94">
        <v>4565.37</v>
      </c>
      <c r="I14" s="94">
        <v>9132.6959000000006</v>
      </c>
      <c r="J14" s="94">
        <v>1440.9493400000001</v>
      </c>
      <c r="K14" s="95">
        <v>2.7732767569980002E-3</v>
      </c>
      <c r="L14" s="95">
        <f t="shared" si="0"/>
        <v>0.13486564335336099</v>
      </c>
      <c r="M14" s="95">
        <f>J14/'סכום נכסי הקרן'!$C$42</f>
        <v>1.5162108602230898E-3</v>
      </c>
    </row>
    <row r="15" spans="2:98">
      <c r="B15" s="87" t="s">
        <v>1972</v>
      </c>
      <c r="C15" s="84" t="s">
        <v>1973</v>
      </c>
      <c r="D15" s="97" t="s">
        <v>30</v>
      </c>
      <c r="E15" s="84"/>
      <c r="F15" s="97" t="s">
        <v>1503</v>
      </c>
      <c r="G15" s="97" t="s">
        <v>167</v>
      </c>
      <c r="H15" s="94">
        <v>47629.440000000002</v>
      </c>
      <c r="I15" s="94">
        <v>94.494</v>
      </c>
      <c r="J15" s="94">
        <v>155.54405</v>
      </c>
      <c r="K15" s="95">
        <v>1.1028223687803451E-3</v>
      </c>
      <c r="L15" s="95">
        <f t="shared" si="0"/>
        <v>1.4558144266915969E-2</v>
      </c>
      <c r="M15" s="95">
        <f>J15/'סכום נכסי הקרן'!$C$42</f>
        <v>1.6366819520045254E-4</v>
      </c>
    </row>
    <row r="16" spans="2:98">
      <c r="B16" s="87" t="s">
        <v>1974</v>
      </c>
      <c r="C16" s="84">
        <v>6900</v>
      </c>
      <c r="D16" s="97" t="s">
        <v>30</v>
      </c>
      <c r="E16" s="84"/>
      <c r="F16" s="97" t="s">
        <v>1503</v>
      </c>
      <c r="G16" s="97" t="s">
        <v>167</v>
      </c>
      <c r="H16" s="94">
        <v>6313.47</v>
      </c>
      <c r="I16" s="94">
        <v>10070.1158</v>
      </c>
      <c r="J16" s="94">
        <v>2197.2347400000003</v>
      </c>
      <c r="K16" s="95">
        <v>1.7612117484526316E-3</v>
      </c>
      <c r="L16" s="95">
        <f t="shared" si="0"/>
        <v>0.20565017005278957</v>
      </c>
      <c r="M16" s="95">
        <f>J16/'סכום נכסי הקרן'!$C$42</f>
        <v>2.3119974330585817E-3</v>
      </c>
    </row>
    <row r="17" spans="2:13">
      <c r="B17" s="87" t="s">
        <v>1975</v>
      </c>
      <c r="C17" s="84">
        <v>7019</v>
      </c>
      <c r="D17" s="97" t="s">
        <v>30</v>
      </c>
      <c r="E17" s="84"/>
      <c r="F17" s="97" t="s">
        <v>1503</v>
      </c>
      <c r="G17" s="97" t="s">
        <v>167</v>
      </c>
      <c r="H17" s="94">
        <v>4230.18</v>
      </c>
      <c r="I17" s="94">
        <v>10283.0326</v>
      </c>
      <c r="J17" s="94">
        <v>1503.32817</v>
      </c>
      <c r="K17" s="95">
        <v>1.7057699605062104E-3</v>
      </c>
      <c r="L17" s="95">
        <f t="shared" si="0"/>
        <v>0.14070398950894472</v>
      </c>
      <c r="M17" s="95">
        <f>J17/'סכום נכסי הקרן'!$C$42</f>
        <v>1.5818477683839343E-3</v>
      </c>
    </row>
    <row r="18" spans="2:13">
      <c r="B18" s="87" t="s">
        <v>1976</v>
      </c>
      <c r="C18" s="84">
        <v>5771</v>
      </c>
      <c r="D18" s="97" t="s">
        <v>30</v>
      </c>
      <c r="E18" s="84"/>
      <c r="F18" s="97" t="s">
        <v>1503</v>
      </c>
      <c r="G18" s="97" t="s">
        <v>169</v>
      </c>
      <c r="H18" s="94">
        <v>125725.02</v>
      </c>
      <c r="I18" s="94">
        <v>114.2589</v>
      </c>
      <c r="J18" s="94">
        <v>557.11126999999999</v>
      </c>
      <c r="K18" s="95">
        <v>1.209712935553821E-3</v>
      </c>
      <c r="L18" s="95">
        <f t="shared" si="0"/>
        <v>5.2142825401452347E-2</v>
      </c>
      <c r="M18" s="95">
        <f>J18/'סכום נכסי הקרן'!$C$42</f>
        <v>5.8620947626561112E-4</v>
      </c>
    </row>
    <row r="19" spans="2:13">
      <c r="B19" s="87" t="s">
        <v>1977</v>
      </c>
      <c r="C19" s="84" t="s">
        <v>1978</v>
      </c>
      <c r="D19" s="97" t="s">
        <v>30</v>
      </c>
      <c r="E19" s="84"/>
      <c r="F19" s="97" t="s">
        <v>1503</v>
      </c>
      <c r="G19" s="97" t="s">
        <v>167</v>
      </c>
      <c r="H19" s="94">
        <v>1434.41</v>
      </c>
      <c r="I19" s="94">
        <v>11393.1955</v>
      </c>
      <c r="J19" s="94">
        <v>564.79680000000008</v>
      </c>
      <c r="K19" s="95">
        <v>1.7219808750050841E-3</v>
      </c>
      <c r="L19" s="95">
        <f t="shared" si="0"/>
        <v>5.2862152527804733E-2</v>
      </c>
      <c r="M19" s="95">
        <f>J19/'סכום נכסי הקרן'!$C$42</f>
        <v>5.9429642542412249E-4</v>
      </c>
    </row>
    <row r="20" spans="2:13">
      <c r="B20" s="87" t="s">
        <v>1979</v>
      </c>
      <c r="C20" s="84" t="s">
        <v>1980</v>
      </c>
      <c r="D20" s="97" t="s">
        <v>30</v>
      </c>
      <c r="E20" s="84"/>
      <c r="F20" s="97" t="s">
        <v>1503</v>
      </c>
      <c r="G20" s="97" t="s">
        <v>169</v>
      </c>
      <c r="H20" s="94">
        <v>213837.04</v>
      </c>
      <c r="I20" s="94">
        <v>110.1592</v>
      </c>
      <c r="J20" s="94">
        <v>913.55332999999996</v>
      </c>
      <c r="K20" s="95">
        <v>3.8332518941266128E-3</v>
      </c>
      <c r="L20" s="95">
        <f t="shared" si="0"/>
        <v>8.5504017502832735E-2</v>
      </c>
      <c r="M20" s="95">
        <f>J20/'סכום נכסי הקרן'!$C$42</f>
        <v>9.6126868716909098E-4</v>
      </c>
    </row>
    <row r="21" spans="2:13">
      <c r="B21" s="87" t="s">
        <v>1981</v>
      </c>
      <c r="C21" s="84">
        <v>5691</v>
      </c>
      <c r="D21" s="97" t="s">
        <v>30</v>
      </c>
      <c r="E21" s="84"/>
      <c r="F21" s="97" t="s">
        <v>1503</v>
      </c>
      <c r="G21" s="97" t="s">
        <v>167</v>
      </c>
      <c r="H21" s="94">
        <v>91207.21</v>
      </c>
      <c r="I21" s="94">
        <v>155.98159999999999</v>
      </c>
      <c r="J21" s="94">
        <v>491.67291999999998</v>
      </c>
      <c r="K21" s="95">
        <v>1.0382638145908383E-3</v>
      </c>
      <c r="L21" s="95">
        <f t="shared" si="0"/>
        <v>4.6018123492964427E-2</v>
      </c>
      <c r="M21" s="95">
        <f>J21/'סכום נכסי הקרן'!$C$42</f>
        <v>5.1735324781202808E-4</v>
      </c>
    </row>
    <row r="22" spans="2:13">
      <c r="B22" s="87" t="s">
        <v>1982</v>
      </c>
      <c r="C22" s="84">
        <v>6629</v>
      </c>
      <c r="D22" s="97" t="s">
        <v>30</v>
      </c>
      <c r="E22" s="84"/>
      <c r="F22" s="97" t="s">
        <v>1503</v>
      </c>
      <c r="G22" s="97" t="s">
        <v>170</v>
      </c>
      <c r="H22" s="94">
        <v>3185.4</v>
      </c>
      <c r="I22" s="94">
        <v>10249.0548</v>
      </c>
      <c r="J22" s="94">
        <v>1488.6214499999999</v>
      </c>
      <c r="K22" s="95">
        <v>4.6982300884955757E-3</v>
      </c>
      <c r="L22" s="95">
        <f t="shared" si="0"/>
        <v>0.13932751415387237</v>
      </c>
      <c r="M22" s="95">
        <f>J22/'סכום נכסי הקרן'!$C$42</f>
        <v>1.5663729088845294E-3</v>
      </c>
    </row>
    <row r="23" spans="2:13">
      <c r="B23" s="87" t="s">
        <v>1983</v>
      </c>
      <c r="C23" s="84">
        <v>5356</v>
      </c>
      <c r="D23" s="97" t="s">
        <v>30</v>
      </c>
      <c r="E23" s="84"/>
      <c r="F23" s="97" t="s">
        <v>1503</v>
      </c>
      <c r="G23" s="97" t="s">
        <v>167</v>
      </c>
      <c r="H23" s="94">
        <v>26121</v>
      </c>
      <c r="I23" s="94">
        <v>316.6542</v>
      </c>
      <c r="J23" s="94">
        <v>285.85694999999998</v>
      </c>
      <c r="K23" s="95">
        <v>1.1022470984673306E-3</v>
      </c>
      <c r="L23" s="95">
        <f t="shared" si="0"/>
        <v>2.6754779226853001E-2</v>
      </c>
      <c r="M23" s="95">
        <f>J23/'סכום נכסי הקרן'!$C$42</f>
        <v>3.0078740454556768E-4</v>
      </c>
    </row>
    <row r="24" spans="2:13">
      <c r="B24" s="87" t="s">
        <v>1984</v>
      </c>
      <c r="C24" s="84" t="s">
        <v>1985</v>
      </c>
      <c r="D24" s="97" t="s">
        <v>30</v>
      </c>
      <c r="E24" s="84"/>
      <c r="F24" s="97" t="s">
        <v>1503</v>
      </c>
      <c r="G24" s="97" t="s">
        <v>167</v>
      </c>
      <c r="H24" s="94">
        <v>308716.67</v>
      </c>
      <c r="I24" s="94">
        <v>101.7563</v>
      </c>
      <c r="J24" s="94">
        <v>1085.6632099999999</v>
      </c>
      <c r="K24" s="95">
        <v>1.6990212782134614E-3</v>
      </c>
      <c r="L24" s="95">
        <f t="shared" si="0"/>
        <v>0.10161264051220915</v>
      </c>
      <c r="M24" s="95">
        <f>J24/'סכום נכסי הקרן'!$C$42</f>
        <v>1.1423679541340856E-3</v>
      </c>
    </row>
    <row r="25" spans="2:13">
      <c r="B25" s="83"/>
      <c r="C25" s="84"/>
      <c r="D25" s="84"/>
      <c r="E25" s="84"/>
      <c r="F25" s="84"/>
      <c r="G25" s="84"/>
      <c r="H25" s="94"/>
      <c r="I25" s="94"/>
      <c r="J25" s="84"/>
      <c r="K25" s="84"/>
      <c r="L25" s="95"/>
      <c r="M25" s="84"/>
    </row>
    <row r="26" spans="2:1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99" t="s">
        <v>259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99" t="s">
        <v>116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99" t="s">
        <v>241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99" t="s">
        <v>249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2:13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2:13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2:13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2:13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2:13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2:13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2:13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</row>
    <row r="119" spans="2:13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</row>
    <row r="120" spans="2:13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2:13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</row>
    <row r="122" spans="2:13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</row>
    <row r="123" spans="2:13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</row>
    <row r="124" spans="2:13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4"/>
      <c r="C400" s="1"/>
      <c r="D400" s="1"/>
      <c r="E400" s="1"/>
    </row>
    <row r="401" spans="2:5">
      <c r="B401" s="44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D22:XFD1048576 D18:AF21 AH18:XFD21 C5:C1048576 A1:B1048576 D1:XFD17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Z637"/>
  <sheetViews>
    <sheetView rightToLeft="1" topLeftCell="A55" workbookViewId="0">
      <selection activeCell="I71" sqref="I71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58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85546875" style="3" customWidth="1"/>
    <col min="15" max="15" width="8.140625" style="3" customWidth="1"/>
    <col min="16" max="16" width="6.28515625" style="3" customWidth="1"/>
    <col min="17" max="17" width="8" style="3" customWidth="1"/>
    <col min="18" max="18" width="8.7109375" style="3" customWidth="1"/>
    <col min="19" max="19" width="10" style="3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52">
      <c r="B1" s="57" t="s">
        <v>183</v>
      </c>
      <c r="C1" s="78" t="s" vm="1">
        <v>267</v>
      </c>
    </row>
    <row r="2" spans="2:52">
      <c r="B2" s="57" t="s">
        <v>182</v>
      </c>
      <c r="C2" s="78" t="s">
        <v>268</v>
      </c>
    </row>
    <row r="3" spans="2:52">
      <c r="B3" s="57" t="s">
        <v>184</v>
      </c>
      <c r="C3" s="78" t="s">
        <v>269</v>
      </c>
    </row>
    <row r="4" spans="2:52">
      <c r="B4" s="57" t="s">
        <v>185</v>
      </c>
      <c r="C4" s="78">
        <v>8803</v>
      </c>
    </row>
    <row r="6" spans="2:52" ht="26.25" customHeight="1">
      <c r="B6" s="153" t="s">
        <v>214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52" ht="26.25" customHeight="1">
      <c r="B7" s="153" t="s">
        <v>100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2:52" s="3" customFormat="1" ht="78.75">
      <c r="B8" s="23" t="s">
        <v>120</v>
      </c>
      <c r="C8" s="31" t="s">
        <v>47</v>
      </c>
      <c r="D8" s="31" t="s">
        <v>105</v>
      </c>
      <c r="E8" s="31" t="s">
        <v>106</v>
      </c>
      <c r="F8" s="31" t="s">
        <v>243</v>
      </c>
      <c r="G8" s="31" t="s">
        <v>242</v>
      </c>
      <c r="H8" s="31" t="s">
        <v>114</v>
      </c>
      <c r="I8" s="31" t="s">
        <v>62</v>
      </c>
      <c r="J8" s="31" t="s">
        <v>186</v>
      </c>
      <c r="K8" s="32" t="s">
        <v>188</v>
      </c>
      <c r="AZ8" s="1"/>
    </row>
    <row r="9" spans="2:52" s="3" customFormat="1" ht="21" customHeight="1">
      <c r="B9" s="16"/>
      <c r="C9" s="17"/>
      <c r="D9" s="17"/>
      <c r="E9" s="33" t="s">
        <v>22</v>
      </c>
      <c r="F9" s="33" t="s">
        <v>250</v>
      </c>
      <c r="G9" s="33"/>
      <c r="H9" s="33" t="s">
        <v>246</v>
      </c>
      <c r="I9" s="33" t="s">
        <v>20</v>
      </c>
      <c r="J9" s="33" t="s">
        <v>20</v>
      </c>
      <c r="K9" s="34" t="s">
        <v>20</v>
      </c>
      <c r="AZ9" s="1"/>
    </row>
    <row r="10" spans="2:52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AZ10" s="1"/>
    </row>
    <row r="11" spans="2:52" s="4" customFormat="1" ht="18" customHeight="1">
      <c r="B11" s="79" t="s">
        <v>1986</v>
      </c>
      <c r="C11" s="80"/>
      <c r="D11" s="80"/>
      <c r="E11" s="80"/>
      <c r="F11" s="88"/>
      <c r="G11" s="90"/>
      <c r="H11" s="88">
        <v>24769.956709999988</v>
      </c>
      <c r="I11" s="80"/>
      <c r="J11" s="89">
        <f>H11/$H$11</f>
        <v>1</v>
      </c>
      <c r="K11" s="89">
        <f>H11/'סכום נכסי הקרן'!$C$42</f>
        <v>2.6063704204172627E-2</v>
      </c>
      <c r="L11" s="3"/>
      <c r="M11" s="3"/>
      <c r="N11" s="3"/>
      <c r="O11" s="3"/>
      <c r="P11" s="3"/>
      <c r="Q11" s="3"/>
      <c r="R11" s="3"/>
      <c r="AZ11" s="1"/>
    </row>
    <row r="12" spans="2:52" ht="21" customHeight="1">
      <c r="B12" s="81" t="s">
        <v>1987</v>
      </c>
      <c r="C12" s="82"/>
      <c r="D12" s="82"/>
      <c r="E12" s="82"/>
      <c r="F12" s="91"/>
      <c r="G12" s="93"/>
      <c r="H12" s="91">
        <v>151.23026000000002</v>
      </c>
      <c r="I12" s="82"/>
      <c r="J12" s="92">
        <f t="shared" ref="J12:J14" si="0">H12/$H$11</f>
        <v>6.1053905652950205E-3</v>
      </c>
      <c r="K12" s="92">
        <f>H12/'סכום נכסי הקרן'!$C$42</f>
        <v>1.5912909374479574E-4</v>
      </c>
      <c r="S12" s="1"/>
    </row>
    <row r="13" spans="2:52">
      <c r="B13" s="102" t="s">
        <v>235</v>
      </c>
      <c r="C13" s="84"/>
      <c r="D13" s="84"/>
      <c r="E13" s="84"/>
      <c r="F13" s="94"/>
      <c r="G13" s="96"/>
      <c r="H13" s="94">
        <v>1.0000000000000001E-5</v>
      </c>
      <c r="I13" s="84"/>
      <c r="J13" s="95">
        <f t="shared" si="0"/>
        <v>4.0371487593124686E-10</v>
      </c>
      <c r="K13" s="95">
        <f>H13/'סכום נכסי הקרן'!$C$42</f>
        <v>1.052230510909627E-11</v>
      </c>
      <c r="S13" s="1"/>
    </row>
    <row r="14" spans="2:52">
      <c r="B14" s="87" t="s">
        <v>1988</v>
      </c>
      <c r="C14" s="84">
        <v>7004</v>
      </c>
      <c r="D14" s="97" t="s">
        <v>168</v>
      </c>
      <c r="E14" s="107">
        <v>43614</v>
      </c>
      <c r="F14" s="94">
        <v>12937.08</v>
      </c>
      <c r="G14" s="96">
        <v>0</v>
      </c>
      <c r="H14" s="94">
        <v>1.0000000000000001E-5</v>
      </c>
      <c r="I14" s="95">
        <v>1.52321844E-3</v>
      </c>
      <c r="J14" s="95">
        <f t="shared" si="0"/>
        <v>4.0371487593124686E-10</v>
      </c>
      <c r="K14" s="95">
        <f>H14/'סכום נכסי הקרן'!$C$42</f>
        <v>1.052230510909627E-11</v>
      </c>
      <c r="S14" s="1"/>
    </row>
    <row r="15" spans="2:52">
      <c r="B15" s="83"/>
      <c r="C15" s="84"/>
      <c r="D15" s="84"/>
      <c r="E15" s="84"/>
      <c r="F15" s="94"/>
      <c r="G15" s="96"/>
      <c r="H15" s="84"/>
      <c r="I15" s="84"/>
      <c r="J15" s="95"/>
      <c r="K15" s="84"/>
      <c r="S15" s="1"/>
    </row>
    <row r="16" spans="2:52">
      <c r="B16" s="102" t="s">
        <v>236</v>
      </c>
      <c r="C16" s="82"/>
      <c r="D16" s="82"/>
      <c r="E16" s="82"/>
      <c r="F16" s="91"/>
      <c r="G16" s="93"/>
      <c r="H16" s="91">
        <v>151.23025000000001</v>
      </c>
      <c r="I16" s="82"/>
      <c r="J16" s="92">
        <f t="shared" ref="J16:J20" si="1">H16/$H$11</f>
        <v>6.1053901615801447E-3</v>
      </c>
      <c r="K16" s="92">
        <f>H16/'סכום נכסי הקרן'!$C$42</f>
        <v>1.5912908322249063E-4</v>
      </c>
      <c r="S16" s="1"/>
    </row>
    <row r="17" spans="2:19">
      <c r="B17" s="87" t="s">
        <v>1989</v>
      </c>
      <c r="C17" s="84">
        <v>6662</v>
      </c>
      <c r="D17" s="97" t="s">
        <v>167</v>
      </c>
      <c r="E17" s="107">
        <v>43573</v>
      </c>
      <c r="F17" s="94">
        <v>2284.83</v>
      </c>
      <c r="G17" s="96">
        <v>29.158799999999999</v>
      </c>
      <c r="H17" s="94">
        <v>2.3024899999999997</v>
      </c>
      <c r="I17" s="84"/>
      <c r="J17" s="95">
        <f t="shared" si="1"/>
        <v>9.2954946468293636E-5</v>
      </c>
      <c r="K17" s="95">
        <f>H17/'סכום נכסי הקרן'!$C$42</f>
        <v>2.4227502290643064E-6</v>
      </c>
      <c r="S17" s="1"/>
    </row>
    <row r="18" spans="2:19">
      <c r="B18" s="87" t="s">
        <v>1990</v>
      </c>
      <c r="C18" s="84">
        <v>5310</v>
      </c>
      <c r="D18" s="97" t="s">
        <v>167</v>
      </c>
      <c r="E18" s="107">
        <v>43116</v>
      </c>
      <c r="F18" s="94">
        <v>34835.81</v>
      </c>
      <c r="G18" s="96">
        <v>97.221000000000004</v>
      </c>
      <c r="H18" s="94">
        <v>117.04687</v>
      </c>
      <c r="I18" s="95">
        <v>2.3430738152824371E-4</v>
      </c>
      <c r="J18" s="95">
        <f t="shared" si="1"/>
        <v>4.7253562600190775E-3</v>
      </c>
      <c r="K18" s="95">
        <f>H18/'סכום נכסי הקרן'!$C$42</f>
        <v>1.2316028782047268E-4</v>
      </c>
      <c r="S18" s="1"/>
    </row>
    <row r="19" spans="2:19">
      <c r="B19" s="87" t="s">
        <v>1991</v>
      </c>
      <c r="C19" s="84">
        <v>7026</v>
      </c>
      <c r="D19" s="97" t="s">
        <v>167</v>
      </c>
      <c r="E19" s="107">
        <v>43755</v>
      </c>
      <c r="F19" s="94">
        <v>2239.62</v>
      </c>
      <c r="G19" s="96">
        <v>100</v>
      </c>
      <c r="H19" s="94">
        <v>7.7401299999999997</v>
      </c>
      <c r="I19" s="95">
        <v>4.3069552380952383E-3</v>
      </c>
      <c r="J19" s="95">
        <f t="shared" si="1"/>
        <v>3.1248056226417214E-4</v>
      </c>
      <c r="K19" s="95">
        <f>H19/'סכום נכסי הקרן'!$C$42</f>
        <v>8.1444009444069294E-6</v>
      </c>
      <c r="S19" s="1"/>
    </row>
    <row r="20" spans="2:19">
      <c r="B20" s="87" t="s">
        <v>1992</v>
      </c>
      <c r="C20" s="84">
        <v>7029</v>
      </c>
      <c r="D20" s="97" t="s">
        <v>168</v>
      </c>
      <c r="E20" s="107">
        <v>43803</v>
      </c>
      <c r="F20" s="94">
        <v>24140.76</v>
      </c>
      <c r="G20" s="96">
        <v>100</v>
      </c>
      <c r="H20" s="94">
        <v>24.140759999999997</v>
      </c>
      <c r="I20" s="95">
        <v>7.9458418604651162E-4</v>
      </c>
      <c r="J20" s="95">
        <f t="shared" si="1"/>
        <v>9.7459839282860051E-4</v>
      </c>
      <c r="K20" s="95">
        <f>H20/'סכום נכסי הקרן'!$C$42</f>
        <v>2.5401644228546682E-5</v>
      </c>
      <c r="S20" s="1"/>
    </row>
    <row r="21" spans="2:19">
      <c r="B21" s="83"/>
      <c r="C21" s="84"/>
      <c r="D21" s="84"/>
      <c r="E21" s="84"/>
      <c r="F21" s="94"/>
      <c r="G21" s="96"/>
      <c r="H21" s="84"/>
      <c r="I21" s="84"/>
      <c r="J21" s="95"/>
      <c r="K21" s="84"/>
      <c r="S21" s="1"/>
    </row>
    <row r="22" spans="2:19" ht="16.5" customHeight="1">
      <c r="B22" s="81" t="s">
        <v>1993</v>
      </c>
      <c r="C22" s="82"/>
      <c r="D22" s="82"/>
      <c r="E22" s="82"/>
      <c r="F22" s="91"/>
      <c r="G22" s="93"/>
      <c r="H22" s="91">
        <v>24618.726449999991</v>
      </c>
      <c r="I22" s="82"/>
      <c r="J22" s="92">
        <f t="shared" ref="J22:J28" si="2">H22/$H$11</f>
        <v>0.99389460943470509</v>
      </c>
      <c r="K22" s="92">
        <f>H22/'סכום נכסי הקרן'!$C$42</f>
        <v>2.5904575110427836E-2</v>
      </c>
      <c r="S22" s="1"/>
    </row>
    <row r="23" spans="2:19" ht="16.5" customHeight="1">
      <c r="B23" s="102" t="s">
        <v>233</v>
      </c>
      <c r="C23" s="82"/>
      <c r="D23" s="82"/>
      <c r="E23" s="82"/>
      <c r="F23" s="91"/>
      <c r="G23" s="93"/>
      <c r="H23" s="91">
        <v>585.5050500000001</v>
      </c>
      <c r="I23" s="82"/>
      <c r="J23" s="92">
        <f t="shared" si="2"/>
        <v>2.363770986178685E-2</v>
      </c>
      <c r="K23" s="92">
        <f>H23/'סכום נכסי הקרן'!$C$42</f>
        <v>6.160862779016667E-4</v>
      </c>
      <c r="S23" s="1"/>
    </row>
    <row r="24" spans="2:19" ht="16.5" customHeight="1">
      <c r="B24" s="87" t="s">
        <v>1994</v>
      </c>
      <c r="C24" s="84">
        <v>5295</v>
      </c>
      <c r="D24" s="97" t="s">
        <v>167</v>
      </c>
      <c r="E24" s="107">
        <v>43003</v>
      </c>
      <c r="F24" s="94">
        <v>46470.31</v>
      </c>
      <c r="G24" s="96">
        <v>104.95699999999999</v>
      </c>
      <c r="H24" s="94">
        <v>168.56242</v>
      </c>
      <c r="I24" s="95">
        <v>7.1637827287120907E-5</v>
      </c>
      <c r="J24" s="95">
        <f t="shared" si="2"/>
        <v>6.8051156476970718E-3</v>
      </c>
      <c r="K24" s="95">
        <f>H24/'סכום נכסי הקרן'!$C$42</f>
        <v>1.7736652131676312E-4</v>
      </c>
      <c r="S24" s="1"/>
    </row>
    <row r="25" spans="2:19">
      <c r="B25" s="87" t="s">
        <v>1995</v>
      </c>
      <c r="C25" s="84">
        <v>5327</v>
      </c>
      <c r="D25" s="97" t="s">
        <v>167</v>
      </c>
      <c r="E25" s="107">
        <v>43348</v>
      </c>
      <c r="F25" s="94">
        <v>46962.77</v>
      </c>
      <c r="G25" s="96">
        <v>96.680499999999995</v>
      </c>
      <c r="H25" s="94">
        <v>156.91567000000001</v>
      </c>
      <c r="I25" s="95">
        <v>2.6707714285714289E-4</v>
      </c>
      <c r="J25" s="95">
        <f t="shared" si="2"/>
        <v>6.3349190245718476E-3</v>
      </c>
      <c r="K25" s="95">
        <f>H25/'סכום נכסי הקרן'!$C$42</f>
        <v>1.6511145561382641E-4</v>
      </c>
      <c r="S25" s="1"/>
    </row>
    <row r="26" spans="2:19">
      <c r="B26" s="87" t="s">
        <v>1996</v>
      </c>
      <c r="C26" s="84">
        <v>5288</v>
      </c>
      <c r="D26" s="97" t="s">
        <v>167</v>
      </c>
      <c r="E26" s="107">
        <v>42768</v>
      </c>
      <c r="F26" s="94">
        <v>11757.08</v>
      </c>
      <c r="G26" s="96">
        <v>139.40360000000001</v>
      </c>
      <c r="H26" s="94">
        <v>56.643120000000003</v>
      </c>
      <c r="I26" s="95">
        <v>3.4343479914655243E-5</v>
      </c>
      <c r="J26" s="95">
        <f t="shared" si="2"/>
        <v>2.2867670163158726E-3</v>
      </c>
      <c r="K26" s="95">
        <f>H26/'סכום נכסי הקרן'!$C$42</f>
        <v>5.960161909711531E-5</v>
      </c>
      <c r="S26" s="1"/>
    </row>
    <row r="27" spans="2:19">
      <c r="B27" s="87" t="s">
        <v>1997</v>
      </c>
      <c r="C27" s="84">
        <v>6645</v>
      </c>
      <c r="D27" s="97" t="s">
        <v>167</v>
      </c>
      <c r="E27" s="107">
        <v>43578</v>
      </c>
      <c r="F27" s="94">
        <v>7319.19</v>
      </c>
      <c r="G27" s="96">
        <v>93.334900000000005</v>
      </c>
      <c r="H27" s="94">
        <v>23.609180000000002</v>
      </c>
      <c r="I27" s="95">
        <v>1.4772855934982291E-3</v>
      </c>
      <c r="J27" s="95">
        <f t="shared" si="2"/>
        <v>9.5313771745384748E-4</v>
      </c>
      <c r="K27" s="95">
        <f>H27/'סכום נכסי הקרן'!$C$42</f>
        <v>2.4842299533557348E-5</v>
      </c>
      <c r="S27" s="1"/>
    </row>
    <row r="28" spans="2:19">
      <c r="B28" s="87" t="s">
        <v>1998</v>
      </c>
      <c r="C28" s="84">
        <v>5333</v>
      </c>
      <c r="D28" s="97" t="s">
        <v>167</v>
      </c>
      <c r="E28" s="107">
        <v>43340</v>
      </c>
      <c r="F28" s="94">
        <v>51383.24</v>
      </c>
      <c r="G28" s="96">
        <v>101.23560000000001</v>
      </c>
      <c r="H28" s="94">
        <v>179.77466000000001</v>
      </c>
      <c r="I28" s="95">
        <v>1.2920866037817421E-3</v>
      </c>
      <c r="J28" s="95">
        <f t="shared" si="2"/>
        <v>7.2577704557482085E-3</v>
      </c>
      <c r="K28" s="95">
        <f>H28/'סכום נכסי הקרן'!$C$42</f>
        <v>1.8916438234040447E-4</v>
      </c>
      <c r="S28" s="1"/>
    </row>
    <row r="29" spans="2:19">
      <c r="B29" s="83"/>
      <c r="C29" s="84"/>
      <c r="D29" s="84"/>
      <c r="E29" s="84"/>
      <c r="F29" s="94"/>
      <c r="G29" s="96"/>
      <c r="H29" s="84"/>
      <c r="I29" s="84"/>
      <c r="J29" s="95"/>
      <c r="K29" s="84"/>
      <c r="S29" s="1"/>
    </row>
    <row r="30" spans="2:19">
      <c r="B30" s="102" t="s">
        <v>235</v>
      </c>
      <c r="C30" s="82"/>
      <c r="D30" s="82"/>
      <c r="E30" s="82"/>
      <c r="F30" s="91"/>
      <c r="G30" s="93"/>
      <c r="H30" s="91">
        <v>1879.0674799999999</v>
      </c>
      <c r="I30" s="82"/>
      <c r="J30" s="92">
        <f t="shared" ref="J30:J35" si="3">H30/$H$11</f>
        <v>7.586074945546406E-2</v>
      </c>
      <c r="K30" s="92">
        <f>H30/'סכום נכסי הקרן'!$C$42</f>
        <v>1.9772121345140651E-3</v>
      </c>
      <c r="S30" s="1"/>
    </row>
    <row r="31" spans="2:19">
      <c r="B31" s="87" t="s">
        <v>1999</v>
      </c>
      <c r="C31" s="84">
        <v>6649</v>
      </c>
      <c r="D31" s="97" t="s">
        <v>167</v>
      </c>
      <c r="E31" s="107">
        <v>43633</v>
      </c>
      <c r="F31" s="94">
        <v>61119.63</v>
      </c>
      <c r="G31" s="96">
        <v>97.704099999999997</v>
      </c>
      <c r="H31" s="94">
        <v>206.37980999999999</v>
      </c>
      <c r="I31" s="95">
        <v>2.3563653673894758E-5</v>
      </c>
      <c r="J31" s="95">
        <f t="shared" si="3"/>
        <v>8.3318599388864292E-3</v>
      </c>
      <c r="K31" s="95">
        <f>H31/'סכום נכסי הקרן'!$C$42</f>
        <v>2.1715913291773172E-4</v>
      </c>
      <c r="S31" s="1"/>
    </row>
    <row r="32" spans="2:19">
      <c r="B32" s="87" t="s">
        <v>2000</v>
      </c>
      <c r="C32" s="84">
        <v>5328</v>
      </c>
      <c r="D32" s="97" t="s">
        <v>167</v>
      </c>
      <c r="E32" s="107">
        <v>43264</v>
      </c>
      <c r="F32" s="94">
        <v>94068.95</v>
      </c>
      <c r="G32" s="96">
        <v>99.920900000000003</v>
      </c>
      <c r="H32" s="94">
        <v>324.84517</v>
      </c>
      <c r="I32" s="95">
        <v>3.6573268024855284E-5</v>
      </c>
      <c r="J32" s="95">
        <f t="shared" si="3"/>
        <v>1.3114482750341478E-2</v>
      </c>
      <c r="K32" s="95">
        <f>H32/'סכום נכסי הקרן'!$C$42</f>
        <v>3.4181199919562459E-4</v>
      </c>
      <c r="S32" s="1"/>
    </row>
    <row r="33" spans="2:19">
      <c r="B33" s="87" t="s">
        <v>2001</v>
      </c>
      <c r="C33" s="84">
        <v>7002</v>
      </c>
      <c r="D33" s="97" t="s">
        <v>167</v>
      </c>
      <c r="E33" s="107">
        <v>43616</v>
      </c>
      <c r="F33" s="94">
        <v>275837.32</v>
      </c>
      <c r="G33" s="96">
        <v>101.6236</v>
      </c>
      <c r="H33" s="94">
        <v>968.77148</v>
      </c>
      <c r="I33" s="95">
        <v>7.839639714285716E-5</v>
      </c>
      <c r="J33" s="95">
        <f t="shared" si="3"/>
        <v>3.9110745785393038E-2</v>
      </c>
      <c r="K33" s="95">
        <f>H33/'סכום נכסי הקרן'!$C$42</f>
        <v>1.0193709093550753E-3</v>
      </c>
      <c r="S33" s="1"/>
    </row>
    <row r="34" spans="2:19">
      <c r="B34" s="87" t="s">
        <v>2002</v>
      </c>
      <c r="C34" s="84" t="s">
        <v>2003</v>
      </c>
      <c r="D34" s="97" t="s">
        <v>167</v>
      </c>
      <c r="E34" s="107">
        <v>43830</v>
      </c>
      <c r="F34" s="94">
        <v>39001.089999999997</v>
      </c>
      <c r="G34" s="96">
        <v>112.1799</v>
      </c>
      <c r="H34" s="94">
        <v>151.20481000000001</v>
      </c>
      <c r="I34" s="95">
        <v>3.4731770451421427E-7</v>
      </c>
      <c r="J34" s="95">
        <f t="shared" si="3"/>
        <v>6.1043631109357751E-3</v>
      </c>
      <c r="K34" s="95">
        <f>H34/'סכום נכסי הקרן'!$C$42</f>
        <v>1.5910231447829307E-4</v>
      </c>
      <c r="S34" s="1"/>
    </row>
    <row r="35" spans="2:19">
      <c r="B35" s="87" t="s">
        <v>2004</v>
      </c>
      <c r="C35" s="84">
        <v>5299</v>
      </c>
      <c r="D35" s="97" t="s">
        <v>167</v>
      </c>
      <c r="E35" s="107">
        <v>43002</v>
      </c>
      <c r="F35" s="94">
        <v>65194.47</v>
      </c>
      <c r="G35" s="96">
        <v>101.1336</v>
      </c>
      <c r="H35" s="94">
        <v>227.86621</v>
      </c>
      <c r="I35" s="95">
        <v>1.5131999999999998E-4</v>
      </c>
      <c r="J35" s="95">
        <f t="shared" si="3"/>
        <v>9.1992978699073427E-3</v>
      </c>
      <c r="K35" s="95">
        <f>H35/'סכום נכסי הקרן'!$C$42</f>
        <v>2.3976777856734031E-4</v>
      </c>
      <c r="S35" s="1"/>
    </row>
    <row r="36" spans="2:19">
      <c r="B36" s="83"/>
      <c r="C36" s="84"/>
      <c r="D36" s="84"/>
      <c r="E36" s="84"/>
      <c r="F36" s="94"/>
      <c r="G36" s="96"/>
      <c r="H36" s="84"/>
      <c r="I36" s="84"/>
      <c r="J36" s="95"/>
      <c r="K36" s="84"/>
      <c r="S36" s="1"/>
    </row>
    <row r="37" spans="2:19">
      <c r="B37" s="102" t="s">
        <v>236</v>
      </c>
      <c r="C37" s="82"/>
      <c r="D37" s="82"/>
      <c r="E37" s="82"/>
      <c r="F37" s="91"/>
      <c r="G37" s="93"/>
      <c r="H37" s="91">
        <v>22154.153919999993</v>
      </c>
      <c r="I37" s="82"/>
      <c r="J37" s="92">
        <f t="shared" ref="J37:J90" si="4">H37/$H$11</f>
        <v>0.89439615011745432</v>
      </c>
      <c r="K37" s="92">
        <f>H37/'סכום נכסי הקרן'!$C$42</f>
        <v>2.3311276698012105E-2</v>
      </c>
      <c r="S37" s="1"/>
    </row>
    <row r="38" spans="2:19">
      <c r="B38" s="87" t="s">
        <v>2005</v>
      </c>
      <c r="C38" s="84">
        <v>5238</v>
      </c>
      <c r="D38" s="97" t="s">
        <v>169</v>
      </c>
      <c r="E38" s="107">
        <v>43325</v>
      </c>
      <c r="F38" s="94">
        <v>200839.87</v>
      </c>
      <c r="G38" s="96">
        <v>102.1759</v>
      </c>
      <c r="H38" s="94">
        <v>795.84523000000002</v>
      </c>
      <c r="I38" s="95">
        <v>6.8266095838730601E-5</v>
      </c>
      <c r="J38" s="95">
        <f t="shared" si="4"/>
        <v>3.2129455828992459E-2</v>
      </c>
      <c r="K38" s="95">
        <f>H38/'סכום נכסי הקרן'!$C$42</f>
        <v>8.3741263296788953E-4</v>
      </c>
    </row>
    <row r="39" spans="2:19">
      <c r="B39" s="87" t="s">
        <v>2006</v>
      </c>
      <c r="C39" s="84">
        <v>5339</v>
      </c>
      <c r="D39" s="97" t="s">
        <v>167</v>
      </c>
      <c r="E39" s="107">
        <v>43399</v>
      </c>
      <c r="F39" s="94">
        <v>131682.03</v>
      </c>
      <c r="G39" s="96">
        <v>100.6902</v>
      </c>
      <c r="H39" s="94">
        <v>458.23410999999999</v>
      </c>
      <c r="I39" s="95">
        <v>3.7358210519721098E-4</v>
      </c>
      <c r="J39" s="95">
        <f t="shared" si="4"/>
        <v>1.849959268661153E-2</v>
      </c>
      <c r="K39" s="95">
        <f>H39/'סכום נכסי הקרן'!$C$42</f>
        <v>4.8216791168151818E-4</v>
      </c>
    </row>
    <row r="40" spans="2:19">
      <c r="B40" s="87" t="s">
        <v>2007</v>
      </c>
      <c r="C40" s="84">
        <v>7006</v>
      </c>
      <c r="D40" s="97" t="s">
        <v>169</v>
      </c>
      <c r="E40" s="107">
        <v>43698</v>
      </c>
      <c r="F40" s="94">
        <v>25500.47</v>
      </c>
      <c r="G40" s="96">
        <v>94.731700000000004</v>
      </c>
      <c r="H40" s="94">
        <v>93.685789999999997</v>
      </c>
      <c r="I40" s="95">
        <v>1.2671033714285715E-5</v>
      </c>
      <c r="J40" s="95">
        <f t="shared" si="4"/>
        <v>3.7822347086370845E-3</v>
      </c>
      <c r="K40" s="95">
        <f>H40/'סכום נכסי הקרן'!$C$42</f>
        <v>9.8579046676672014E-5</v>
      </c>
    </row>
    <row r="41" spans="2:19">
      <c r="B41" s="87" t="s">
        <v>2008</v>
      </c>
      <c r="C41" s="84">
        <v>5291</v>
      </c>
      <c r="D41" s="97" t="s">
        <v>167</v>
      </c>
      <c r="E41" s="107">
        <v>42908</v>
      </c>
      <c r="F41" s="94">
        <v>99636.71</v>
      </c>
      <c r="G41" s="96">
        <v>101.0107</v>
      </c>
      <c r="H41" s="94">
        <v>347.82477</v>
      </c>
      <c r="I41" s="95">
        <v>8.4516909605755519E-5</v>
      </c>
      <c r="J41" s="95">
        <f t="shared" si="4"/>
        <v>1.4042203386636446E-2</v>
      </c>
      <c r="K41" s="95">
        <f>H41/'סכום נכסי הקרן'!$C$42</f>
        <v>3.6599183544412347E-4</v>
      </c>
    </row>
    <row r="42" spans="2:19">
      <c r="B42" s="87" t="s">
        <v>2009</v>
      </c>
      <c r="C42" s="84">
        <v>5302</v>
      </c>
      <c r="D42" s="97" t="s">
        <v>167</v>
      </c>
      <c r="E42" s="107">
        <v>43003</v>
      </c>
      <c r="F42" s="94">
        <v>31560.81</v>
      </c>
      <c r="G42" s="96">
        <v>87.416700000000006</v>
      </c>
      <c r="H42" s="94">
        <v>95.349039999999988</v>
      </c>
      <c r="I42" s="95">
        <v>7.1657662850299914E-6</v>
      </c>
      <c r="J42" s="95">
        <f t="shared" si="4"/>
        <v>3.8493825853763487E-3</v>
      </c>
      <c r="K42" s="95">
        <f>H42/'סכום נכסי הקרן'!$C$42</f>
        <v>1.0032916907394244E-4</v>
      </c>
    </row>
    <row r="43" spans="2:19">
      <c r="B43" s="87" t="s">
        <v>2010</v>
      </c>
      <c r="C43" s="84">
        <v>6650</v>
      </c>
      <c r="D43" s="97" t="s">
        <v>169</v>
      </c>
      <c r="E43" s="107">
        <v>43637</v>
      </c>
      <c r="F43" s="94">
        <v>51640.58</v>
      </c>
      <c r="G43" s="96">
        <v>85.642300000000006</v>
      </c>
      <c r="H43" s="94">
        <v>171.51796999999999</v>
      </c>
      <c r="I43" s="95">
        <v>1.2318418318137372E-4</v>
      </c>
      <c r="J43" s="95">
        <f t="shared" si="4"/>
        <v>6.9244355978529317E-3</v>
      </c>
      <c r="K43" s="95">
        <f>H43/'סכום נכסי הקרן'!$C$42</f>
        <v>1.8047644120328205E-4</v>
      </c>
    </row>
    <row r="44" spans="2:19">
      <c r="B44" s="87" t="s">
        <v>2011</v>
      </c>
      <c r="C44" s="84">
        <v>6648</v>
      </c>
      <c r="D44" s="97" t="s">
        <v>167</v>
      </c>
      <c r="E44" s="107">
        <v>43698</v>
      </c>
      <c r="F44" s="94">
        <v>150719.13</v>
      </c>
      <c r="G44" s="96">
        <v>90.244799999999998</v>
      </c>
      <c r="H44" s="94">
        <v>470.07191999999998</v>
      </c>
      <c r="I44" s="95">
        <v>9.9458757877779626E-5</v>
      </c>
      <c r="J44" s="95">
        <f t="shared" si="4"/>
        <v>1.8977502686156299E-2</v>
      </c>
      <c r="K44" s="95">
        <f>H44/'סכום נכסי הקרן'!$C$42</f>
        <v>4.9462401654586921E-4</v>
      </c>
    </row>
    <row r="45" spans="2:19">
      <c r="B45" s="87" t="s">
        <v>2012</v>
      </c>
      <c r="C45" s="84">
        <v>6665</v>
      </c>
      <c r="D45" s="97" t="s">
        <v>167</v>
      </c>
      <c r="E45" s="107">
        <v>43578</v>
      </c>
      <c r="F45" s="94">
        <v>86553.05</v>
      </c>
      <c r="G45" s="96">
        <v>98.3155</v>
      </c>
      <c r="H45" s="94">
        <v>294.08855999999997</v>
      </c>
      <c r="I45" s="95">
        <v>2.201806641366224E-4</v>
      </c>
      <c r="J45" s="95">
        <f t="shared" si="4"/>
        <v>1.1872792651319903E-2</v>
      </c>
      <c r="K45" s="95">
        <f>H45/'סכום נכסי הקרן'!$C$42</f>
        <v>3.0944895574147645E-4</v>
      </c>
    </row>
    <row r="46" spans="2:19">
      <c r="B46" s="87" t="s">
        <v>2013</v>
      </c>
      <c r="C46" s="84">
        <v>7016</v>
      </c>
      <c r="D46" s="97" t="s">
        <v>167</v>
      </c>
      <c r="E46" s="107">
        <v>43742</v>
      </c>
      <c r="F46" s="94">
        <v>73097.149999999994</v>
      </c>
      <c r="G46" s="96">
        <v>97.712500000000006</v>
      </c>
      <c r="H46" s="94">
        <v>246.84496999999999</v>
      </c>
      <c r="I46" s="95">
        <v>4.2003696832579188E-4</v>
      </c>
      <c r="J46" s="95">
        <f t="shared" si="4"/>
        <v>9.9654986437802337E-3</v>
      </c>
      <c r="K46" s="95">
        <f>H46/'סכום נכסי הקרן'!$C$42</f>
        <v>2.5973780889857151E-4</v>
      </c>
    </row>
    <row r="47" spans="2:19">
      <c r="B47" s="87" t="s">
        <v>2014</v>
      </c>
      <c r="C47" s="84">
        <v>5237</v>
      </c>
      <c r="D47" s="97" t="s">
        <v>167</v>
      </c>
      <c r="E47" s="107">
        <v>43273</v>
      </c>
      <c r="F47" s="94">
        <v>363002.7</v>
      </c>
      <c r="G47" s="96">
        <v>94.671400000000006</v>
      </c>
      <c r="H47" s="94">
        <v>1187.6880200000001</v>
      </c>
      <c r="I47" s="95">
        <v>3.3017562499999999E-4</v>
      </c>
      <c r="J47" s="95">
        <f t="shared" si="4"/>
        <v>4.794873216393282E-2</v>
      </c>
      <c r="K47" s="95">
        <f>H47/'סכום נכסי הקרן'!$C$42</f>
        <v>1.2497215720858432E-3</v>
      </c>
    </row>
    <row r="48" spans="2:19">
      <c r="B48" s="87" t="s">
        <v>2015</v>
      </c>
      <c r="C48" s="84">
        <v>5290</v>
      </c>
      <c r="D48" s="97" t="s">
        <v>167</v>
      </c>
      <c r="E48" s="107">
        <v>42779</v>
      </c>
      <c r="F48" s="94">
        <v>97554.2</v>
      </c>
      <c r="G48" s="96">
        <v>80.176500000000004</v>
      </c>
      <c r="H48" s="94">
        <v>270.31290999999999</v>
      </c>
      <c r="I48" s="95">
        <v>3.4064060363142928E-5</v>
      </c>
      <c r="J48" s="95">
        <f t="shared" si="4"/>
        <v>1.0912934292326428E-2</v>
      </c>
      <c r="K48" s="95">
        <f>H48/'סכום נכסי הקרן'!$C$42</f>
        <v>2.84431491394768E-4</v>
      </c>
    </row>
    <row r="49" spans="2:11">
      <c r="B49" s="87" t="s">
        <v>2016</v>
      </c>
      <c r="C49" s="84">
        <v>5315</v>
      </c>
      <c r="D49" s="97" t="s">
        <v>175</v>
      </c>
      <c r="E49" s="107">
        <v>43129</v>
      </c>
      <c r="F49" s="94">
        <v>1088298.56</v>
      </c>
      <c r="G49" s="96">
        <v>98.846400000000003</v>
      </c>
      <c r="H49" s="94">
        <v>558.41868999999997</v>
      </c>
      <c r="I49" s="95">
        <v>1.9878774254620347E-4</v>
      </c>
      <c r="J49" s="95">
        <f t="shared" si="4"/>
        <v>2.2544193215103939E-2</v>
      </c>
      <c r="K49" s="95">
        <f>H49/'סכום נכסי הקרן'!$C$42</f>
        <v>5.8758518348018456E-4</v>
      </c>
    </row>
    <row r="50" spans="2:11">
      <c r="B50" s="87" t="s">
        <v>2017</v>
      </c>
      <c r="C50" s="84">
        <v>5332</v>
      </c>
      <c r="D50" s="97" t="s">
        <v>167</v>
      </c>
      <c r="E50" s="107">
        <v>43457</v>
      </c>
      <c r="F50" s="94">
        <v>28184.66</v>
      </c>
      <c r="G50" s="96">
        <v>106.5254</v>
      </c>
      <c r="H50" s="94">
        <v>103.76235000000001</v>
      </c>
      <c r="I50" s="95">
        <v>4.1371417659856923E-5</v>
      </c>
      <c r="J50" s="95">
        <f t="shared" si="4"/>
        <v>4.1890404256584614E-3</v>
      </c>
      <c r="K50" s="95">
        <f>H50/'סכום נכסי הקרן'!$C$42</f>
        <v>1.0918191055368354E-4</v>
      </c>
    </row>
    <row r="51" spans="2:11">
      <c r="B51" s="87" t="s">
        <v>2018</v>
      </c>
      <c r="C51" s="84">
        <v>5294</v>
      </c>
      <c r="D51" s="97" t="s">
        <v>170</v>
      </c>
      <c r="E51" s="107">
        <v>43002</v>
      </c>
      <c r="F51" s="94">
        <v>143554.60999999999</v>
      </c>
      <c r="G51" s="96">
        <v>106.7649</v>
      </c>
      <c r="H51" s="94">
        <v>698.84669999999994</v>
      </c>
      <c r="I51" s="95">
        <v>4.4170650346420353E-4</v>
      </c>
      <c r="J51" s="95">
        <f t="shared" si="4"/>
        <v>2.8213480878546124E-2</v>
      </c>
      <c r="K51" s="95">
        <f>H51/'סכום נכסי הקרן'!$C$42</f>
        <v>7.3534782018850665E-4</v>
      </c>
    </row>
    <row r="52" spans="2:11">
      <c r="B52" s="87" t="s">
        <v>2019</v>
      </c>
      <c r="C52" s="84">
        <v>6657</v>
      </c>
      <c r="D52" s="97" t="s">
        <v>167</v>
      </c>
      <c r="E52" s="107">
        <v>43558</v>
      </c>
      <c r="F52" s="94">
        <v>18545.21</v>
      </c>
      <c r="G52" s="96">
        <v>103.35769999999999</v>
      </c>
      <c r="H52" s="94">
        <v>66.24427</v>
      </c>
      <c r="I52" s="95">
        <v>2.1966803344289744E-3</v>
      </c>
      <c r="J52" s="95">
        <f t="shared" si="4"/>
        <v>2.6743797244206018E-3</v>
      </c>
      <c r="K52" s="95">
        <f>H52/'סכום נכסי הקרן'!$C$42</f>
        <v>6.9704242066935272E-5</v>
      </c>
    </row>
    <row r="53" spans="2:11">
      <c r="B53" s="87" t="s">
        <v>2020</v>
      </c>
      <c r="C53" s="84">
        <v>7009</v>
      </c>
      <c r="D53" s="97" t="s">
        <v>167</v>
      </c>
      <c r="E53" s="107">
        <v>43686</v>
      </c>
      <c r="F53" s="94">
        <v>19983.28</v>
      </c>
      <c r="G53" s="96">
        <v>97.325000000000003</v>
      </c>
      <c r="H53" s="94">
        <v>67.214820000000003</v>
      </c>
      <c r="I53" s="95">
        <v>2.1966803344289744E-3</v>
      </c>
      <c r="J53" s="95">
        <f t="shared" si="4"/>
        <v>2.713562271704109E-3</v>
      </c>
      <c r="K53" s="95">
        <f>H53/'סכום נכסי הקרן'!$C$42</f>
        <v>7.0725484389298608E-5</v>
      </c>
    </row>
    <row r="54" spans="2:11">
      <c r="B54" s="87" t="s">
        <v>2021</v>
      </c>
      <c r="C54" s="84">
        <v>7027</v>
      </c>
      <c r="D54" s="97" t="s">
        <v>170</v>
      </c>
      <c r="E54" s="107">
        <v>43762</v>
      </c>
      <c r="F54" s="94">
        <v>256253.45</v>
      </c>
      <c r="G54" s="96">
        <v>99.156099999999995</v>
      </c>
      <c r="H54" s="94">
        <v>1158.5784199999998</v>
      </c>
      <c r="I54" s="95">
        <v>1.0677227058763199E-4</v>
      </c>
      <c r="J54" s="95">
        <f t="shared" si="4"/>
        <v>4.6773534308691994E-2</v>
      </c>
      <c r="K54" s="95">
        <f>H54/'סכום נכסי הקרן'!$C$42</f>
        <v>1.2190915628054681E-3</v>
      </c>
    </row>
    <row r="55" spans="2:11">
      <c r="B55" s="87" t="s">
        <v>2022</v>
      </c>
      <c r="C55" s="84">
        <v>7018</v>
      </c>
      <c r="D55" s="97" t="s">
        <v>167</v>
      </c>
      <c r="E55" s="107">
        <v>43761</v>
      </c>
      <c r="F55" s="94">
        <v>9074.92</v>
      </c>
      <c r="G55" s="96">
        <v>23.4115</v>
      </c>
      <c r="H55" s="94">
        <v>7.3425500000000001</v>
      </c>
      <c r="I55" s="95">
        <v>2.5359014545454541E-5</v>
      </c>
      <c r="J55" s="95">
        <f t="shared" si="4"/>
        <v>2.9642966622689767E-4</v>
      </c>
      <c r="K55" s="95">
        <f>H55/'סכום נכסי הקרן'!$C$42</f>
        <v>7.7260551378794817E-6</v>
      </c>
    </row>
    <row r="56" spans="2:11">
      <c r="B56" s="87" t="s">
        <v>2023</v>
      </c>
      <c r="C56" s="84">
        <v>5239</v>
      </c>
      <c r="D56" s="97" t="s">
        <v>167</v>
      </c>
      <c r="E56" s="107">
        <v>43223</v>
      </c>
      <c r="F56" s="94">
        <v>3373.33</v>
      </c>
      <c r="G56" s="96">
        <v>81.874399999999994</v>
      </c>
      <c r="H56" s="94">
        <v>9.5450900000000001</v>
      </c>
      <c r="I56" s="95">
        <v>2.0144814814814819E-6</v>
      </c>
      <c r="J56" s="95">
        <f t="shared" si="4"/>
        <v>3.8534948251025847E-4</v>
      </c>
      <c r="K56" s="95">
        <f>H56/'סכום נכסי הקרן'!$C$42</f>
        <v>1.004363492737837E-5</v>
      </c>
    </row>
    <row r="57" spans="2:11">
      <c r="B57" s="87" t="s">
        <v>2024</v>
      </c>
      <c r="C57" s="84">
        <v>5297</v>
      </c>
      <c r="D57" s="97" t="s">
        <v>167</v>
      </c>
      <c r="E57" s="107">
        <v>42916</v>
      </c>
      <c r="F57" s="94">
        <v>77150.929999999993</v>
      </c>
      <c r="G57" s="96">
        <v>114.5985</v>
      </c>
      <c r="H57" s="94">
        <v>305.55813000000001</v>
      </c>
      <c r="I57" s="95">
        <v>5.5945014933804051E-5</v>
      </c>
      <c r="J57" s="95">
        <f t="shared" si="4"/>
        <v>1.2335836254273379E-2</v>
      </c>
      <c r="K57" s="95">
        <f>H57/'סכום נכסי הקרן'!$C$42</f>
        <v>3.2151758724249021E-4</v>
      </c>
    </row>
    <row r="58" spans="2:11">
      <c r="B58" s="87" t="s">
        <v>2025</v>
      </c>
      <c r="C58" s="84">
        <v>5313</v>
      </c>
      <c r="D58" s="97" t="s">
        <v>167</v>
      </c>
      <c r="E58" s="107">
        <v>43098</v>
      </c>
      <c r="F58" s="94">
        <v>2912.12</v>
      </c>
      <c r="G58" s="96">
        <v>72.131299999999996</v>
      </c>
      <c r="H58" s="94">
        <v>7.2595000000000001</v>
      </c>
      <c r="I58" s="95">
        <v>1.4504263130986239E-5</v>
      </c>
      <c r="J58" s="95">
        <f t="shared" si="4"/>
        <v>2.9307681418228862E-4</v>
      </c>
      <c r="K58" s="95">
        <f>H58/'סכום נכסי הקרן'!$C$42</f>
        <v>7.6386673939484372E-6</v>
      </c>
    </row>
    <row r="59" spans="2:11">
      <c r="B59" s="87" t="s">
        <v>2026</v>
      </c>
      <c r="C59" s="84">
        <v>5326</v>
      </c>
      <c r="D59" s="97" t="s">
        <v>170</v>
      </c>
      <c r="E59" s="107">
        <v>43234</v>
      </c>
      <c r="F59" s="94">
        <v>134223.14000000001</v>
      </c>
      <c r="G59" s="96">
        <v>100.0171</v>
      </c>
      <c r="H59" s="94">
        <v>612.12189000000001</v>
      </c>
      <c r="I59" s="95">
        <v>2.9499573946682321E-4</v>
      </c>
      <c r="J59" s="95">
        <f t="shared" si="4"/>
        <v>2.4712271287615033E-2</v>
      </c>
      <c r="K59" s="95">
        <f>H59/'סכום נכסי הקרן'!$C$42</f>
        <v>6.4409332905366646E-4</v>
      </c>
    </row>
    <row r="60" spans="2:11">
      <c r="B60" s="87" t="s">
        <v>2027</v>
      </c>
      <c r="C60" s="84">
        <v>5341</v>
      </c>
      <c r="D60" s="97" t="s">
        <v>167</v>
      </c>
      <c r="E60" s="107">
        <v>43496</v>
      </c>
      <c r="F60" s="94">
        <v>990846.67</v>
      </c>
      <c r="G60" s="96">
        <v>100</v>
      </c>
      <c r="H60" s="94">
        <v>3424.3660900000009</v>
      </c>
      <c r="I60" s="95">
        <v>5.2149824736842105E-5</v>
      </c>
      <c r="J60" s="95">
        <f t="shared" si="4"/>
        <v>0.13824675311675191</v>
      </c>
      <c r="K60" s="95">
        <f>H60/'סכום נכסי הקרן'!$C$42</f>
        <v>3.6032224804223023E-3</v>
      </c>
    </row>
    <row r="61" spans="2:11">
      <c r="B61" s="87" t="s">
        <v>2028</v>
      </c>
      <c r="C61" s="84">
        <v>5336</v>
      </c>
      <c r="D61" s="97" t="s">
        <v>169</v>
      </c>
      <c r="E61" s="107">
        <v>43363</v>
      </c>
      <c r="F61" s="94">
        <v>7068.61</v>
      </c>
      <c r="G61" s="96">
        <v>105.9532</v>
      </c>
      <c r="H61" s="94">
        <v>29.045459999999999</v>
      </c>
      <c r="I61" s="95">
        <v>3.362351849092361E-5</v>
      </c>
      <c r="J61" s="95">
        <f t="shared" si="4"/>
        <v>1.1726084280265993E-3</v>
      </c>
      <c r="K61" s="95">
        <f>H61/'סכום נכסי הקרן'!$C$42</f>
        <v>3.056251921540513E-5</v>
      </c>
    </row>
    <row r="62" spans="2:11">
      <c r="B62" s="87" t="s">
        <v>2029</v>
      </c>
      <c r="C62" s="84">
        <v>5309</v>
      </c>
      <c r="D62" s="97" t="s">
        <v>167</v>
      </c>
      <c r="E62" s="107">
        <v>43125</v>
      </c>
      <c r="F62" s="94">
        <v>130198.97</v>
      </c>
      <c r="G62" s="96">
        <v>101.33280000000001</v>
      </c>
      <c r="H62" s="94">
        <v>455.96481</v>
      </c>
      <c r="I62" s="95">
        <v>3.4646904165643554E-4</v>
      </c>
      <c r="J62" s="95">
        <f t="shared" si="4"/>
        <v>1.8407977669816455E-2</v>
      </c>
      <c r="K62" s="95">
        <f>H62/'סכום נכסי הקרן'!$C$42</f>
        <v>4.7978008498311095E-4</v>
      </c>
    </row>
    <row r="63" spans="2:11">
      <c r="B63" s="87" t="s">
        <v>2030</v>
      </c>
      <c r="C63" s="84">
        <v>5321</v>
      </c>
      <c r="D63" s="97" t="s">
        <v>167</v>
      </c>
      <c r="E63" s="107">
        <v>43201</v>
      </c>
      <c r="F63" s="94">
        <v>26923.55</v>
      </c>
      <c r="G63" s="96">
        <v>108.1942</v>
      </c>
      <c r="H63" s="94">
        <v>100.67228</v>
      </c>
      <c r="I63" s="95">
        <v>6.2758846153846149E-6</v>
      </c>
      <c r="J63" s="95">
        <f t="shared" si="4"/>
        <v>4.0642897029915743E-3</v>
      </c>
      <c r="K63" s="95">
        <f>H63/'סכום נכסי הקרן'!$C$42</f>
        <v>1.0593044461883701E-4</v>
      </c>
    </row>
    <row r="64" spans="2:11">
      <c r="B64" s="87" t="s">
        <v>2031</v>
      </c>
      <c r="C64" s="84">
        <v>7012</v>
      </c>
      <c r="D64" s="97" t="s">
        <v>169</v>
      </c>
      <c r="E64" s="107">
        <v>43721</v>
      </c>
      <c r="F64" s="94">
        <v>337.98</v>
      </c>
      <c r="G64" s="96">
        <v>100</v>
      </c>
      <c r="H64" s="94">
        <v>1.3107500000000001</v>
      </c>
      <c r="I64" s="95">
        <v>7.5690757659043002E-6</v>
      </c>
      <c r="J64" s="95">
        <f t="shared" si="4"/>
        <v>5.291692736268818E-5</v>
      </c>
      <c r="K64" s="95">
        <f>H64/'סכום נכסי הקרן'!$C$42</f>
        <v>1.3792111421747935E-6</v>
      </c>
    </row>
    <row r="65" spans="2:11">
      <c r="B65" s="87" t="s">
        <v>2032</v>
      </c>
      <c r="C65" s="84">
        <v>6653</v>
      </c>
      <c r="D65" s="97" t="s">
        <v>167</v>
      </c>
      <c r="E65" s="107">
        <v>43516</v>
      </c>
      <c r="F65" s="94">
        <v>906118.14</v>
      </c>
      <c r="G65" s="96">
        <v>93.669499999999999</v>
      </c>
      <c r="H65" s="94">
        <v>2933.30188</v>
      </c>
      <c r="I65" s="95">
        <v>9.4947877876274276E-5</v>
      </c>
      <c r="J65" s="95">
        <f t="shared" si="4"/>
        <v>0.11842176045530931</v>
      </c>
      <c r="K65" s="95">
        <f>H65/'סכום נכסי הקרן'!$C$42</f>
        <v>3.0865097358445692E-3</v>
      </c>
    </row>
    <row r="66" spans="2:11">
      <c r="B66" s="87" t="s">
        <v>2033</v>
      </c>
      <c r="C66" s="84">
        <v>7001</v>
      </c>
      <c r="D66" s="97" t="s">
        <v>169</v>
      </c>
      <c r="E66" s="107">
        <v>43612</v>
      </c>
      <c r="F66" s="94">
        <v>19239.150000000001</v>
      </c>
      <c r="G66" s="96">
        <v>101.4636</v>
      </c>
      <c r="H66" s="94">
        <v>75.705330000000004</v>
      </c>
      <c r="I66" s="95">
        <v>3.1747778333333335E-4</v>
      </c>
      <c r="J66" s="95">
        <f t="shared" si="4"/>
        <v>3.0563367908284099E-3</v>
      </c>
      <c r="K66" s="95">
        <f>H66/'סכום נכסי הקרן'!$C$42</f>
        <v>7.9659458064481912E-5</v>
      </c>
    </row>
    <row r="67" spans="2:11">
      <c r="B67" s="87" t="s">
        <v>2034</v>
      </c>
      <c r="C67" s="84">
        <v>5303</v>
      </c>
      <c r="D67" s="97" t="s">
        <v>169</v>
      </c>
      <c r="E67" s="107">
        <v>43034</v>
      </c>
      <c r="F67" s="94">
        <v>190192.32</v>
      </c>
      <c r="G67" s="96">
        <v>102.212</v>
      </c>
      <c r="H67" s="94">
        <v>753.91962999999998</v>
      </c>
      <c r="I67" s="95">
        <v>3.3642890173410405E-4</v>
      </c>
      <c r="J67" s="95">
        <f t="shared" si="4"/>
        <v>3.043685698875815E-2</v>
      </c>
      <c r="K67" s="95">
        <f>H67/'סכום נכסי הקרן'!$C$42</f>
        <v>7.9329723745969686E-4</v>
      </c>
    </row>
    <row r="68" spans="2:11">
      <c r="B68" s="87" t="s">
        <v>2035</v>
      </c>
      <c r="C68" s="84">
        <v>7011</v>
      </c>
      <c r="D68" s="97" t="s">
        <v>169</v>
      </c>
      <c r="E68" s="107">
        <v>43698</v>
      </c>
      <c r="F68" s="94">
        <v>32902.639999999999</v>
      </c>
      <c r="G68" s="96">
        <v>100</v>
      </c>
      <c r="H68" s="94">
        <v>127.60302</v>
      </c>
      <c r="I68" s="95">
        <v>2.6751902499999998E-4</v>
      </c>
      <c r="J68" s="95">
        <f t="shared" si="4"/>
        <v>5.1515237387752405E-3</v>
      </c>
      <c r="K68" s="95">
        <f>H68/'סכום נכסי הקרן'!$C$42</f>
        <v>1.3426779092821133E-4</v>
      </c>
    </row>
    <row r="69" spans="2:11">
      <c r="B69" s="87" t="s">
        <v>2036</v>
      </c>
      <c r="C69" s="84">
        <v>6644</v>
      </c>
      <c r="D69" s="97" t="s">
        <v>167</v>
      </c>
      <c r="E69" s="107">
        <v>43444</v>
      </c>
      <c r="F69" s="94">
        <v>5887.86</v>
      </c>
      <c r="G69" s="96">
        <v>102.32899999999999</v>
      </c>
      <c r="H69" s="94">
        <v>20.822330000000001</v>
      </c>
      <c r="I69" s="95">
        <v>1.9196823529411765E-5</v>
      </c>
      <c r="J69" s="95">
        <f t="shared" si="4"/>
        <v>8.4062843725494791E-4</v>
      </c>
      <c r="K69" s="95">
        <f>H69/'סכום נכסי הקרן'!$C$42</f>
        <v>2.1909890934228851E-5</v>
      </c>
    </row>
    <row r="70" spans="2:11">
      <c r="B70" s="87" t="s">
        <v>2037</v>
      </c>
      <c r="C70" s="84">
        <v>7017</v>
      </c>
      <c r="D70" s="97" t="s">
        <v>168</v>
      </c>
      <c r="E70" s="107">
        <v>43782</v>
      </c>
      <c r="F70" s="94">
        <v>68334.31</v>
      </c>
      <c r="G70" s="96">
        <v>96.41</v>
      </c>
      <c r="H70" s="94">
        <v>65.882750000000001</v>
      </c>
      <c r="I70" s="95">
        <v>2.9399999999999999E-2</v>
      </c>
      <c r="J70" s="95">
        <f t="shared" si="4"/>
        <v>2.6597846242259354E-3</v>
      </c>
      <c r="K70" s="95">
        <f>H70/'סכום נכסי הקרן'!$C$42</f>
        <v>6.9323839692631223E-5</v>
      </c>
    </row>
    <row r="71" spans="2:11">
      <c r="B71" s="87" t="s">
        <v>2038</v>
      </c>
      <c r="C71" s="84">
        <v>6885</v>
      </c>
      <c r="D71" s="97" t="s">
        <v>169</v>
      </c>
      <c r="E71" s="107">
        <v>43608</v>
      </c>
      <c r="F71" s="94">
        <v>14286.5</v>
      </c>
      <c r="G71" s="96">
        <v>128.83940000000001</v>
      </c>
      <c r="H71" s="94">
        <v>71.384630000000001</v>
      </c>
      <c r="I71" s="95">
        <v>4.762166666666667E-4</v>
      </c>
      <c r="J71" s="95">
        <f t="shared" si="4"/>
        <v>2.881903704384796E-3</v>
      </c>
      <c r="K71" s="95">
        <f>H71/'סכום נכסי הקרן'!$C$42</f>
        <v>7.5113085695994677E-5</v>
      </c>
    </row>
    <row r="72" spans="2:11">
      <c r="B72" s="87" t="s">
        <v>2039</v>
      </c>
      <c r="C72" s="84">
        <v>5317</v>
      </c>
      <c r="D72" s="97" t="s">
        <v>167</v>
      </c>
      <c r="E72" s="107">
        <v>43264</v>
      </c>
      <c r="F72" s="94">
        <v>30014.12</v>
      </c>
      <c r="G72" s="96">
        <v>68.184799999999996</v>
      </c>
      <c r="H72" s="94">
        <v>70.727279999999993</v>
      </c>
      <c r="I72" s="95">
        <v>1.8292492469978904E-4</v>
      </c>
      <c r="J72" s="95">
        <f t="shared" si="4"/>
        <v>2.8553655070154551E-3</v>
      </c>
      <c r="K72" s="95">
        <f>H72/'סכום נכסי הקרן'!$C$42</f>
        <v>7.4421401969648225E-5</v>
      </c>
    </row>
    <row r="73" spans="2:11">
      <c r="B73" s="87" t="s">
        <v>2040</v>
      </c>
      <c r="C73" s="84">
        <v>5298</v>
      </c>
      <c r="D73" s="97" t="s">
        <v>167</v>
      </c>
      <c r="E73" s="107">
        <v>43188</v>
      </c>
      <c r="F73" s="94">
        <v>12.56</v>
      </c>
      <c r="G73" s="96">
        <v>100</v>
      </c>
      <c r="H73" s="94">
        <v>4.3409999999999997E-2</v>
      </c>
      <c r="I73" s="95">
        <v>2.6549523134100357E-4</v>
      </c>
      <c r="J73" s="95">
        <f t="shared" si="4"/>
        <v>1.7525262764175423E-6</v>
      </c>
      <c r="K73" s="95">
        <f>H73/'סכום נכסי הקרן'!$C$42</f>
        <v>4.56773264785869E-8</v>
      </c>
    </row>
    <row r="74" spans="2:11">
      <c r="B74" s="87" t="s">
        <v>2041</v>
      </c>
      <c r="C74" s="84">
        <v>6651</v>
      </c>
      <c r="D74" s="97" t="s">
        <v>169</v>
      </c>
      <c r="E74" s="107">
        <v>43503</v>
      </c>
      <c r="F74" s="94">
        <v>170358.08</v>
      </c>
      <c r="G74" s="96">
        <v>100.4141</v>
      </c>
      <c r="H74" s="94">
        <v>663.41862000000003</v>
      </c>
      <c r="I74" s="95">
        <v>2.1868816832720981E-3</v>
      </c>
      <c r="J74" s="95">
        <f t="shared" si="4"/>
        <v>2.67831965863779E-2</v>
      </c>
      <c r="K74" s="95">
        <f>H74/'סכום נכסי הקרן'!$C$42</f>
        <v>6.9806931346955961E-4</v>
      </c>
    </row>
    <row r="75" spans="2:11">
      <c r="B75" s="87" t="s">
        <v>2042</v>
      </c>
      <c r="C75" s="84">
        <v>5316</v>
      </c>
      <c r="D75" s="97" t="s">
        <v>167</v>
      </c>
      <c r="E75" s="107">
        <v>43175</v>
      </c>
      <c r="F75" s="94">
        <v>401626.39</v>
      </c>
      <c r="G75" s="96">
        <v>104.4016</v>
      </c>
      <c r="H75" s="94">
        <v>1449.1159299999999</v>
      </c>
      <c r="I75" s="95">
        <v>6.7750000000000007E-5</v>
      </c>
      <c r="J75" s="95">
        <f t="shared" si="4"/>
        <v>5.8502965788994332E-2</v>
      </c>
      <c r="K75" s="95">
        <f>H75/'סכום נכסי הקרן'!$C$42</f>
        <v>1.5248039953911791E-3</v>
      </c>
    </row>
    <row r="76" spans="2:11">
      <c r="B76" s="87" t="s">
        <v>2043</v>
      </c>
      <c r="C76" s="84">
        <v>5331</v>
      </c>
      <c r="D76" s="97" t="s">
        <v>167</v>
      </c>
      <c r="E76" s="107">
        <v>43455</v>
      </c>
      <c r="F76" s="94">
        <v>56298.43</v>
      </c>
      <c r="G76" s="96">
        <v>113.60080000000001</v>
      </c>
      <c r="H76" s="94">
        <v>221.0301</v>
      </c>
      <c r="I76" s="95">
        <v>2.6034642857142857E-4</v>
      </c>
      <c r="J76" s="95">
        <f t="shared" si="4"/>
        <v>8.9233139398571075E-3</v>
      </c>
      <c r="K76" s="95">
        <f>H76/'סכום נכסי הקרן'!$C$42</f>
        <v>2.3257461504940592E-4</v>
      </c>
    </row>
    <row r="77" spans="2:11">
      <c r="B77" s="87" t="s">
        <v>2044</v>
      </c>
      <c r="C77" s="84">
        <v>7010</v>
      </c>
      <c r="D77" s="97" t="s">
        <v>169</v>
      </c>
      <c r="E77" s="107">
        <v>43693</v>
      </c>
      <c r="F77" s="94">
        <v>1259.1500000000001</v>
      </c>
      <c r="G77" s="96">
        <v>100</v>
      </c>
      <c r="H77" s="94">
        <v>4.8832399999999998</v>
      </c>
      <c r="I77" s="95">
        <v>2.2046480000000002E-5</v>
      </c>
      <c r="J77" s="95">
        <f t="shared" si="4"/>
        <v>1.9714366307425018E-4</v>
      </c>
      <c r="K77" s="95">
        <f>H77/'סכום נכסי הקרן'!$C$42</f>
        <v>5.1382941200943259E-6</v>
      </c>
    </row>
    <row r="78" spans="2:11">
      <c r="B78" s="87" t="s">
        <v>2045</v>
      </c>
      <c r="C78" s="84">
        <v>5320</v>
      </c>
      <c r="D78" s="97" t="s">
        <v>167</v>
      </c>
      <c r="E78" s="107">
        <v>43448</v>
      </c>
      <c r="F78" s="94">
        <v>15729.47</v>
      </c>
      <c r="G78" s="96">
        <v>96.074299999999994</v>
      </c>
      <c r="H78" s="94">
        <v>52.226999999999997</v>
      </c>
      <c r="I78" s="95">
        <v>1.0975495481987341E-4</v>
      </c>
      <c r="J78" s="95">
        <f t="shared" si="4"/>
        <v>2.1084816825261226E-3</v>
      </c>
      <c r="K78" s="95">
        <f>H78/'סכום נכסי הקרן'!$C$42</f>
        <v>5.4954842893277083E-5</v>
      </c>
    </row>
    <row r="79" spans="2:11">
      <c r="B79" s="87" t="s">
        <v>2046</v>
      </c>
      <c r="C79" s="84">
        <v>5287</v>
      </c>
      <c r="D79" s="97" t="s">
        <v>169</v>
      </c>
      <c r="E79" s="107">
        <v>42809</v>
      </c>
      <c r="F79" s="94">
        <v>23002.83</v>
      </c>
      <c r="G79" s="96">
        <v>97.767700000000005</v>
      </c>
      <c r="H79" s="94">
        <v>87.218119999999999</v>
      </c>
      <c r="I79" s="95">
        <v>1.5015142671893857E-5</v>
      </c>
      <c r="J79" s="95">
        <f t="shared" si="4"/>
        <v>3.5211252494756597E-3</v>
      </c>
      <c r="K79" s="95">
        <f>H79/'סכום נכסי הקרן'!$C$42</f>
        <v>9.177356696817715E-5</v>
      </c>
    </row>
    <row r="80" spans="2:11">
      <c r="B80" s="87" t="s">
        <v>2047</v>
      </c>
      <c r="C80" s="84">
        <v>5335</v>
      </c>
      <c r="D80" s="97" t="s">
        <v>167</v>
      </c>
      <c r="E80" s="107">
        <v>43355</v>
      </c>
      <c r="F80" s="94">
        <v>49964.639999999999</v>
      </c>
      <c r="G80" s="96">
        <v>102.5352</v>
      </c>
      <c r="H80" s="94">
        <v>177.05552</v>
      </c>
      <c r="I80" s="95">
        <v>1.3499444689159167E-4</v>
      </c>
      <c r="J80" s="95">
        <f t="shared" si="4"/>
        <v>7.147994728974239E-3</v>
      </c>
      <c r="K80" s="95">
        <f>H80/'סכום נכסי הקרן'!$C$42</f>
        <v>1.8630322026896967E-4</v>
      </c>
    </row>
    <row r="81" spans="2:11">
      <c r="B81" s="87" t="s">
        <v>2048</v>
      </c>
      <c r="C81" s="84">
        <v>7013</v>
      </c>
      <c r="D81" s="97" t="s">
        <v>169</v>
      </c>
      <c r="E81" s="107">
        <v>43733</v>
      </c>
      <c r="F81" s="94">
        <v>41000.550000000003</v>
      </c>
      <c r="G81" s="96">
        <v>101.4973</v>
      </c>
      <c r="H81" s="94">
        <v>161.38916</v>
      </c>
      <c r="I81" s="95">
        <v>1.0933480400000001E-4</v>
      </c>
      <c r="J81" s="95">
        <f t="shared" si="4"/>
        <v>6.5155204706048141E-3</v>
      </c>
      <c r="K81" s="95">
        <f>H81/'סכום נכסי הקרן'!$C$42</f>
        <v>1.6981859828207551E-4</v>
      </c>
    </row>
    <row r="82" spans="2:11">
      <c r="B82" s="87" t="s">
        <v>2049</v>
      </c>
      <c r="C82" s="84">
        <v>5304</v>
      </c>
      <c r="D82" s="97" t="s">
        <v>169</v>
      </c>
      <c r="E82" s="107">
        <v>43080</v>
      </c>
      <c r="F82" s="94">
        <v>179963.18</v>
      </c>
      <c r="G82" s="96">
        <v>94.398399999999995</v>
      </c>
      <c r="H82" s="94">
        <v>658.83776</v>
      </c>
      <c r="I82" s="95">
        <v>5.8202200000000003E-5</v>
      </c>
      <c r="J82" s="95">
        <f t="shared" si="4"/>
        <v>2.6598260453722058E-2</v>
      </c>
      <c r="K82" s="95">
        <f>H82/'סכום נכסי הקרן'!$C$42</f>
        <v>6.9324919281135418E-4</v>
      </c>
    </row>
    <row r="83" spans="2:11">
      <c r="B83" s="87" t="s">
        <v>2050</v>
      </c>
      <c r="C83" s="84">
        <v>6652</v>
      </c>
      <c r="D83" s="97" t="s">
        <v>167</v>
      </c>
      <c r="E83" s="107">
        <v>43816</v>
      </c>
      <c r="F83" s="94">
        <v>1064.01</v>
      </c>
      <c r="G83" s="96">
        <v>100</v>
      </c>
      <c r="H83" s="94">
        <v>3.6772199999999997</v>
      </c>
      <c r="I83" s="95">
        <v>1.7405120000000002E-5</v>
      </c>
      <c r="J83" s="95">
        <f t="shared" si="4"/>
        <v>1.4845484160718993E-4</v>
      </c>
      <c r="K83" s="95">
        <f>H83/'סכום נכסי הקרן'!$C$42</f>
        <v>3.8692830793270975E-6</v>
      </c>
    </row>
    <row r="84" spans="2:11">
      <c r="B84" s="87" t="s">
        <v>2051</v>
      </c>
      <c r="C84" s="84">
        <v>6646</v>
      </c>
      <c r="D84" s="97" t="s">
        <v>169</v>
      </c>
      <c r="E84" s="107">
        <v>43460</v>
      </c>
      <c r="F84" s="94">
        <v>327030.84000000003</v>
      </c>
      <c r="G84" s="96">
        <v>99.634799999999998</v>
      </c>
      <c r="H84" s="94">
        <v>1263.6591899999999</v>
      </c>
      <c r="I84" s="95">
        <v>2.9887383004718676E-4</v>
      </c>
      <c r="J84" s="95">
        <f t="shared" si="4"/>
        <v>5.1015801311022978E-2</v>
      </c>
      <c r="K84" s="95">
        <f>H84/'סכום נכסי הקרן'!$C$42</f>
        <v>1.3296607551093451E-3</v>
      </c>
    </row>
    <row r="85" spans="2:11">
      <c r="B85" s="87" t="s">
        <v>2052</v>
      </c>
      <c r="C85" s="84">
        <v>6647</v>
      </c>
      <c r="D85" s="97" t="s">
        <v>167</v>
      </c>
      <c r="E85" s="107">
        <v>43510</v>
      </c>
      <c r="F85" s="94">
        <v>183779.34</v>
      </c>
      <c r="G85" s="96">
        <v>96.484899999999996</v>
      </c>
      <c r="H85" s="94">
        <v>612.81554000000006</v>
      </c>
      <c r="I85" s="95">
        <v>4.6485961124149228E-5</v>
      </c>
      <c r="J85" s="95">
        <f t="shared" si="4"/>
        <v>2.4740274969984006E-2</v>
      </c>
      <c r="K85" s="95">
        <f>H85/'סכום נכסי הקרן'!$C$42</f>
        <v>6.4482320874755894E-4</v>
      </c>
    </row>
    <row r="86" spans="2:11">
      <c r="B86" s="87" t="s">
        <v>2053</v>
      </c>
      <c r="C86" s="84">
        <v>6642</v>
      </c>
      <c r="D86" s="97" t="s">
        <v>167</v>
      </c>
      <c r="E86" s="107">
        <v>43465</v>
      </c>
      <c r="F86" s="94">
        <v>13687.91</v>
      </c>
      <c r="G86" s="96">
        <v>97.404399999999995</v>
      </c>
      <c r="H86" s="94">
        <v>46.077570000000001</v>
      </c>
      <c r="I86" s="95">
        <v>1.1240808333333334E-5</v>
      </c>
      <c r="J86" s="95">
        <f t="shared" si="4"/>
        <v>1.8602200455763343E-3</v>
      </c>
      <c r="K86" s="95">
        <f>H86/'סכום נכסי הקרן'!$C$42</f>
        <v>4.84842250225741E-5</v>
      </c>
    </row>
    <row r="87" spans="2:11">
      <c r="B87" s="87" t="s">
        <v>2054</v>
      </c>
      <c r="C87" s="84">
        <v>5337</v>
      </c>
      <c r="D87" s="97" t="s">
        <v>167</v>
      </c>
      <c r="E87" s="107">
        <v>43490</v>
      </c>
      <c r="F87" s="94">
        <v>113185.26</v>
      </c>
      <c r="G87" s="96">
        <v>96.449700000000007</v>
      </c>
      <c r="H87" s="94">
        <v>377.28063000000003</v>
      </c>
      <c r="I87" s="95">
        <v>7.1831324444444452E-5</v>
      </c>
      <c r="J87" s="95">
        <f t="shared" si="4"/>
        <v>1.5231380273171266E-2</v>
      </c>
      <c r="K87" s="95">
        <f>H87/'סכום נכסי הקרן'!$C$42</f>
        <v>3.9698619006120592E-4</v>
      </c>
    </row>
    <row r="88" spans="2:11">
      <c r="B88" s="87" t="s">
        <v>2055</v>
      </c>
      <c r="C88" s="84">
        <v>7005</v>
      </c>
      <c r="D88" s="97" t="s">
        <v>167</v>
      </c>
      <c r="E88" s="107">
        <v>43636</v>
      </c>
      <c r="F88" s="94">
        <v>6835.57</v>
      </c>
      <c r="G88" s="96">
        <v>95.831800000000001</v>
      </c>
      <c r="H88" s="94">
        <v>22.639050000000001</v>
      </c>
      <c r="I88" s="95">
        <v>4.5953416470588232E-5</v>
      </c>
      <c r="J88" s="95">
        <f t="shared" si="4"/>
        <v>9.1397212619512942E-4</v>
      </c>
      <c r="K88" s="95">
        <f>H88/'סכום נכסי הקרן'!$C$42</f>
        <v>2.3821499148008588E-5</v>
      </c>
    </row>
    <row r="89" spans="2:11">
      <c r="B89" s="87" t="s">
        <v>2056</v>
      </c>
      <c r="C89" s="84">
        <v>5286</v>
      </c>
      <c r="D89" s="97" t="s">
        <v>167</v>
      </c>
      <c r="E89" s="107">
        <v>42727</v>
      </c>
      <c r="F89" s="94">
        <v>16121.27</v>
      </c>
      <c r="G89" s="96">
        <v>115.1752</v>
      </c>
      <c r="H89" s="94">
        <v>64.169970000000006</v>
      </c>
      <c r="I89" s="95">
        <v>8.4919715453529626E-6</v>
      </c>
      <c r="J89" s="95">
        <f t="shared" si="4"/>
        <v>2.5906371477061835E-3</v>
      </c>
      <c r="K89" s="95">
        <f>H89/'סכום נכסי הקרן'!$C$42</f>
        <v>6.7521600318155435E-5</v>
      </c>
    </row>
    <row r="90" spans="2:11">
      <c r="B90" s="87" t="s">
        <v>2057</v>
      </c>
      <c r="C90" s="84">
        <v>6658</v>
      </c>
      <c r="D90" s="97" t="s">
        <v>167</v>
      </c>
      <c r="E90" s="107">
        <v>43633</v>
      </c>
      <c r="F90" s="94">
        <v>38571.01</v>
      </c>
      <c r="G90" s="96">
        <v>98.689099999999996</v>
      </c>
      <c r="H90" s="94">
        <v>131.55395000000001</v>
      </c>
      <c r="I90" s="95">
        <v>6.1713600000000001E-4</v>
      </c>
      <c r="J90" s="95">
        <f t="shared" si="4"/>
        <v>5.3110286602515459E-3</v>
      </c>
      <c r="K90" s="95">
        <f>H90/'סכום נכסי הקרן'!$C$42</f>
        <v>1.3842508002067953E-4</v>
      </c>
    </row>
    <row r="91" spans="2:11">
      <c r="C91" s="1"/>
    </row>
    <row r="92" spans="2:11">
      <c r="C92" s="1"/>
    </row>
    <row r="93" spans="2:11">
      <c r="C93" s="1"/>
    </row>
    <row r="94" spans="2:11">
      <c r="B94" s="99" t="s">
        <v>116</v>
      </c>
      <c r="C94" s="1"/>
    </row>
    <row r="95" spans="2:11">
      <c r="B95" s="99" t="s">
        <v>241</v>
      </c>
      <c r="C95" s="1"/>
    </row>
    <row r="96" spans="2:11">
      <c r="B96" s="99" t="s">
        <v>249</v>
      </c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E39:XFD41 D1:I1048576 J42:XFD1048576 J1:XFD38 J39:AC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183</v>
      </c>
      <c r="C1" s="78" t="s" vm="1">
        <v>267</v>
      </c>
    </row>
    <row r="2" spans="2:59">
      <c r="B2" s="57" t="s">
        <v>182</v>
      </c>
      <c r="C2" s="78" t="s">
        <v>268</v>
      </c>
    </row>
    <row r="3" spans="2:59">
      <c r="B3" s="57" t="s">
        <v>184</v>
      </c>
      <c r="C3" s="78" t="s">
        <v>269</v>
      </c>
    </row>
    <row r="4" spans="2:59">
      <c r="B4" s="57" t="s">
        <v>185</v>
      </c>
      <c r="C4" s="78">
        <v>8803</v>
      </c>
    </row>
    <row r="6" spans="2:59" ht="26.25" customHeight="1">
      <c r="B6" s="153" t="s">
        <v>214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59" ht="26.25" customHeight="1">
      <c r="B7" s="153" t="s">
        <v>101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59" s="3" customFormat="1" ht="78.75">
      <c r="B8" s="23" t="s">
        <v>120</v>
      </c>
      <c r="C8" s="31" t="s">
        <v>47</v>
      </c>
      <c r="D8" s="31" t="s">
        <v>68</v>
      </c>
      <c r="E8" s="31" t="s">
        <v>105</v>
      </c>
      <c r="F8" s="31" t="s">
        <v>106</v>
      </c>
      <c r="G8" s="31" t="s">
        <v>243</v>
      </c>
      <c r="H8" s="31" t="s">
        <v>242</v>
      </c>
      <c r="I8" s="31" t="s">
        <v>114</v>
      </c>
      <c r="J8" s="31" t="s">
        <v>62</v>
      </c>
      <c r="K8" s="31" t="s">
        <v>186</v>
      </c>
      <c r="L8" s="32" t="s">
        <v>188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250</v>
      </c>
      <c r="H9" s="17"/>
      <c r="I9" s="17" t="s">
        <v>246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"/>
      <c r="N11" s="1"/>
      <c r="O11" s="1"/>
      <c r="P11" s="1"/>
      <c r="BG11" s="1"/>
    </row>
    <row r="12" spans="2:59" ht="21" customHeight="1">
      <c r="B12" s="117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9">
      <c r="B13" s="117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9">
      <c r="B14" s="117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87</v>
      </c>
      <c r="C6" s="14" t="s">
        <v>47</v>
      </c>
      <c r="E6" s="14" t="s">
        <v>121</v>
      </c>
      <c r="I6" s="14" t="s">
        <v>15</v>
      </c>
      <c r="J6" s="14" t="s">
        <v>69</v>
      </c>
      <c r="M6" s="14" t="s">
        <v>105</v>
      </c>
      <c r="Q6" s="14" t="s">
        <v>17</v>
      </c>
      <c r="R6" s="14" t="s">
        <v>19</v>
      </c>
      <c r="U6" s="14" t="s">
        <v>65</v>
      </c>
      <c r="W6" s="15" t="s">
        <v>61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91</v>
      </c>
      <c r="C8" s="31" t="s">
        <v>47</v>
      </c>
      <c r="D8" s="31" t="s">
        <v>123</v>
      </c>
      <c r="I8" s="31" t="s">
        <v>15</v>
      </c>
      <c r="J8" s="31" t="s">
        <v>69</v>
      </c>
      <c r="K8" s="31" t="s">
        <v>106</v>
      </c>
      <c r="L8" s="31" t="s">
        <v>18</v>
      </c>
      <c r="M8" s="31" t="s">
        <v>105</v>
      </c>
      <c r="Q8" s="31" t="s">
        <v>17</v>
      </c>
      <c r="R8" s="31" t="s">
        <v>19</v>
      </c>
      <c r="S8" s="31" t="s">
        <v>0</v>
      </c>
      <c r="T8" s="31" t="s">
        <v>109</v>
      </c>
      <c r="U8" s="31" t="s">
        <v>65</v>
      </c>
      <c r="V8" s="31" t="s">
        <v>62</v>
      </c>
      <c r="W8" s="32" t="s">
        <v>115</v>
      </c>
    </row>
    <row r="9" spans="2:25" ht="31.5">
      <c r="B9" s="49" t="str">
        <f>'תעודות חוב מסחריות '!B7:T7</f>
        <v>2. תעודות חוב מסחריות</v>
      </c>
      <c r="C9" s="14" t="s">
        <v>47</v>
      </c>
      <c r="D9" s="14" t="s">
        <v>123</v>
      </c>
      <c r="E9" s="42" t="s">
        <v>121</v>
      </c>
      <c r="G9" s="14" t="s">
        <v>68</v>
      </c>
      <c r="I9" s="14" t="s">
        <v>15</v>
      </c>
      <c r="J9" s="14" t="s">
        <v>69</v>
      </c>
      <c r="K9" s="14" t="s">
        <v>106</v>
      </c>
      <c r="L9" s="14" t="s">
        <v>18</v>
      </c>
      <c r="M9" s="14" t="s">
        <v>105</v>
      </c>
      <c r="Q9" s="14" t="s">
        <v>17</v>
      </c>
      <c r="R9" s="14" t="s">
        <v>19</v>
      </c>
      <c r="S9" s="14" t="s">
        <v>0</v>
      </c>
      <c r="T9" s="14" t="s">
        <v>109</v>
      </c>
      <c r="U9" s="14" t="s">
        <v>65</v>
      </c>
      <c r="V9" s="14" t="s">
        <v>62</v>
      </c>
      <c r="W9" s="39" t="s">
        <v>115</v>
      </c>
    </row>
    <row r="10" spans="2:25" ht="31.5">
      <c r="B10" s="49" t="str">
        <f>'אג"ח קונצרני'!B7:U7</f>
        <v>3. אג"ח קונצרני</v>
      </c>
      <c r="C10" s="31" t="s">
        <v>47</v>
      </c>
      <c r="D10" s="14" t="s">
        <v>123</v>
      </c>
      <c r="E10" s="42" t="s">
        <v>121</v>
      </c>
      <c r="G10" s="31" t="s">
        <v>68</v>
      </c>
      <c r="I10" s="31" t="s">
        <v>15</v>
      </c>
      <c r="J10" s="31" t="s">
        <v>69</v>
      </c>
      <c r="K10" s="31" t="s">
        <v>106</v>
      </c>
      <c r="L10" s="31" t="s">
        <v>18</v>
      </c>
      <c r="M10" s="31" t="s">
        <v>105</v>
      </c>
      <c r="Q10" s="31" t="s">
        <v>17</v>
      </c>
      <c r="R10" s="31" t="s">
        <v>19</v>
      </c>
      <c r="S10" s="31" t="s">
        <v>0</v>
      </c>
      <c r="T10" s="31" t="s">
        <v>109</v>
      </c>
      <c r="U10" s="31" t="s">
        <v>65</v>
      </c>
      <c r="V10" s="14" t="s">
        <v>62</v>
      </c>
      <c r="W10" s="32" t="s">
        <v>115</v>
      </c>
    </row>
    <row r="11" spans="2:25" ht="31.5">
      <c r="B11" s="49" t="str">
        <f>מניות!B7</f>
        <v>4. מניות</v>
      </c>
      <c r="C11" s="31" t="s">
        <v>47</v>
      </c>
      <c r="D11" s="14" t="s">
        <v>123</v>
      </c>
      <c r="E11" s="42" t="s">
        <v>121</v>
      </c>
      <c r="H11" s="31" t="s">
        <v>105</v>
      </c>
      <c r="S11" s="31" t="s">
        <v>0</v>
      </c>
      <c r="T11" s="14" t="s">
        <v>109</v>
      </c>
      <c r="U11" s="14" t="s">
        <v>65</v>
      </c>
      <c r="V11" s="14" t="s">
        <v>62</v>
      </c>
      <c r="W11" s="15" t="s">
        <v>115</v>
      </c>
    </row>
    <row r="12" spans="2:25" ht="31.5">
      <c r="B12" s="49" t="str">
        <f>'קרנות סל'!B7:N7</f>
        <v>5. קרנות סל</v>
      </c>
      <c r="C12" s="31" t="s">
        <v>47</v>
      </c>
      <c r="D12" s="14" t="s">
        <v>123</v>
      </c>
      <c r="E12" s="42" t="s">
        <v>121</v>
      </c>
      <c r="H12" s="31" t="s">
        <v>105</v>
      </c>
      <c r="S12" s="31" t="s">
        <v>0</v>
      </c>
      <c r="T12" s="31" t="s">
        <v>109</v>
      </c>
      <c r="U12" s="31" t="s">
        <v>65</v>
      </c>
      <c r="V12" s="31" t="s">
        <v>62</v>
      </c>
      <c r="W12" s="32" t="s">
        <v>115</v>
      </c>
    </row>
    <row r="13" spans="2:25" ht="31.5">
      <c r="B13" s="49" t="str">
        <f>'קרנות נאמנות'!B7:O7</f>
        <v>6. קרנות נאמנות</v>
      </c>
      <c r="C13" s="31" t="s">
        <v>47</v>
      </c>
      <c r="D13" s="31" t="s">
        <v>123</v>
      </c>
      <c r="G13" s="31" t="s">
        <v>68</v>
      </c>
      <c r="H13" s="31" t="s">
        <v>105</v>
      </c>
      <c r="S13" s="31" t="s">
        <v>0</v>
      </c>
      <c r="T13" s="31" t="s">
        <v>109</v>
      </c>
      <c r="U13" s="31" t="s">
        <v>65</v>
      </c>
      <c r="V13" s="31" t="s">
        <v>62</v>
      </c>
      <c r="W13" s="32" t="s">
        <v>115</v>
      </c>
    </row>
    <row r="14" spans="2:25" ht="31.5">
      <c r="B14" s="49" t="str">
        <f>'כתבי אופציה'!B7:L7</f>
        <v>7. כתבי אופציה</v>
      </c>
      <c r="C14" s="31" t="s">
        <v>47</v>
      </c>
      <c r="D14" s="31" t="s">
        <v>123</v>
      </c>
      <c r="G14" s="31" t="s">
        <v>68</v>
      </c>
      <c r="H14" s="31" t="s">
        <v>105</v>
      </c>
      <c r="S14" s="31" t="s">
        <v>0</v>
      </c>
      <c r="T14" s="31" t="s">
        <v>109</v>
      </c>
      <c r="U14" s="31" t="s">
        <v>65</v>
      </c>
      <c r="V14" s="31" t="s">
        <v>62</v>
      </c>
      <c r="W14" s="32" t="s">
        <v>115</v>
      </c>
    </row>
    <row r="15" spans="2:25" ht="31.5">
      <c r="B15" s="49" t="str">
        <f>אופציות!B7</f>
        <v>8. אופציות</v>
      </c>
      <c r="C15" s="31" t="s">
        <v>47</v>
      </c>
      <c r="D15" s="31" t="s">
        <v>123</v>
      </c>
      <c r="G15" s="31" t="s">
        <v>68</v>
      </c>
      <c r="H15" s="31" t="s">
        <v>105</v>
      </c>
      <c r="S15" s="31" t="s">
        <v>0</v>
      </c>
      <c r="T15" s="31" t="s">
        <v>109</v>
      </c>
      <c r="U15" s="31" t="s">
        <v>65</v>
      </c>
      <c r="V15" s="31" t="s">
        <v>62</v>
      </c>
      <c r="W15" s="32" t="s">
        <v>115</v>
      </c>
    </row>
    <row r="16" spans="2:25" ht="31.5">
      <c r="B16" s="49" t="str">
        <f>'חוזים עתידיים'!B7:I7</f>
        <v>9. חוזים עתידיים</v>
      </c>
      <c r="C16" s="31" t="s">
        <v>47</v>
      </c>
      <c r="D16" s="31" t="s">
        <v>123</v>
      </c>
      <c r="G16" s="31" t="s">
        <v>68</v>
      </c>
      <c r="H16" s="31" t="s">
        <v>105</v>
      </c>
      <c r="S16" s="31" t="s">
        <v>0</v>
      </c>
      <c r="T16" s="32" t="s">
        <v>109</v>
      </c>
    </row>
    <row r="17" spans="2:25" ht="31.5">
      <c r="B17" s="49" t="str">
        <f>'מוצרים מובנים'!B7:Q7</f>
        <v>10. מוצרים מובנים</v>
      </c>
      <c r="C17" s="31" t="s">
        <v>47</v>
      </c>
      <c r="F17" s="14" t="s">
        <v>53</v>
      </c>
      <c r="I17" s="31" t="s">
        <v>15</v>
      </c>
      <c r="J17" s="31" t="s">
        <v>69</v>
      </c>
      <c r="K17" s="31" t="s">
        <v>106</v>
      </c>
      <c r="L17" s="31" t="s">
        <v>18</v>
      </c>
      <c r="M17" s="31" t="s">
        <v>105</v>
      </c>
      <c r="Q17" s="31" t="s">
        <v>17</v>
      </c>
      <c r="R17" s="31" t="s">
        <v>19</v>
      </c>
      <c r="S17" s="31" t="s">
        <v>0</v>
      </c>
      <c r="T17" s="31" t="s">
        <v>109</v>
      </c>
      <c r="U17" s="31" t="s">
        <v>65</v>
      </c>
      <c r="V17" s="31" t="s">
        <v>62</v>
      </c>
      <c r="W17" s="32" t="s">
        <v>115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47</v>
      </c>
      <c r="I19" s="31" t="s">
        <v>15</v>
      </c>
      <c r="J19" s="31" t="s">
        <v>69</v>
      </c>
      <c r="K19" s="31" t="s">
        <v>106</v>
      </c>
      <c r="L19" s="31" t="s">
        <v>18</v>
      </c>
      <c r="M19" s="31" t="s">
        <v>105</v>
      </c>
      <c r="Q19" s="31" t="s">
        <v>17</v>
      </c>
      <c r="R19" s="31" t="s">
        <v>19</v>
      </c>
      <c r="S19" s="31" t="s">
        <v>0</v>
      </c>
      <c r="T19" s="31" t="s">
        <v>109</v>
      </c>
      <c r="U19" s="31" t="s">
        <v>114</v>
      </c>
      <c r="V19" s="31" t="s">
        <v>62</v>
      </c>
      <c r="W19" s="32" t="s">
        <v>115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47</v>
      </c>
      <c r="D20" s="42" t="s">
        <v>122</v>
      </c>
      <c r="E20" s="42" t="s">
        <v>121</v>
      </c>
      <c r="G20" s="31" t="s">
        <v>68</v>
      </c>
      <c r="I20" s="31" t="s">
        <v>15</v>
      </c>
      <c r="J20" s="31" t="s">
        <v>69</v>
      </c>
      <c r="K20" s="31" t="s">
        <v>106</v>
      </c>
      <c r="L20" s="31" t="s">
        <v>18</v>
      </c>
      <c r="M20" s="31" t="s">
        <v>105</v>
      </c>
      <c r="Q20" s="31" t="s">
        <v>17</v>
      </c>
      <c r="R20" s="31" t="s">
        <v>19</v>
      </c>
      <c r="S20" s="31" t="s">
        <v>0</v>
      </c>
      <c r="T20" s="31" t="s">
        <v>109</v>
      </c>
      <c r="U20" s="31" t="s">
        <v>114</v>
      </c>
      <c r="V20" s="31" t="s">
        <v>62</v>
      </c>
      <c r="W20" s="32" t="s">
        <v>115</v>
      </c>
    </row>
    <row r="21" spans="2:25" ht="31.5">
      <c r="B21" s="49" t="str">
        <f>'לא סחיר - אג"ח קונצרני'!B7:S7</f>
        <v>3. אג"ח קונצרני</v>
      </c>
      <c r="C21" s="31" t="s">
        <v>47</v>
      </c>
      <c r="D21" s="42" t="s">
        <v>122</v>
      </c>
      <c r="E21" s="42" t="s">
        <v>121</v>
      </c>
      <c r="G21" s="31" t="s">
        <v>68</v>
      </c>
      <c r="I21" s="31" t="s">
        <v>15</v>
      </c>
      <c r="J21" s="31" t="s">
        <v>69</v>
      </c>
      <c r="K21" s="31" t="s">
        <v>106</v>
      </c>
      <c r="L21" s="31" t="s">
        <v>18</v>
      </c>
      <c r="M21" s="31" t="s">
        <v>105</v>
      </c>
      <c r="Q21" s="31" t="s">
        <v>17</v>
      </c>
      <c r="R21" s="31" t="s">
        <v>19</v>
      </c>
      <c r="S21" s="31" t="s">
        <v>0</v>
      </c>
      <c r="T21" s="31" t="s">
        <v>109</v>
      </c>
      <c r="U21" s="31" t="s">
        <v>114</v>
      </c>
      <c r="V21" s="31" t="s">
        <v>62</v>
      </c>
      <c r="W21" s="32" t="s">
        <v>115</v>
      </c>
    </row>
    <row r="22" spans="2:25" ht="31.5">
      <c r="B22" s="49" t="str">
        <f>'לא סחיר - מניות'!B7:M7</f>
        <v>4. מניות</v>
      </c>
      <c r="C22" s="31" t="s">
        <v>47</v>
      </c>
      <c r="D22" s="42" t="s">
        <v>122</v>
      </c>
      <c r="E22" s="42" t="s">
        <v>121</v>
      </c>
      <c r="G22" s="31" t="s">
        <v>68</v>
      </c>
      <c r="H22" s="31" t="s">
        <v>105</v>
      </c>
      <c r="S22" s="31" t="s">
        <v>0</v>
      </c>
      <c r="T22" s="31" t="s">
        <v>109</v>
      </c>
      <c r="U22" s="31" t="s">
        <v>114</v>
      </c>
      <c r="V22" s="31" t="s">
        <v>62</v>
      </c>
      <c r="W22" s="32" t="s">
        <v>115</v>
      </c>
    </row>
    <row r="23" spans="2:25" ht="31.5">
      <c r="B23" s="49" t="str">
        <f>'לא סחיר - קרנות השקעה'!B7:K7</f>
        <v>5. קרנות השקעה</v>
      </c>
      <c r="C23" s="31" t="s">
        <v>47</v>
      </c>
      <c r="G23" s="31" t="s">
        <v>68</v>
      </c>
      <c r="H23" s="31" t="s">
        <v>105</v>
      </c>
      <c r="K23" s="31" t="s">
        <v>106</v>
      </c>
      <c r="S23" s="31" t="s">
        <v>0</v>
      </c>
      <c r="T23" s="31" t="s">
        <v>109</v>
      </c>
      <c r="U23" s="31" t="s">
        <v>114</v>
      </c>
      <c r="V23" s="31" t="s">
        <v>62</v>
      </c>
      <c r="W23" s="32" t="s">
        <v>115</v>
      </c>
    </row>
    <row r="24" spans="2:25" ht="31.5">
      <c r="B24" s="49" t="str">
        <f>'לא סחיר - כתבי אופציה'!B7:L7</f>
        <v>6. כתבי אופציה</v>
      </c>
      <c r="C24" s="31" t="s">
        <v>47</v>
      </c>
      <c r="G24" s="31" t="s">
        <v>68</v>
      </c>
      <c r="H24" s="31" t="s">
        <v>105</v>
      </c>
      <c r="K24" s="31" t="s">
        <v>106</v>
      </c>
      <c r="S24" s="31" t="s">
        <v>0</v>
      </c>
      <c r="T24" s="31" t="s">
        <v>109</v>
      </c>
      <c r="U24" s="31" t="s">
        <v>114</v>
      </c>
      <c r="V24" s="31" t="s">
        <v>62</v>
      </c>
      <c r="W24" s="32" t="s">
        <v>115</v>
      </c>
    </row>
    <row r="25" spans="2:25" ht="31.5">
      <c r="B25" s="49" t="str">
        <f>'לא סחיר - אופציות'!B7:L7</f>
        <v>7. אופציות</v>
      </c>
      <c r="C25" s="31" t="s">
        <v>47</v>
      </c>
      <c r="G25" s="31" t="s">
        <v>68</v>
      </c>
      <c r="H25" s="31" t="s">
        <v>105</v>
      </c>
      <c r="K25" s="31" t="s">
        <v>106</v>
      </c>
      <c r="S25" s="31" t="s">
        <v>0</v>
      </c>
      <c r="T25" s="31" t="s">
        <v>109</v>
      </c>
      <c r="U25" s="31" t="s">
        <v>114</v>
      </c>
      <c r="V25" s="31" t="s">
        <v>62</v>
      </c>
      <c r="W25" s="32" t="s">
        <v>115</v>
      </c>
    </row>
    <row r="26" spans="2:25" ht="31.5">
      <c r="B26" s="49" t="str">
        <f>'לא סחיר - חוזים עתידיים'!B7:K7</f>
        <v>8. חוזים עתידיים</v>
      </c>
      <c r="C26" s="31" t="s">
        <v>47</v>
      </c>
      <c r="G26" s="31" t="s">
        <v>68</v>
      </c>
      <c r="H26" s="31" t="s">
        <v>105</v>
      </c>
      <c r="K26" s="31" t="s">
        <v>106</v>
      </c>
      <c r="S26" s="31" t="s">
        <v>0</v>
      </c>
      <c r="T26" s="31" t="s">
        <v>109</v>
      </c>
      <c r="U26" s="31" t="s">
        <v>114</v>
      </c>
      <c r="V26" s="32" t="s">
        <v>115</v>
      </c>
    </row>
    <row r="27" spans="2:25" ht="31.5">
      <c r="B27" s="49" t="str">
        <f>'לא סחיר - מוצרים מובנים'!B7:Q7</f>
        <v>9. מוצרים מובנים</v>
      </c>
      <c r="C27" s="31" t="s">
        <v>47</v>
      </c>
      <c r="F27" s="31" t="s">
        <v>53</v>
      </c>
      <c r="I27" s="31" t="s">
        <v>15</v>
      </c>
      <c r="J27" s="31" t="s">
        <v>69</v>
      </c>
      <c r="K27" s="31" t="s">
        <v>106</v>
      </c>
      <c r="L27" s="31" t="s">
        <v>18</v>
      </c>
      <c r="M27" s="31" t="s">
        <v>105</v>
      </c>
      <c r="Q27" s="31" t="s">
        <v>17</v>
      </c>
      <c r="R27" s="31" t="s">
        <v>19</v>
      </c>
      <c r="S27" s="31" t="s">
        <v>0</v>
      </c>
      <c r="T27" s="31" t="s">
        <v>109</v>
      </c>
      <c r="U27" s="31" t="s">
        <v>114</v>
      </c>
      <c r="V27" s="31" t="s">
        <v>62</v>
      </c>
      <c r="W27" s="32" t="s">
        <v>115</v>
      </c>
    </row>
    <row r="28" spans="2:25" ht="31.5">
      <c r="B28" s="53" t="str">
        <f>הלוואות!B6</f>
        <v>1.ד. הלוואות:</v>
      </c>
      <c r="C28" s="31" t="s">
        <v>47</v>
      </c>
      <c r="I28" s="31" t="s">
        <v>15</v>
      </c>
      <c r="J28" s="31" t="s">
        <v>69</v>
      </c>
      <c r="L28" s="31" t="s">
        <v>18</v>
      </c>
      <c r="M28" s="31" t="s">
        <v>105</v>
      </c>
      <c r="Q28" s="14" t="s">
        <v>37</v>
      </c>
      <c r="R28" s="31" t="s">
        <v>19</v>
      </c>
      <c r="S28" s="31" t="s">
        <v>0</v>
      </c>
      <c r="T28" s="31" t="s">
        <v>109</v>
      </c>
      <c r="U28" s="31" t="s">
        <v>114</v>
      </c>
      <c r="V28" s="32" t="s">
        <v>115</v>
      </c>
    </row>
    <row r="29" spans="2:25" ht="47.25">
      <c r="B29" s="53" t="str">
        <f>'פקדונות מעל 3 חודשים'!B6:O6</f>
        <v>1.ה. פקדונות מעל 3 חודשים:</v>
      </c>
      <c r="C29" s="31" t="s">
        <v>47</v>
      </c>
      <c r="E29" s="31" t="s">
        <v>121</v>
      </c>
      <c r="I29" s="31" t="s">
        <v>15</v>
      </c>
      <c r="J29" s="31" t="s">
        <v>69</v>
      </c>
      <c r="L29" s="31" t="s">
        <v>18</v>
      </c>
      <c r="M29" s="31" t="s">
        <v>105</v>
      </c>
      <c r="O29" s="50" t="s">
        <v>55</v>
      </c>
      <c r="P29" s="51"/>
      <c r="R29" s="31" t="s">
        <v>19</v>
      </c>
      <c r="S29" s="31" t="s">
        <v>0</v>
      </c>
      <c r="T29" s="31" t="s">
        <v>109</v>
      </c>
      <c r="U29" s="31" t="s">
        <v>114</v>
      </c>
      <c r="V29" s="32" t="s">
        <v>115</v>
      </c>
    </row>
    <row r="30" spans="2:25" ht="63">
      <c r="B30" s="53" t="str">
        <f>'זכויות מקרקעין'!B6</f>
        <v>1. ו. זכויות במקרקעין:</v>
      </c>
      <c r="C30" s="14" t="s">
        <v>57</v>
      </c>
      <c r="N30" s="50" t="s">
        <v>88</v>
      </c>
      <c r="P30" s="51" t="s">
        <v>58</v>
      </c>
      <c r="U30" s="31" t="s">
        <v>114</v>
      </c>
      <c r="V30" s="15" t="s">
        <v>61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60</v>
      </c>
      <c r="R31" s="14" t="s">
        <v>56</v>
      </c>
      <c r="U31" s="31" t="s">
        <v>114</v>
      </c>
      <c r="V31" s="15" t="s">
        <v>61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111</v>
      </c>
      <c r="Y32" s="15" t="s">
        <v>110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183</v>
      </c>
      <c r="C1" s="78" t="s" vm="1">
        <v>267</v>
      </c>
    </row>
    <row r="2" spans="2:54">
      <c r="B2" s="57" t="s">
        <v>182</v>
      </c>
      <c r="C2" s="78" t="s">
        <v>268</v>
      </c>
    </row>
    <row r="3" spans="2:54">
      <c r="B3" s="57" t="s">
        <v>184</v>
      </c>
      <c r="C3" s="78" t="s">
        <v>269</v>
      </c>
    </row>
    <row r="4" spans="2:54">
      <c r="B4" s="57" t="s">
        <v>185</v>
      </c>
      <c r="C4" s="78">
        <v>8803</v>
      </c>
    </row>
    <row r="6" spans="2:54" ht="26.25" customHeight="1">
      <c r="B6" s="153" t="s">
        <v>214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54" ht="26.25" customHeight="1">
      <c r="B7" s="153" t="s">
        <v>102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54" s="3" customFormat="1" ht="78.75">
      <c r="B8" s="23" t="s">
        <v>120</v>
      </c>
      <c r="C8" s="31" t="s">
        <v>47</v>
      </c>
      <c r="D8" s="31" t="s">
        <v>68</v>
      </c>
      <c r="E8" s="31" t="s">
        <v>105</v>
      </c>
      <c r="F8" s="31" t="s">
        <v>106</v>
      </c>
      <c r="G8" s="31" t="s">
        <v>243</v>
      </c>
      <c r="H8" s="31" t="s">
        <v>242</v>
      </c>
      <c r="I8" s="31" t="s">
        <v>114</v>
      </c>
      <c r="J8" s="31" t="s">
        <v>62</v>
      </c>
      <c r="K8" s="31" t="s">
        <v>186</v>
      </c>
      <c r="L8" s="32" t="s">
        <v>188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250</v>
      </c>
      <c r="H9" s="17"/>
      <c r="I9" s="17" t="s">
        <v>246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259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116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241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249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58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183</v>
      </c>
      <c r="C1" s="78" t="s" vm="1">
        <v>267</v>
      </c>
    </row>
    <row r="2" spans="2:51">
      <c r="B2" s="57" t="s">
        <v>182</v>
      </c>
      <c r="C2" s="78" t="s">
        <v>268</v>
      </c>
    </row>
    <row r="3" spans="2:51">
      <c r="B3" s="57" t="s">
        <v>184</v>
      </c>
      <c r="C3" s="78" t="s">
        <v>269</v>
      </c>
    </row>
    <row r="4" spans="2:51">
      <c r="B4" s="57" t="s">
        <v>185</v>
      </c>
      <c r="C4" s="78">
        <v>8803</v>
      </c>
    </row>
    <row r="6" spans="2:51" ht="26.25" customHeight="1">
      <c r="B6" s="153" t="s">
        <v>214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51" ht="26.25" customHeight="1">
      <c r="B7" s="153" t="s">
        <v>103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2:51" s="3" customFormat="1" ht="63">
      <c r="B8" s="23" t="s">
        <v>120</v>
      </c>
      <c r="C8" s="31" t="s">
        <v>47</v>
      </c>
      <c r="D8" s="31" t="s">
        <v>68</v>
      </c>
      <c r="E8" s="31" t="s">
        <v>105</v>
      </c>
      <c r="F8" s="31" t="s">
        <v>106</v>
      </c>
      <c r="G8" s="31" t="s">
        <v>243</v>
      </c>
      <c r="H8" s="31" t="s">
        <v>242</v>
      </c>
      <c r="I8" s="31" t="s">
        <v>114</v>
      </c>
      <c r="J8" s="31" t="s">
        <v>186</v>
      </c>
      <c r="K8" s="32" t="s">
        <v>188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250</v>
      </c>
      <c r="H9" s="17"/>
      <c r="I9" s="17" t="s">
        <v>246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9" t="s">
        <v>51</v>
      </c>
      <c r="C11" s="80"/>
      <c r="D11" s="80"/>
      <c r="E11" s="80"/>
      <c r="F11" s="80"/>
      <c r="G11" s="88"/>
      <c r="H11" s="90"/>
      <c r="I11" s="88">
        <v>887.02309467899977</v>
      </c>
      <c r="J11" s="89">
        <f>I11/$I$11</f>
        <v>1</v>
      </c>
      <c r="K11" s="89">
        <f>I11/'סכום נכסי הקרן'!$C$42</f>
        <v>9.3335276410272232E-4</v>
      </c>
      <c r="AW11" s="1"/>
    </row>
    <row r="12" spans="2:51" ht="19.5" customHeight="1">
      <c r="B12" s="81" t="s">
        <v>36</v>
      </c>
      <c r="C12" s="82"/>
      <c r="D12" s="82"/>
      <c r="E12" s="82"/>
      <c r="F12" s="82"/>
      <c r="G12" s="91"/>
      <c r="H12" s="93"/>
      <c r="I12" s="91">
        <v>887.02309467899977</v>
      </c>
      <c r="J12" s="92">
        <f t="shared" ref="J12:J37" si="0">I12/$I$11</f>
        <v>1</v>
      </c>
      <c r="K12" s="92">
        <f>I12/'סכום נכסי הקרן'!$C$42</f>
        <v>9.3335276410272232E-4</v>
      </c>
    </row>
    <row r="13" spans="2:51">
      <c r="B13" s="102" t="s">
        <v>2058</v>
      </c>
      <c r="C13" s="82"/>
      <c r="D13" s="82"/>
      <c r="E13" s="82"/>
      <c r="F13" s="82"/>
      <c r="G13" s="91"/>
      <c r="H13" s="93"/>
      <c r="I13" s="91">
        <v>984.81415000000004</v>
      </c>
      <c r="J13" s="92">
        <f t="shared" si="0"/>
        <v>1.1102463463551526</v>
      </c>
      <c r="K13" s="92">
        <f>I13/'סכום נכסי הקרן'!$C$42</f>
        <v>1.03625149620553E-3</v>
      </c>
    </row>
    <row r="14" spans="2:51">
      <c r="B14" s="87" t="s">
        <v>2059</v>
      </c>
      <c r="C14" s="84" t="s">
        <v>2060</v>
      </c>
      <c r="D14" s="97" t="s">
        <v>1829</v>
      </c>
      <c r="E14" s="97" t="s">
        <v>167</v>
      </c>
      <c r="F14" s="107">
        <v>43788</v>
      </c>
      <c r="G14" s="94">
        <v>1900808</v>
      </c>
      <c r="H14" s="96">
        <v>-0.13789999999999999</v>
      </c>
      <c r="I14" s="94">
        <v>-2.62087</v>
      </c>
      <c r="J14" s="95">
        <f t="shared" si="0"/>
        <v>-2.9546806793665876E-3</v>
      </c>
      <c r="K14" s="95">
        <f>I14/'סכום נכסי הקרן'!$C$42</f>
        <v>-2.7577593791277137E-6</v>
      </c>
    </row>
    <row r="15" spans="2:51">
      <c r="B15" s="87" t="s">
        <v>2061</v>
      </c>
      <c r="C15" s="84" t="s">
        <v>2062</v>
      </c>
      <c r="D15" s="97" t="s">
        <v>1829</v>
      </c>
      <c r="E15" s="97" t="s">
        <v>167</v>
      </c>
      <c r="F15" s="107">
        <v>43676</v>
      </c>
      <c r="G15" s="94">
        <v>3400313</v>
      </c>
      <c r="H15" s="96">
        <v>0.43480000000000002</v>
      </c>
      <c r="I15" s="94">
        <v>14.785209999999999</v>
      </c>
      <c r="J15" s="95">
        <f t="shared" si="0"/>
        <v>1.6668348421469841E-2</v>
      </c>
      <c r="K15" s="95">
        <f>I15/'סכום נכסי הקרן'!$C$42</f>
        <v>1.5557449072206125E-5</v>
      </c>
    </row>
    <row r="16" spans="2:51" s="7" customFormat="1">
      <c r="B16" s="87" t="s">
        <v>2063</v>
      </c>
      <c r="C16" s="84" t="s">
        <v>2064</v>
      </c>
      <c r="D16" s="97" t="s">
        <v>1829</v>
      </c>
      <c r="E16" s="97" t="s">
        <v>167</v>
      </c>
      <c r="F16" s="107">
        <v>43803</v>
      </c>
      <c r="G16" s="94">
        <v>686380</v>
      </c>
      <c r="H16" s="96">
        <v>0.11749999999999999</v>
      </c>
      <c r="I16" s="94">
        <v>0.80661000000000005</v>
      </c>
      <c r="J16" s="95">
        <f t="shared" si="0"/>
        <v>9.0934498192733076E-4</v>
      </c>
      <c r="K16" s="95">
        <f>I16/'סכום נכסי הקרן'!$C$42</f>
        <v>8.4873965240481417E-7</v>
      </c>
      <c r="AW16" s="1"/>
      <c r="AY16" s="1"/>
    </row>
    <row r="17" spans="2:51" s="7" customFormat="1">
      <c r="B17" s="87" t="s">
        <v>2065</v>
      </c>
      <c r="C17" s="84" t="s">
        <v>2066</v>
      </c>
      <c r="D17" s="97" t="s">
        <v>1829</v>
      </c>
      <c r="E17" s="97" t="s">
        <v>167</v>
      </c>
      <c r="F17" s="107">
        <v>43675</v>
      </c>
      <c r="G17" s="94">
        <v>1029810</v>
      </c>
      <c r="H17" s="96">
        <v>0.9375</v>
      </c>
      <c r="I17" s="94">
        <v>9.6539799999999989</v>
      </c>
      <c r="J17" s="95">
        <f t="shared" si="0"/>
        <v>1.0883572319493696E-2</v>
      </c>
      <c r="K17" s="95">
        <f>I17/'סכום נכסי הקרן'!$C$42</f>
        <v>1.0158212307711318E-5</v>
      </c>
      <c r="AW17" s="1"/>
      <c r="AY17" s="1"/>
    </row>
    <row r="18" spans="2:51" s="7" customFormat="1">
      <c r="B18" s="87" t="s">
        <v>2067</v>
      </c>
      <c r="C18" s="84" t="s">
        <v>2068</v>
      </c>
      <c r="D18" s="97" t="s">
        <v>1829</v>
      </c>
      <c r="E18" s="97" t="s">
        <v>167</v>
      </c>
      <c r="F18" s="107">
        <v>43810</v>
      </c>
      <c r="G18" s="94">
        <v>1890075</v>
      </c>
      <c r="H18" s="96">
        <v>0.25600000000000001</v>
      </c>
      <c r="I18" s="94">
        <v>4.8384200000000002</v>
      </c>
      <c r="J18" s="95">
        <f t="shared" si="0"/>
        <v>5.4546719572740677E-3</v>
      </c>
      <c r="K18" s="95">
        <f>I18/'סכום נכסי הקרן'!$C$42</f>
        <v>5.0911331485953572E-6</v>
      </c>
      <c r="AW18" s="1"/>
      <c r="AY18" s="1"/>
    </row>
    <row r="19" spans="2:51">
      <c r="B19" s="87" t="s">
        <v>2069</v>
      </c>
      <c r="C19" s="84" t="s">
        <v>2070</v>
      </c>
      <c r="D19" s="97" t="s">
        <v>1829</v>
      </c>
      <c r="E19" s="97" t="s">
        <v>167</v>
      </c>
      <c r="F19" s="107">
        <v>43801</v>
      </c>
      <c r="G19" s="94">
        <v>1892000</v>
      </c>
      <c r="H19" s="96">
        <v>0.21629999999999999</v>
      </c>
      <c r="I19" s="94">
        <v>4.0928899999999997</v>
      </c>
      <c r="J19" s="95">
        <f t="shared" si="0"/>
        <v>4.6141865127887734E-3</v>
      </c>
      <c r="K19" s="95">
        <f>I19/'סכום נכסי הקרן'!$C$42</f>
        <v>4.3066637357969022E-6</v>
      </c>
    </row>
    <row r="20" spans="2:51">
      <c r="B20" s="87" t="s">
        <v>2071</v>
      </c>
      <c r="C20" s="84" t="s">
        <v>2072</v>
      </c>
      <c r="D20" s="97" t="s">
        <v>1829</v>
      </c>
      <c r="E20" s="97" t="s">
        <v>167</v>
      </c>
      <c r="F20" s="107">
        <v>43795</v>
      </c>
      <c r="G20" s="94">
        <v>1926960</v>
      </c>
      <c r="H20" s="96">
        <v>0.17730000000000001</v>
      </c>
      <c r="I20" s="94">
        <v>3.4171999999999998</v>
      </c>
      <c r="J20" s="95">
        <f t="shared" si="0"/>
        <v>3.8524363350839618E-3</v>
      </c>
      <c r="K20" s="95">
        <f>I20/'סכום נכסי הקרן'!$C$42</f>
        <v>3.5956821018803767E-6</v>
      </c>
    </row>
    <row r="21" spans="2:51">
      <c r="B21" s="87" t="s">
        <v>2073</v>
      </c>
      <c r="C21" s="84" t="s">
        <v>2074</v>
      </c>
      <c r="D21" s="97" t="s">
        <v>1829</v>
      </c>
      <c r="E21" s="97" t="s">
        <v>167</v>
      </c>
      <c r="F21" s="107">
        <v>43804</v>
      </c>
      <c r="G21" s="94">
        <v>2067360</v>
      </c>
      <c r="H21" s="96">
        <v>2.7E-2</v>
      </c>
      <c r="I21" s="94">
        <v>0.55873000000000006</v>
      </c>
      <c r="J21" s="95">
        <f t="shared" si="0"/>
        <v>6.2989340790748629E-4</v>
      </c>
      <c r="K21" s="95">
        <f>I21/'סכום נכסי הקרן'!$C$42</f>
        <v>5.8791275336053588E-7</v>
      </c>
    </row>
    <row r="22" spans="2:51">
      <c r="B22" s="87" t="s">
        <v>2075</v>
      </c>
      <c r="C22" s="84" t="s">
        <v>2076</v>
      </c>
      <c r="D22" s="97" t="s">
        <v>1829</v>
      </c>
      <c r="E22" s="97" t="s">
        <v>167</v>
      </c>
      <c r="F22" s="107">
        <v>43802</v>
      </c>
      <c r="G22" s="94">
        <v>3101310</v>
      </c>
      <c r="H22" s="96">
        <v>0.51329999999999998</v>
      </c>
      <c r="I22" s="94">
        <v>15.91886</v>
      </c>
      <c r="J22" s="95">
        <f t="shared" si="0"/>
        <v>1.7946387298699133E-2</v>
      </c>
      <c r="K22" s="95">
        <f>I22/'סכום נכסי הקרן'!$C$42</f>
        <v>1.6750310190898823E-5</v>
      </c>
    </row>
    <row r="23" spans="2:51">
      <c r="B23" s="87" t="s">
        <v>2077</v>
      </c>
      <c r="C23" s="84" t="s">
        <v>2078</v>
      </c>
      <c r="D23" s="97" t="s">
        <v>1829</v>
      </c>
      <c r="E23" s="97" t="s">
        <v>167</v>
      </c>
      <c r="F23" s="107">
        <v>43829</v>
      </c>
      <c r="G23" s="94">
        <v>689820</v>
      </c>
      <c r="H23" s="96">
        <v>0.24249999999999999</v>
      </c>
      <c r="I23" s="94">
        <v>1.6725000000000001</v>
      </c>
      <c r="J23" s="95">
        <f t="shared" si="0"/>
        <v>1.8855202418435932E-3</v>
      </c>
      <c r="K23" s="95">
        <f>I23/'סכום נכסי הקרן'!$C$42</f>
        <v>1.7598555294963512E-6</v>
      </c>
    </row>
    <row r="24" spans="2:51">
      <c r="B24" s="87" t="s">
        <v>2079</v>
      </c>
      <c r="C24" s="84" t="s">
        <v>2080</v>
      </c>
      <c r="D24" s="97" t="s">
        <v>1829</v>
      </c>
      <c r="E24" s="97" t="s">
        <v>167</v>
      </c>
      <c r="F24" s="107">
        <v>43664</v>
      </c>
      <c r="G24" s="94">
        <v>4495400</v>
      </c>
      <c r="H24" s="96">
        <v>1.3056000000000001</v>
      </c>
      <c r="I24" s="94">
        <v>58.691400000000002</v>
      </c>
      <c r="J24" s="95">
        <f t="shared" si="0"/>
        <v>6.6166710147766261E-2</v>
      </c>
      <c r="K24" s="95">
        <f>I24/'סכום נכסי הקרן'!$C$42</f>
        <v>6.1756881808001276E-5</v>
      </c>
    </row>
    <row r="25" spans="2:51">
      <c r="B25" s="87" t="s">
        <v>2081</v>
      </c>
      <c r="C25" s="84" t="s">
        <v>2082</v>
      </c>
      <c r="D25" s="97" t="s">
        <v>1829</v>
      </c>
      <c r="E25" s="97" t="s">
        <v>167</v>
      </c>
      <c r="F25" s="107">
        <v>43724</v>
      </c>
      <c r="G25" s="94">
        <v>5547680</v>
      </c>
      <c r="H25" s="96">
        <v>1.2703</v>
      </c>
      <c r="I25" s="94">
        <v>70.472660000000005</v>
      </c>
      <c r="J25" s="95">
        <f t="shared" si="0"/>
        <v>7.9448506383594214E-2</v>
      </c>
      <c r="K25" s="95">
        <f>I25/'סכום נכסי הקרן'!$C$42</f>
        <v>7.4153483036960426E-5</v>
      </c>
    </row>
    <row r="26" spans="2:51">
      <c r="B26" s="87" t="s">
        <v>2083</v>
      </c>
      <c r="C26" s="84" t="s">
        <v>2084</v>
      </c>
      <c r="D26" s="97" t="s">
        <v>1829</v>
      </c>
      <c r="E26" s="97" t="s">
        <v>167</v>
      </c>
      <c r="F26" s="107">
        <v>43656</v>
      </c>
      <c r="G26" s="94">
        <v>3919626.75</v>
      </c>
      <c r="H26" s="96">
        <v>2.1204000000000001</v>
      </c>
      <c r="I26" s="94">
        <v>83.111419999999995</v>
      </c>
      <c r="J26" s="95">
        <f t="shared" si="0"/>
        <v>9.3697019275554225E-2</v>
      </c>
      <c r="K26" s="95">
        <f>I26/'סכום נכסי הקרן'!$C$42</f>
        <v>8.7452371929024582E-5</v>
      </c>
    </row>
    <row r="27" spans="2:51">
      <c r="B27" s="87" t="s">
        <v>2085</v>
      </c>
      <c r="C27" s="84" t="s">
        <v>2086</v>
      </c>
      <c r="D27" s="97" t="s">
        <v>1829</v>
      </c>
      <c r="E27" s="97" t="s">
        <v>167</v>
      </c>
      <c r="F27" s="107">
        <v>43734</v>
      </c>
      <c r="G27" s="94">
        <v>2436490</v>
      </c>
      <c r="H27" s="96">
        <v>0.79869999999999997</v>
      </c>
      <c r="I27" s="94">
        <v>19.460939999999997</v>
      </c>
      <c r="J27" s="95">
        <f t="shared" si="0"/>
        <v>2.193960914517408E-2</v>
      </c>
      <c r="K27" s="95">
        <f>I27/'סכום נכסי הקרן'!$C$42</f>
        <v>2.0477394838981593E-5</v>
      </c>
    </row>
    <row r="28" spans="2:51">
      <c r="B28" s="87" t="s">
        <v>2087</v>
      </c>
      <c r="C28" s="84" t="s">
        <v>2088</v>
      </c>
      <c r="D28" s="97" t="s">
        <v>1829</v>
      </c>
      <c r="E28" s="97" t="s">
        <v>167</v>
      </c>
      <c r="F28" s="107">
        <v>43816</v>
      </c>
      <c r="G28" s="94">
        <v>3139650</v>
      </c>
      <c r="H28" s="96">
        <v>1.0578000000000001</v>
      </c>
      <c r="I28" s="94">
        <v>33.210059999999999</v>
      </c>
      <c r="J28" s="95">
        <f t="shared" si="0"/>
        <v>3.7439904551772936E-2</v>
      </c>
      <c r="K28" s="95">
        <f>I28/'סכום נכסי הקרן'!$C$42</f>
        <v>3.4944638401139362E-5</v>
      </c>
    </row>
    <row r="29" spans="2:51">
      <c r="B29" s="87" t="s">
        <v>2089</v>
      </c>
      <c r="C29" s="84" t="s">
        <v>2090</v>
      </c>
      <c r="D29" s="97" t="s">
        <v>1829</v>
      </c>
      <c r="E29" s="97" t="s">
        <v>167</v>
      </c>
      <c r="F29" s="107">
        <v>43642</v>
      </c>
      <c r="G29" s="94">
        <v>1402880</v>
      </c>
      <c r="H29" s="96">
        <v>2.8969999999999998</v>
      </c>
      <c r="I29" s="94">
        <v>40.640749999999997</v>
      </c>
      <c r="J29" s="95">
        <f t="shared" si="0"/>
        <v>4.5817014510436474E-2</v>
      </c>
      <c r="K29" s="95">
        <f>I29/'סכום נכסי הקרן'!$C$42</f>
        <v>4.2763437136250419E-5</v>
      </c>
    </row>
    <row r="30" spans="2:51">
      <c r="B30" s="87" t="s">
        <v>2091</v>
      </c>
      <c r="C30" s="84" t="s">
        <v>2092</v>
      </c>
      <c r="D30" s="97" t="s">
        <v>1829</v>
      </c>
      <c r="E30" s="97" t="s">
        <v>167</v>
      </c>
      <c r="F30" s="107">
        <v>43628</v>
      </c>
      <c r="G30" s="94">
        <v>1755000</v>
      </c>
      <c r="H30" s="96">
        <v>2.1669999999999998</v>
      </c>
      <c r="I30" s="94">
        <v>38.031030000000001</v>
      </c>
      <c r="J30" s="95">
        <f t="shared" si="0"/>
        <v>4.2874903966015517E-2</v>
      </c>
      <c r="K30" s="95">
        <f>I30/'סכום נכסי הקרן'!$C$42</f>
        <v>4.0017410127319347E-5</v>
      </c>
    </row>
    <row r="31" spans="2:51">
      <c r="B31" s="87" t="s">
        <v>2093</v>
      </c>
      <c r="C31" s="84" t="s">
        <v>2094</v>
      </c>
      <c r="D31" s="97" t="s">
        <v>1829</v>
      </c>
      <c r="E31" s="97" t="s">
        <v>167</v>
      </c>
      <c r="F31" s="107">
        <v>43767</v>
      </c>
      <c r="G31" s="94">
        <v>4212000</v>
      </c>
      <c r="H31" s="96">
        <v>1.6312</v>
      </c>
      <c r="I31" s="94">
        <v>68.705190000000002</v>
      </c>
      <c r="J31" s="95">
        <f t="shared" si="0"/>
        <v>7.745592015827206E-2</v>
      </c>
      <c r="K31" s="95">
        <f>I31/'סכום נכסי הקרן'!$C$42</f>
        <v>7.2293697175842997E-5</v>
      </c>
    </row>
    <row r="32" spans="2:51">
      <c r="B32" s="87" t="s">
        <v>2095</v>
      </c>
      <c r="C32" s="84" t="s">
        <v>2096</v>
      </c>
      <c r="D32" s="97" t="s">
        <v>1829</v>
      </c>
      <c r="E32" s="97" t="s">
        <v>167</v>
      </c>
      <c r="F32" s="107">
        <v>43767</v>
      </c>
      <c r="G32" s="94">
        <v>1405200</v>
      </c>
      <c r="H32" s="96">
        <v>1.9187000000000001</v>
      </c>
      <c r="I32" s="94">
        <v>26.96163</v>
      </c>
      <c r="J32" s="95">
        <f t="shared" si="0"/>
        <v>3.0395634749236157E-2</v>
      </c>
      <c r="K32" s="95">
        <f>I32/'סכום נכסי הקרן'!$C$42</f>
        <v>2.8369849709856322E-5</v>
      </c>
    </row>
    <row r="33" spans="2:11">
      <c r="B33" s="87" t="s">
        <v>2097</v>
      </c>
      <c r="C33" s="84" t="s">
        <v>2098</v>
      </c>
      <c r="D33" s="97" t="s">
        <v>1829</v>
      </c>
      <c r="E33" s="97" t="s">
        <v>167</v>
      </c>
      <c r="F33" s="107">
        <v>43626</v>
      </c>
      <c r="G33" s="94">
        <v>1405440</v>
      </c>
      <c r="H33" s="96">
        <v>2.3003999999999998</v>
      </c>
      <c r="I33" s="94">
        <v>32.331009999999999</v>
      </c>
      <c r="J33" s="95">
        <f t="shared" si="0"/>
        <v>3.6448893150521751E-2</v>
      </c>
      <c r="K33" s="95">
        <f>I33/'סכום נכסי הקרן'!$C$42</f>
        <v>3.4019675170524253E-5</v>
      </c>
    </row>
    <row r="34" spans="2:11">
      <c r="B34" s="87" t="s">
        <v>2099</v>
      </c>
      <c r="C34" s="84" t="s">
        <v>2100</v>
      </c>
      <c r="D34" s="97" t="s">
        <v>1829</v>
      </c>
      <c r="E34" s="97" t="s">
        <v>167</v>
      </c>
      <c r="F34" s="107">
        <v>43754</v>
      </c>
      <c r="G34" s="94">
        <v>3481632</v>
      </c>
      <c r="H34" s="96">
        <v>1.849</v>
      </c>
      <c r="I34" s="94">
        <v>64.376800000000003</v>
      </c>
      <c r="J34" s="95">
        <f t="shared" si="0"/>
        <v>7.2576238867035348E-2</v>
      </c>
      <c r="K34" s="95">
        <f>I34/'סכום נכסי הקרן'!$C$42</f>
        <v>6.7739233154726872E-5</v>
      </c>
    </row>
    <row r="35" spans="2:11">
      <c r="B35" s="87" t="s">
        <v>2101</v>
      </c>
      <c r="C35" s="84" t="s">
        <v>2102</v>
      </c>
      <c r="D35" s="97" t="s">
        <v>1829</v>
      </c>
      <c r="E35" s="97" t="s">
        <v>167</v>
      </c>
      <c r="F35" s="107">
        <v>43621</v>
      </c>
      <c r="G35" s="94">
        <v>9513180</v>
      </c>
      <c r="H35" s="96">
        <v>2.7046999999999999</v>
      </c>
      <c r="I35" s="94">
        <v>257.30336</v>
      </c>
      <c r="J35" s="95">
        <f t="shared" si="0"/>
        <v>0.29007515310874088</v>
      </c>
      <c r="K35" s="95">
        <f>I35/'סכום נכסי הקרן'!$C$42</f>
        <v>2.7074244595156363E-4</v>
      </c>
    </row>
    <row r="36" spans="2:11">
      <c r="B36" s="87" t="s">
        <v>2103</v>
      </c>
      <c r="C36" s="84" t="s">
        <v>2104</v>
      </c>
      <c r="D36" s="97" t="s">
        <v>1829</v>
      </c>
      <c r="E36" s="97" t="s">
        <v>167</v>
      </c>
      <c r="F36" s="107">
        <v>43641</v>
      </c>
      <c r="G36" s="94">
        <v>1059000</v>
      </c>
      <c r="H36" s="96">
        <v>2.8959000000000001</v>
      </c>
      <c r="I36" s="94">
        <v>30.668110000000002</v>
      </c>
      <c r="J36" s="95">
        <f t="shared" si="0"/>
        <v>3.4574195625761389E-2</v>
      </c>
      <c r="K36" s="95">
        <f>I36/'סכום נכסי הקרן'!$C$42</f>
        <v>3.2269921053932639E-5</v>
      </c>
    </row>
    <row r="37" spans="2:11">
      <c r="B37" s="87" t="s">
        <v>2105</v>
      </c>
      <c r="C37" s="84" t="s">
        <v>2106</v>
      </c>
      <c r="D37" s="97" t="s">
        <v>1829</v>
      </c>
      <c r="E37" s="97" t="s">
        <v>167</v>
      </c>
      <c r="F37" s="107">
        <v>43633</v>
      </c>
      <c r="G37" s="94">
        <v>3541350</v>
      </c>
      <c r="H37" s="96">
        <v>3.0419999999999998</v>
      </c>
      <c r="I37" s="94">
        <v>107.72626</v>
      </c>
      <c r="J37" s="95">
        <f t="shared" si="0"/>
        <v>0.12144696191814994</v>
      </c>
      <c r="K37" s="95">
        <f>I37/'סכום נכסי הקרן'!$C$42</f>
        <v>1.133528575981833E-4</v>
      </c>
    </row>
    <row r="38" spans="2:11">
      <c r="B38" s="83"/>
      <c r="C38" s="84"/>
      <c r="D38" s="84"/>
      <c r="E38" s="84"/>
      <c r="F38" s="84"/>
      <c r="G38" s="94"/>
      <c r="H38" s="96"/>
      <c r="I38" s="84"/>
      <c r="J38" s="95"/>
      <c r="K38" s="84"/>
    </row>
    <row r="39" spans="2:11">
      <c r="B39" s="102" t="s">
        <v>234</v>
      </c>
      <c r="C39" s="82"/>
      <c r="D39" s="82"/>
      <c r="E39" s="82"/>
      <c r="F39" s="82"/>
      <c r="G39" s="91"/>
      <c r="H39" s="93"/>
      <c r="I39" s="91">
        <v>-109.650620645</v>
      </c>
      <c r="J39" s="92">
        <f t="shared" ref="J39:J102" si="1">I39/$I$11</f>
        <v>-0.12361642137928879</v>
      </c>
      <c r="K39" s="92">
        <f>I39/'סכום נכסי הקרן'!$C$42</f>
        <v>-1.1537772858284604E-4</v>
      </c>
    </row>
    <row r="40" spans="2:11">
      <c r="B40" s="87" t="s">
        <v>2107</v>
      </c>
      <c r="C40" s="84" t="s">
        <v>2108</v>
      </c>
      <c r="D40" s="97" t="s">
        <v>1829</v>
      </c>
      <c r="E40" s="97" t="s">
        <v>169</v>
      </c>
      <c r="F40" s="107">
        <v>43810</v>
      </c>
      <c r="G40" s="94">
        <v>377855.28140600002</v>
      </c>
      <c r="H40" s="96">
        <v>1.0920000000000001</v>
      </c>
      <c r="I40" s="94">
        <v>4.1262503769999999</v>
      </c>
      <c r="J40" s="95">
        <f t="shared" si="1"/>
        <v>4.6517958796701087E-3</v>
      </c>
      <c r="K40" s="95">
        <f>I40/'סכום נכסי הקרן'!$C$42</f>
        <v>4.3417665423317503E-6</v>
      </c>
    </row>
    <row r="41" spans="2:11">
      <c r="B41" s="87" t="s">
        <v>2109</v>
      </c>
      <c r="C41" s="84" t="s">
        <v>2110</v>
      </c>
      <c r="D41" s="97" t="s">
        <v>1829</v>
      </c>
      <c r="E41" s="97" t="s">
        <v>169</v>
      </c>
      <c r="F41" s="107">
        <v>43699</v>
      </c>
      <c r="G41" s="94">
        <v>150860.506284</v>
      </c>
      <c r="H41" s="96">
        <v>6.5600000000000006E-2</v>
      </c>
      <c r="I41" s="94">
        <v>9.8907262999999995E-2</v>
      </c>
      <c r="J41" s="95">
        <f t="shared" si="1"/>
        <v>1.1150472134639632E-4</v>
      </c>
      <c r="K41" s="95">
        <f>I41/'סכום נכסי הקרן'!$C$42</f>
        <v>1.0407323987916283E-7</v>
      </c>
    </row>
    <row r="42" spans="2:11">
      <c r="B42" s="87" t="s">
        <v>2111</v>
      </c>
      <c r="C42" s="84" t="s">
        <v>2112</v>
      </c>
      <c r="D42" s="97" t="s">
        <v>1829</v>
      </c>
      <c r="E42" s="97" t="s">
        <v>169</v>
      </c>
      <c r="F42" s="107">
        <v>43761</v>
      </c>
      <c r="G42" s="94">
        <v>388575.93874399998</v>
      </c>
      <c r="H42" s="96">
        <v>0.3574</v>
      </c>
      <c r="I42" s="94">
        <v>1.388733378</v>
      </c>
      <c r="J42" s="95">
        <f t="shared" si="1"/>
        <v>1.5656112973051299E-3</v>
      </c>
      <c r="K42" s="95">
        <f>I42/'סכום נכסי הקרן'!$C$42</f>
        <v>1.4612676318501921E-6</v>
      </c>
    </row>
    <row r="43" spans="2:11">
      <c r="B43" s="87" t="s">
        <v>2113</v>
      </c>
      <c r="C43" s="84" t="s">
        <v>2114</v>
      </c>
      <c r="D43" s="97" t="s">
        <v>1829</v>
      </c>
      <c r="E43" s="97" t="s">
        <v>169</v>
      </c>
      <c r="F43" s="107">
        <v>43704</v>
      </c>
      <c r="G43" s="94">
        <v>100573.670856</v>
      </c>
      <c r="H43" s="96">
        <v>-4.2200000000000001E-2</v>
      </c>
      <c r="I43" s="94">
        <v>-4.2399859999999998E-2</v>
      </c>
      <c r="J43" s="95">
        <f t="shared" si="1"/>
        <v>-4.7800175952965309E-5</v>
      </c>
      <c r="K43" s="95">
        <f>I43/'סכום נכסי הקרן'!$C$42</f>
        <v>-4.4614426350296651E-8</v>
      </c>
    </row>
    <row r="44" spans="2:11">
      <c r="B44" s="87" t="s">
        <v>2115</v>
      </c>
      <c r="C44" s="84" t="s">
        <v>2116</v>
      </c>
      <c r="D44" s="97" t="s">
        <v>1829</v>
      </c>
      <c r="E44" s="97" t="s">
        <v>169</v>
      </c>
      <c r="F44" s="107">
        <v>43703</v>
      </c>
      <c r="G44" s="94">
        <v>87429.586217000004</v>
      </c>
      <c r="H44" s="96">
        <v>-0.28899999999999998</v>
      </c>
      <c r="I44" s="94">
        <v>-0.25265439099999998</v>
      </c>
      <c r="J44" s="95">
        <f t="shared" si="1"/>
        <v>-2.8483406183627246E-4</v>
      </c>
      <c r="K44" s="95">
        <f>I44/'סכום נכסי הקרן'!$C$42</f>
        <v>-2.6585065892549061E-7</v>
      </c>
    </row>
    <row r="45" spans="2:11">
      <c r="B45" s="87" t="s">
        <v>2117</v>
      </c>
      <c r="C45" s="84" t="s">
        <v>2118</v>
      </c>
      <c r="D45" s="97" t="s">
        <v>1829</v>
      </c>
      <c r="E45" s="97" t="s">
        <v>170</v>
      </c>
      <c r="F45" s="107">
        <v>43822</v>
      </c>
      <c r="G45" s="94">
        <v>285536.735453</v>
      </c>
      <c r="H45" s="96">
        <v>1.5645</v>
      </c>
      <c r="I45" s="94">
        <v>4.467151232</v>
      </c>
      <c r="J45" s="95">
        <f t="shared" si="1"/>
        <v>5.0361160366592193E-3</v>
      </c>
      <c r="K45" s="95">
        <f>I45/'סכום נכסי הקרן'!$C$42</f>
        <v>4.7004728231579288E-6</v>
      </c>
    </row>
    <row r="46" spans="2:11">
      <c r="B46" s="87" t="s">
        <v>2119</v>
      </c>
      <c r="C46" s="84" t="s">
        <v>2120</v>
      </c>
      <c r="D46" s="97" t="s">
        <v>1829</v>
      </c>
      <c r="E46" s="97" t="s">
        <v>169</v>
      </c>
      <c r="F46" s="107">
        <v>43741</v>
      </c>
      <c r="G46" s="94">
        <v>396800.92017400003</v>
      </c>
      <c r="H46" s="96">
        <v>-1.8286</v>
      </c>
      <c r="I46" s="94">
        <v>-7.2559943020000013</v>
      </c>
      <c r="J46" s="95">
        <f t="shared" si="1"/>
        <v>-8.1801639050061437E-3</v>
      </c>
      <c r="K46" s="95">
        <f>I46/'סכום נכסי הקרן'!$C$42</f>
        <v>-7.6349785915508023E-6</v>
      </c>
    </row>
    <row r="47" spans="2:11">
      <c r="B47" s="87" t="s">
        <v>2121</v>
      </c>
      <c r="C47" s="84" t="s">
        <v>2122</v>
      </c>
      <c r="D47" s="97" t="s">
        <v>1829</v>
      </c>
      <c r="E47" s="97" t="s">
        <v>169</v>
      </c>
      <c r="F47" s="107">
        <v>43745</v>
      </c>
      <c r="G47" s="94">
        <v>198608.389448</v>
      </c>
      <c r="H47" s="96">
        <v>-1.7223999999999999</v>
      </c>
      <c r="I47" s="94">
        <v>-3.420840959</v>
      </c>
      <c r="J47" s="95">
        <f t="shared" si="1"/>
        <v>-3.8565410297890278E-3</v>
      </c>
      <c r="K47" s="95">
        <f>I47/'סכום נכסי הקרן'!$C$42</f>
        <v>-3.599513230029148E-6</v>
      </c>
    </row>
    <row r="48" spans="2:11">
      <c r="B48" s="87" t="s">
        <v>2123</v>
      </c>
      <c r="C48" s="84" t="s">
        <v>2124</v>
      </c>
      <c r="D48" s="97" t="s">
        <v>1829</v>
      </c>
      <c r="E48" s="97" t="s">
        <v>169</v>
      </c>
      <c r="F48" s="107">
        <v>43741</v>
      </c>
      <c r="G48" s="94">
        <v>383827.02016000001</v>
      </c>
      <c r="H48" s="96">
        <v>-1.6813</v>
      </c>
      <c r="I48" s="94">
        <v>-6.4531284180000004</v>
      </c>
      <c r="J48" s="95">
        <f t="shared" si="1"/>
        <v>-7.2750399135157687E-3</v>
      </c>
      <c r="K48" s="95">
        <f>I48/'סכום נכסי הקרן'!$C$42</f>
        <v>-6.790178612237573E-6</v>
      </c>
    </row>
    <row r="49" spans="2:11">
      <c r="B49" s="87" t="s">
        <v>2125</v>
      </c>
      <c r="C49" s="84" t="s">
        <v>2114</v>
      </c>
      <c r="D49" s="97" t="s">
        <v>1829</v>
      </c>
      <c r="E49" s="97" t="s">
        <v>169</v>
      </c>
      <c r="F49" s="107">
        <v>43794</v>
      </c>
      <c r="G49" s="94">
        <v>165200.472247</v>
      </c>
      <c r="H49" s="96">
        <v>-1.5382</v>
      </c>
      <c r="I49" s="94">
        <v>-2.5411955870000003</v>
      </c>
      <c r="J49" s="95">
        <f t="shared" si="1"/>
        <v>-2.8648584261716662E-3</v>
      </c>
      <c r="K49" s="95">
        <f>I49/'סכום נכסי הקרן'!$C$42</f>
        <v>-2.6739235308302993E-6</v>
      </c>
    </row>
    <row r="50" spans="2:11">
      <c r="B50" s="87" t="s">
        <v>2126</v>
      </c>
      <c r="C50" s="84" t="s">
        <v>2127</v>
      </c>
      <c r="D50" s="97" t="s">
        <v>1829</v>
      </c>
      <c r="E50" s="97" t="s">
        <v>169</v>
      </c>
      <c r="F50" s="107">
        <v>43754</v>
      </c>
      <c r="G50" s="94">
        <v>149292.38480299999</v>
      </c>
      <c r="H50" s="96">
        <v>-1.1773</v>
      </c>
      <c r="I50" s="94">
        <v>-1.7575537099999998</v>
      </c>
      <c r="J50" s="95">
        <f t="shared" si="1"/>
        <v>-1.9814069335320201E-3</v>
      </c>
      <c r="K50" s="95">
        <f>I50/'סכום נכסי הקרן'!$C$42</f>
        <v>-1.8493516382244101E-6</v>
      </c>
    </row>
    <row r="51" spans="2:11">
      <c r="B51" s="87" t="s">
        <v>2128</v>
      </c>
      <c r="C51" s="84" t="s">
        <v>2129</v>
      </c>
      <c r="D51" s="97" t="s">
        <v>1829</v>
      </c>
      <c r="E51" s="97" t="s">
        <v>169</v>
      </c>
      <c r="F51" s="107">
        <v>43754</v>
      </c>
      <c r="G51" s="94">
        <v>149332.715929</v>
      </c>
      <c r="H51" s="96">
        <v>-1.1499999999999999</v>
      </c>
      <c r="I51" s="94">
        <v>-1.717262702</v>
      </c>
      <c r="J51" s="95">
        <f t="shared" si="1"/>
        <v>-1.9359842063880551E-3</v>
      </c>
      <c r="K51" s="95">
        <f>I51/'סכום נכסי הקרן'!$C$42</f>
        <v>-1.8069562102915064E-6</v>
      </c>
    </row>
    <row r="52" spans="2:11">
      <c r="B52" s="87" t="s">
        <v>2130</v>
      </c>
      <c r="C52" s="84" t="s">
        <v>2131</v>
      </c>
      <c r="D52" s="97" t="s">
        <v>1829</v>
      </c>
      <c r="E52" s="97" t="s">
        <v>169</v>
      </c>
      <c r="F52" s="107">
        <v>43745</v>
      </c>
      <c r="G52" s="94">
        <v>199379.16207800002</v>
      </c>
      <c r="H52" s="96">
        <v>-1.45</v>
      </c>
      <c r="I52" s="94">
        <v>-2.891069731</v>
      </c>
      <c r="J52" s="95">
        <f t="shared" si="1"/>
        <v>-3.2592947673433853E-3</v>
      </c>
      <c r="K52" s="95">
        <f>I52/'סכום נכסי הקרן'!$C$42</f>
        <v>-3.0420717801254877E-6</v>
      </c>
    </row>
    <row r="53" spans="2:11">
      <c r="B53" s="87" t="s">
        <v>2132</v>
      </c>
      <c r="C53" s="84" t="s">
        <v>2133</v>
      </c>
      <c r="D53" s="97" t="s">
        <v>1829</v>
      </c>
      <c r="E53" s="97" t="s">
        <v>169</v>
      </c>
      <c r="F53" s="107">
        <v>43745</v>
      </c>
      <c r="G53" s="94">
        <v>199379.16207800002</v>
      </c>
      <c r="H53" s="96">
        <v>-1.45</v>
      </c>
      <c r="I53" s="94">
        <v>-2.891069731</v>
      </c>
      <c r="J53" s="95">
        <f t="shared" si="1"/>
        <v>-3.2592947673433853E-3</v>
      </c>
      <c r="K53" s="95">
        <f>I53/'סכום נכסי הקרן'!$C$42</f>
        <v>-3.0420717801254877E-6</v>
      </c>
    </row>
    <row r="54" spans="2:11">
      <c r="B54" s="87" t="s">
        <v>2134</v>
      </c>
      <c r="C54" s="84" t="s">
        <v>2135</v>
      </c>
      <c r="D54" s="97" t="s">
        <v>1829</v>
      </c>
      <c r="E54" s="97" t="s">
        <v>169</v>
      </c>
      <c r="F54" s="107">
        <v>43753</v>
      </c>
      <c r="G54" s="94">
        <v>249318.05855799999</v>
      </c>
      <c r="H54" s="96">
        <v>-1.2925</v>
      </c>
      <c r="I54" s="94">
        <v>-3.2224120010000004</v>
      </c>
      <c r="J54" s="95">
        <f t="shared" si="1"/>
        <v>-3.6328388971271853E-3</v>
      </c>
      <c r="K54" s="95">
        <f>I54/'סכום נכסי הקרן'!$C$42</f>
        <v>-3.3907202261735434E-6</v>
      </c>
    </row>
    <row r="55" spans="2:11">
      <c r="B55" s="87" t="s">
        <v>2136</v>
      </c>
      <c r="C55" s="84" t="s">
        <v>2137</v>
      </c>
      <c r="D55" s="97" t="s">
        <v>1829</v>
      </c>
      <c r="E55" s="97" t="s">
        <v>169</v>
      </c>
      <c r="F55" s="107">
        <v>43753</v>
      </c>
      <c r="G55" s="94">
        <v>241482.58215</v>
      </c>
      <c r="H55" s="96">
        <v>-1.1338999999999999</v>
      </c>
      <c r="I55" s="94">
        <v>-2.738115477</v>
      </c>
      <c r="J55" s="95">
        <f t="shared" si="1"/>
        <v>-3.0868592863310764E-3</v>
      </c>
      <c r="K55" s="95">
        <f>I55/'סכום נכסי הקרן'!$C$42</f>
        <v>-2.8811286472932666E-6</v>
      </c>
    </row>
    <row r="56" spans="2:11">
      <c r="B56" s="87" t="s">
        <v>2138</v>
      </c>
      <c r="C56" s="84" t="s">
        <v>2139</v>
      </c>
      <c r="D56" s="97" t="s">
        <v>1829</v>
      </c>
      <c r="E56" s="97" t="s">
        <v>169</v>
      </c>
      <c r="F56" s="107">
        <v>43822</v>
      </c>
      <c r="G56" s="94">
        <v>193411.14358800001</v>
      </c>
      <c r="H56" s="96">
        <v>-1.0169999999999999</v>
      </c>
      <c r="I56" s="94">
        <v>-1.966896717</v>
      </c>
      <c r="J56" s="95">
        <f t="shared" si="1"/>
        <v>-2.2174131979188099E-3</v>
      </c>
      <c r="K56" s="95">
        <f>I56/'סכום נכסי הקרן'!$C$42</f>
        <v>-2.0696287374353779E-6</v>
      </c>
    </row>
    <row r="57" spans="2:11">
      <c r="B57" s="87" t="s">
        <v>2140</v>
      </c>
      <c r="C57" s="84" t="s">
        <v>2141</v>
      </c>
      <c r="D57" s="97" t="s">
        <v>1829</v>
      </c>
      <c r="E57" s="97" t="s">
        <v>169</v>
      </c>
      <c r="F57" s="107">
        <v>43766</v>
      </c>
      <c r="G57" s="94">
        <v>186594.53571</v>
      </c>
      <c r="H57" s="96">
        <v>-0.64859999999999995</v>
      </c>
      <c r="I57" s="94">
        <v>-1.2101711980000001</v>
      </c>
      <c r="J57" s="95">
        <f t="shared" si="1"/>
        <v>-1.3643063018984221E-3</v>
      </c>
      <c r="K57" s="95">
        <f>I57/'סכום נכסי הקרן'!$C$42</f>
        <v>-1.2733790579596554E-6</v>
      </c>
    </row>
    <row r="58" spans="2:11">
      <c r="B58" s="87" t="s">
        <v>2142</v>
      </c>
      <c r="C58" s="84" t="s">
        <v>2139</v>
      </c>
      <c r="D58" s="97" t="s">
        <v>1829</v>
      </c>
      <c r="E58" s="97" t="s">
        <v>169</v>
      </c>
      <c r="F58" s="107">
        <v>43719</v>
      </c>
      <c r="G58" s="94">
        <v>251352.539804</v>
      </c>
      <c r="H58" s="96">
        <v>-0.59650000000000003</v>
      </c>
      <c r="I58" s="94">
        <v>-1.4992673910000001</v>
      </c>
      <c r="J58" s="95">
        <f t="shared" si="1"/>
        <v>-1.6902236255106325E-3</v>
      </c>
      <c r="K58" s="95">
        <f>I58/'סכום נכסי הקרן'!$C$42</f>
        <v>-1.5775748928220733E-6</v>
      </c>
    </row>
    <row r="59" spans="2:11">
      <c r="B59" s="87" t="s">
        <v>2143</v>
      </c>
      <c r="C59" s="84" t="s">
        <v>2144</v>
      </c>
      <c r="D59" s="97" t="s">
        <v>1829</v>
      </c>
      <c r="E59" s="97" t="s">
        <v>169</v>
      </c>
      <c r="F59" s="107">
        <v>43719</v>
      </c>
      <c r="G59" s="94">
        <v>251368.224131</v>
      </c>
      <c r="H59" s="96">
        <v>-0.59019999999999995</v>
      </c>
      <c r="I59" s="94">
        <v>-1.483686329</v>
      </c>
      <c r="J59" s="95">
        <f t="shared" si="1"/>
        <v>-1.6726580603145668E-3</v>
      </c>
      <c r="K59" s="95">
        <f>I59/'סכום נכסי הקרן'!$C$42</f>
        <v>-1.5611800239932988E-6</v>
      </c>
    </row>
    <row r="60" spans="2:11">
      <c r="B60" s="87" t="s">
        <v>2145</v>
      </c>
      <c r="C60" s="84" t="s">
        <v>2146</v>
      </c>
      <c r="D60" s="97" t="s">
        <v>1829</v>
      </c>
      <c r="E60" s="97" t="s">
        <v>169</v>
      </c>
      <c r="F60" s="107">
        <v>43760</v>
      </c>
      <c r="G60" s="94">
        <v>301878.47823000001</v>
      </c>
      <c r="H60" s="96">
        <v>-0.34300000000000003</v>
      </c>
      <c r="I60" s="94">
        <v>-1.0354010920000001</v>
      </c>
      <c r="J60" s="95">
        <f t="shared" si="1"/>
        <v>-1.1672763631646998E-3</v>
      </c>
      <c r="K60" s="95">
        <f>I60/'סכום נכסי הקרן'!$C$42</f>
        <v>-1.0894806200315457E-6</v>
      </c>
    </row>
    <row r="61" spans="2:11">
      <c r="B61" s="87" t="s">
        <v>2147</v>
      </c>
      <c r="C61" s="84" t="s">
        <v>2148</v>
      </c>
      <c r="D61" s="97" t="s">
        <v>1829</v>
      </c>
      <c r="E61" s="97" t="s">
        <v>169</v>
      </c>
      <c r="F61" s="107">
        <v>43762</v>
      </c>
      <c r="G61" s="94">
        <v>304986.66816100001</v>
      </c>
      <c r="H61" s="96">
        <v>-0.3286</v>
      </c>
      <c r="I61" s="94">
        <v>-1.0021975169999999</v>
      </c>
      <c r="J61" s="95">
        <f t="shared" si="1"/>
        <v>-1.1298437695837897E-3</v>
      </c>
      <c r="K61" s="95">
        <f>I61/'סכום נכסי הקרן'!$C$42</f>
        <v>-1.0545428053452695E-6</v>
      </c>
    </row>
    <row r="62" spans="2:11">
      <c r="B62" s="87" t="s">
        <v>2149</v>
      </c>
      <c r="C62" s="84" t="s">
        <v>2150</v>
      </c>
      <c r="D62" s="97" t="s">
        <v>1829</v>
      </c>
      <c r="E62" s="97" t="s">
        <v>169</v>
      </c>
      <c r="F62" s="107">
        <v>43760</v>
      </c>
      <c r="G62" s="94">
        <v>243149.02405899999</v>
      </c>
      <c r="H62" s="96">
        <v>-0.2762</v>
      </c>
      <c r="I62" s="94">
        <v>-0.67163520500000007</v>
      </c>
      <c r="J62" s="95">
        <f t="shared" si="1"/>
        <v>-7.5717893821361515E-4</v>
      </c>
      <c r="K62" s="95">
        <f>I62/'סכום נכסי הקרן'!$C$42</f>
        <v>-7.0671505490204204E-7</v>
      </c>
    </row>
    <row r="63" spans="2:11">
      <c r="B63" s="87" t="s">
        <v>2151</v>
      </c>
      <c r="C63" s="84" t="s">
        <v>2152</v>
      </c>
      <c r="D63" s="97" t="s">
        <v>1829</v>
      </c>
      <c r="E63" s="97" t="s">
        <v>169</v>
      </c>
      <c r="F63" s="107">
        <v>43760</v>
      </c>
      <c r="G63" s="94">
        <v>251744.64797399996</v>
      </c>
      <c r="H63" s="96">
        <v>-0.27179999999999999</v>
      </c>
      <c r="I63" s="94">
        <v>-0.68418163600000004</v>
      </c>
      <c r="J63" s="95">
        <f t="shared" si="1"/>
        <v>-7.7132336249666081E-4</v>
      </c>
      <c r="K63" s="95">
        <f>I63/'סכום נכסי הקרן'!$C$42</f>
        <v>-7.1991679240326446E-7</v>
      </c>
    </row>
    <row r="64" spans="2:11">
      <c r="B64" s="87" t="s">
        <v>2153</v>
      </c>
      <c r="C64" s="84" t="s">
        <v>2154</v>
      </c>
      <c r="D64" s="97" t="s">
        <v>1829</v>
      </c>
      <c r="E64" s="97" t="s">
        <v>169</v>
      </c>
      <c r="F64" s="107">
        <v>43768</v>
      </c>
      <c r="G64" s="94">
        <v>110915.52590399999</v>
      </c>
      <c r="H64" s="96">
        <v>-0.30780000000000002</v>
      </c>
      <c r="I64" s="94">
        <v>-0.34137925299999999</v>
      </c>
      <c r="J64" s="95">
        <f t="shared" si="1"/>
        <v>-3.8485948680235882E-4</v>
      </c>
      <c r="K64" s="95">
        <f>I64/'סכום נכסי הקרן'!$C$42</f>
        <v>-3.5920966579813675E-7</v>
      </c>
    </row>
    <row r="65" spans="2:11">
      <c r="B65" s="87" t="s">
        <v>2155</v>
      </c>
      <c r="C65" s="84" t="s">
        <v>2156</v>
      </c>
      <c r="D65" s="97" t="s">
        <v>1829</v>
      </c>
      <c r="E65" s="97" t="s">
        <v>169</v>
      </c>
      <c r="F65" s="107">
        <v>43675</v>
      </c>
      <c r="G65" s="94">
        <v>303128.743136</v>
      </c>
      <c r="H65" s="96">
        <v>0.33789999999999998</v>
      </c>
      <c r="I65" s="94">
        <v>1.024346027</v>
      </c>
      <c r="J65" s="95">
        <f t="shared" si="1"/>
        <v>1.1548132547447316E-3</v>
      </c>
      <c r="K65" s="95">
        <f>I65/'סכום נכסי הקרן'!$C$42</f>
        <v>1.0778481433384565E-6</v>
      </c>
    </row>
    <row r="66" spans="2:11">
      <c r="B66" s="87" t="s">
        <v>2157</v>
      </c>
      <c r="C66" s="84" t="s">
        <v>2158</v>
      </c>
      <c r="D66" s="97" t="s">
        <v>1829</v>
      </c>
      <c r="E66" s="97" t="s">
        <v>169</v>
      </c>
      <c r="F66" s="107">
        <v>43678</v>
      </c>
      <c r="G66" s="94">
        <v>292999.44346400001</v>
      </c>
      <c r="H66" s="96">
        <v>-2.9600000000000001E-2</v>
      </c>
      <c r="I66" s="94">
        <v>-8.6600674000000002E-2</v>
      </c>
      <c r="J66" s="95">
        <f t="shared" si="1"/>
        <v>-9.7630686866545993E-5</v>
      </c>
      <c r="K66" s="95">
        <f>I66/'סכום נכסי הקרן'!$C$42</f>
        <v>-9.1123871448138038E-8</v>
      </c>
    </row>
    <row r="67" spans="2:11">
      <c r="B67" s="87" t="s">
        <v>2159</v>
      </c>
      <c r="C67" s="84" t="s">
        <v>2160</v>
      </c>
      <c r="D67" s="97" t="s">
        <v>1829</v>
      </c>
      <c r="E67" s="97" t="s">
        <v>169</v>
      </c>
      <c r="F67" s="107">
        <v>43677</v>
      </c>
      <c r="G67" s="94">
        <v>202498.10248999999</v>
      </c>
      <c r="H67" s="96">
        <v>0.54059999999999997</v>
      </c>
      <c r="I67" s="94">
        <v>1.0947609789999999</v>
      </c>
      <c r="J67" s="95">
        <f t="shared" si="1"/>
        <v>1.2341967030702593E-3</v>
      </c>
      <c r="K67" s="95">
        <f>I67/'סכום נכסי הקרן'!$C$42</f>
        <v>1.1519409042570932E-6</v>
      </c>
    </row>
    <row r="68" spans="2:11">
      <c r="B68" s="87" t="s">
        <v>2161</v>
      </c>
      <c r="C68" s="84" t="s">
        <v>2162</v>
      </c>
      <c r="D68" s="97" t="s">
        <v>1829</v>
      </c>
      <c r="E68" s="97" t="s">
        <v>169</v>
      </c>
      <c r="F68" s="107">
        <v>43677</v>
      </c>
      <c r="G68" s="94">
        <v>202498.10248999999</v>
      </c>
      <c r="H68" s="96">
        <v>0.54059999999999997</v>
      </c>
      <c r="I68" s="94">
        <v>1.0947609789999999</v>
      </c>
      <c r="J68" s="95">
        <f t="shared" si="1"/>
        <v>1.2341967030702593E-3</v>
      </c>
      <c r="K68" s="95">
        <f>I68/'סכום נכסי הקרן'!$C$42</f>
        <v>1.1519409042570932E-6</v>
      </c>
    </row>
    <row r="69" spans="2:11">
      <c r="B69" s="87" t="s">
        <v>2163</v>
      </c>
      <c r="C69" s="84" t="s">
        <v>2116</v>
      </c>
      <c r="D69" s="97" t="s">
        <v>1829</v>
      </c>
      <c r="E69" s="97" t="s">
        <v>169</v>
      </c>
      <c r="F69" s="107">
        <v>43676</v>
      </c>
      <c r="G69" s="94">
        <v>354465.78531800001</v>
      </c>
      <c r="H69" s="96">
        <v>0.56699999999999995</v>
      </c>
      <c r="I69" s="94">
        <v>2.009844068</v>
      </c>
      <c r="J69" s="95">
        <f t="shared" si="1"/>
        <v>2.2658305968091307E-3</v>
      </c>
      <c r="K69" s="95">
        <f>I69/'סכום נכסי הקרן'!$C$42</f>
        <v>2.1148192505203228E-6</v>
      </c>
    </row>
    <row r="70" spans="2:11">
      <c r="B70" s="87" t="s">
        <v>2164</v>
      </c>
      <c r="C70" s="84" t="s">
        <v>2165</v>
      </c>
      <c r="D70" s="97" t="s">
        <v>1829</v>
      </c>
      <c r="E70" s="97" t="s">
        <v>170</v>
      </c>
      <c r="F70" s="107">
        <v>43678</v>
      </c>
      <c r="G70" s="94">
        <v>316918.29539099999</v>
      </c>
      <c r="H70" s="96">
        <v>-8.1579999999999995</v>
      </c>
      <c r="I70" s="94">
        <v>-25.854292647999998</v>
      </c>
      <c r="J70" s="95">
        <f t="shared" si="1"/>
        <v>-2.9147259866279213E-2</v>
      </c>
      <c r="K70" s="95">
        <f>I70/'סכום נכסי הקרן'!$C$42</f>
        <v>-2.7204675562212049E-5</v>
      </c>
    </row>
    <row r="71" spans="2:11">
      <c r="B71" s="87" t="s">
        <v>2166</v>
      </c>
      <c r="C71" s="84" t="s">
        <v>2167</v>
      </c>
      <c r="D71" s="97" t="s">
        <v>1829</v>
      </c>
      <c r="E71" s="97" t="s">
        <v>170</v>
      </c>
      <c r="F71" s="107">
        <v>43677</v>
      </c>
      <c r="G71" s="94">
        <v>159903.10878899999</v>
      </c>
      <c r="H71" s="96">
        <v>-7.1820000000000004</v>
      </c>
      <c r="I71" s="94">
        <v>-11.484256189</v>
      </c>
      <c r="J71" s="95">
        <f t="shared" si="1"/>
        <v>-1.2946964129672382E-2</v>
      </c>
      <c r="K71" s="95">
        <f>I71/'סכום נכסי הקרן'!$C$42</f>
        <v>-1.2084084757168514E-5</v>
      </c>
    </row>
    <row r="72" spans="2:11">
      <c r="B72" s="87" t="s">
        <v>2168</v>
      </c>
      <c r="C72" s="84" t="s">
        <v>2169</v>
      </c>
      <c r="D72" s="97" t="s">
        <v>1829</v>
      </c>
      <c r="E72" s="97" t="s">
        <v>170</v>
      </c>
      <c r="F72" s="107">
        <v>43677</v>
      </c>
      <c r="G72" s="94">
        <v>159932.97489099999</v>
      </c>
      <c r="H72" s="96">
        <v>-7.1619999999999999</v>
      </c>
      <c r="I72" s="94">
        <v>-11.454412229999999</v>
      </c>
      <c r="J72" s="95">
        <f t="shared" si="1"/>
        <v>-1.2913319054161919E-2</v>
      </c>
      <c r="K72" s="95">
        <f>I72/'סכום נכסי הקרן'!$C$42</f>
        <v>-1.2052682032942378E-5</v>
      </c>
    </row>
    <row r="73" spans="2:11">
      <c r="B73" s="87" t="s">
        <v>2170</v>
      </c>
      <c r="C73" s="84" t="s">
        <v>2171</v>
      </c>
      <c r="D73" s="97" t="s">
        <v>1829</v>
      </c>
      <c r="E73" s="97" t="s">
        <v>169</v>
      </c>
      <c r="F73" s="107">
        <v>43732</v>
      </c>
      <c r="G73" s="94">
        <v>571258.86</v>
      </c>
      <c r="H73" s="96">
        <v>1.2446999999999999</v>
      </c>
      <c r="I73" s="94">
        <v>7.1107299999999993</v>
      </c>
      <c r="J73" s="95">
        <f t="shared" si="1"/>
        <v>8.0163978172104588E-3</v>
      </c>
      <c r="K73" s="95">
        <f>I73/'סכום נכסי הקרן'!$C$42</f>
        <v>7.4821270608404102E-6</v>
      </c>
    </row>
    <row r="74" spans="2:11">
      <c r="B74" s="87" t="s">
        <v>2172</v>
      </c>
      <c r="C74" s="84" t="s">
        <v>2173</v>
      </c>
      <c r="D74" s="97" t="s">
        <v>1829</v>
      </c>
      <c r="E74" s="97" t="s">
        <v>169</v>
      </c>
      <c r="F74" s="107">
        <v>43697</v>
      </c>
      <c r="G74" s="94">
        <v>1085896</v>
      </c>
      <c r="H74" s="96">
        <v>0.30869999999999997</v>
      </c>
      <c r="I74" s="94">
        <v>3.35242</v>
      </c>
      <c r="J74" s="95">
        <f t="shared" si="1"/>
        <v>3.7794055420994309E-3</v>
      </c>
      <c r="K74" s="95">
        <f>I74/'סכום נכסי הקרן'!$C$42</f>
        <v>3.5275186093836515E-6</v>
      </c>
    </row>
    <row r="75" spans="2:11">
      <c r="B75" s="87" t="s">
        <v>2174</v>
      </c>
      <c r="C75" s="84" t="s">
        <v>2175</v>
      </c>
      <c r="D75" s="97" t="s">
        <v>1829</v>
      </c>
      <c r="E75" s="97" t="s">
        <v>170</v>
      </c>
      <c r="F75" s="107">
        <v>43815</v>
      </c>
      <c r="G75" s="94">
        <v>820746</v>
      </c>
      <c r="H75" s="96">
        <v>-1.4187000000000001</v>
      </c>
      <c r="I75" s="94">
        <v>-11.64406</v>
      </c>
      <c r="J75" s="95">
        <f t="shared" si="1"/>
        <v>-1.3127121570846821E-2</v>
      </c>
      <c r="K75" s="95">
        <f>I75/'סכום נכסי הקרן'!$C$42</f>
        <v>-1.225223520286235E-5</v>
      </c>
    </row>
    <row r="76" spans="2:11">
      <c r="B76" s="87" t="s">
        <v>2176</v>
      </c>
      <c r="C76" s="84" t="s">
        <v>2177</v>
      </c>
      <c r="D76" s="97" t="s">
        <v>1829</v>
      </c>
      <c r="E76" s="97" t="s">
        <v>167</v>
      </c>
      <c r="F76" s="107">
        <v>43773</v>
      </c>
      <c r="G76" s="94">
        <v>191100</v>
      </c>
      <c r="H76" s="96">
        <v>-0.53180000000000005</v>
      </c>
      <c r="I76" s="94">
        <v>-1.0161799999999999</v>
      </c>
      <c r="J76" s="95">
        <f t="shared" si="1"/>
        <v>-1.1456071505869191E-3</v>
      </c>
      <c r="K76" s="95">
        <f>I76/'סכום נכסי הקרן'!$C$42</f>
        <v>-1.0692556005761446E-6</v>
      </c>
    </row>
    <row r="77" spans="2:11">
      <c r="B77" s="87" t="s">
        <v>2178</v>
      </c>
      <c r="C77" s="84" t="s">
        <v>2179</v>
      </c>
      <c r="D77" s="97" t="s">
        <v>1829</v>
      </c>
      <c r="E77" s="97" t="s">
        <v>167</v>
      </c>
      <c r="F77" s="107">
        <v>43829</v>
      </c>
      <c r="G77" s="94">
        <v>423605</v>
      </c>
      <c r="H77" s="96">
        <v>0.64429999999999998</v>
      </c>
      <c r="I77" s="94">
        <v>2.72925</v>
      </c>
      <c r="J77" s="95">
        <f t="shared" si="1"/>
        <v>3.0768646457707779E-3</v>
      </c>
      <c r="K77" s="95">
        <f>I77/'סכום נכסי הקרן'!$C$42</f>
        <v>2.8718001219000992E-6</v>
      </c>
    </row>
    <row r="78" spans="2:11">
      <c r="B78" s="87" t="s">
        <v>2180</v>
      </c>
      <c r="C78" s="84" t="s">
        <v>2181</v>
      </c>
      <c r="D78" s="97" t="s">
        <v>1829</v>
      </c>
      <c r="E78" s="97" t="s">
        <v>167</v>
      </c>
      <c r="F78" s="107">
        <v>43648</v>
      </c>
      <c r="G78" s="94">
        <v>161272.95999999999</v>
      </c>
      <c r="H78" s="96">
        <v>-0.33479999999999999</v>
      </c>
      <c r="I78" s="94">
        <v>-0.53998999999999997</v>
      </c>
      <c r="J78" s="95">
        <f t="shared" si="1"/>
        <v>-6.0876656226793529E-4</v>
      </c>
      <c r="K78" s="95">
        <f>I78/'סכום נכסי הקרן'!$C$42</f>
        <v>-5.6819395358608941E-7</v>
      </c>
    </row>
    <row r="79" spans="2:11">
      <c r="B79" s="87" t="s">
        <v>2182</v>
      </c>
      <c r="C79" s="84" t="s">
        <v>2183</v>
      </c>
      <c r="D79" s="97" t="s">
        <v>1829</v>
      </c>
      <c r="E79" s="97" t="s">
        <v>167</v>
      </c>
      <c r="F79" s="107">
        <v>43622</v>
      </c>
      <c r="G79" s="94">
        <v>157143.39000000001</v>
      </c>
      <c r="H79" s="96">
        <v>-2.5358000000000001</v>
      </c>
      <c r="I79" s="94">
        <v>-3.9848699999999999</v>
      </c>
      <c r="J79" s="95">
        <f t="shared" si="1"/>
        <v>-4.4924083982752043E-3</v>
      </c>
      <c r="K79" s="95">
        <f>I79/'סכום נכסי הקרן'!$C$42</f>
        <v>-4.1930017960084446E-6</v>
      </c>
    </row>
    <row r="80" spans="2:11">
      <c r="B80" s="87" t="s">
        <v>2184</v>
      </c>
      <c r="C80" s="84" t="s">
        <v>2185</v>
      </c>
      <c r="D80" s="97" t="s">
        <v>1829</v>
      </c>
      <c r="E80" s="97" t="s">
        <v>169</v>
      </c>
      <c r="F80" s="107">
        <v>43794</v>
      </c>
      <c r="G80" s="94">
        <v>134413.17000000001</v>
      </c>
      <c r="H80" s="96">
        <v>-1.5662</v>
      </c>
      <c r="I80" s="94">
        <v>-2.1051899999999999</v>
      </c>
      <c r="J80" s="95">
        <f t="shared" si="1"/>
        <v>-2.3733203933792007E-3</v>
      </c>
      <c r="K80" s="95">
        <f>I80/'סכום נכסי הקרן'!$C$42</f>
        <v>-2.2151451492618373E-6</v>
      </c>
    </row>
    <row r="81" spans="2:11">
      <c r="B81" s="87" t="s">
        <v>2186</v>
      </c>
      <c r="C81" s="84" t="s">
        <v>2187</v>
      </c>
      <c r="D81" s="97" t="s">
        <v>1829</v>
      </c>
      <c r="E81" s="97" t="s">
        <v>169</v>
      </c>
      <c r="F81" s="107">
        <v>43741</v>
      </c>
      <c r="G81" s="94">
        <v>115232.03</v>
      </c>
      <c r="H81" s="96">
        <v>-1.522</v>
      </c>
      <c r="I81" s="94">
        <v>-1.7538099999999999</v>
      </c>
      <c r="J81" s="95">
        <f t="shared" si="1"/>
        <v>-1.9771864008058066E-3</v>
      </c>
      <c r="K81" s="95">
        <f>I81/'סכום נכסי הקרן'!$C$42</f>
        <v>-1.8454123923384125E-6</v>
      </c>
    </row>
    <row r="82" spans="2:11">
      <c r="B82" s="87" t="s">
        <v>2188</v>
      </c>
      <c r="C82" s="84" t="s">
        <v>2189</v>
      </c>
      <c r="D82" s="97" t="s">
        <v>1829</v>
      </c>
      <c r="E82" s="97" t="s">
        <v>169</v>
      </c>
      <c r="F82" s="107">
        <v>43788</v>
      </c>
      <c r="G82" s="94">
        <v>317593.2</v>
      </c>
      <c r="H82" s="96">
        <v>-1.0193000000000001</v>
      </c>
      <c r="I82" s="94">
        <v>-3.23732</v>
      </c>
      <c r="J82" s="95">
        <f t="shared" si="1"/>
        <v>-3.6496456737369811E-3</v>
      </c>
      <c r="K82" s="95">
        <f>I82/'סכום נכסי הקרן'!$C$42</f>
        <v>-3.4064068775779534E-6</v>
      </c>
    </row>
    <row r="83" spans="2:11">
      <c r="B83" s="87" t="s">
        <v>2190</v>
      </c>
      <c r="C83" s="84" t="s">
        <v>2191</v>
      </c>
      <c r="D83" s="97" t="s">
        <v>1829</v>
      </c>
      <c r="E83" s="97" t="s">
        <v>169</v>
      </c>
      <c r="F83" s="107">
        <v>43775</v>
      </c>
      <c r="G83" s="94">
        <v>96830.21</v>
      </c>
      <c r="H83" s="96">
        <v>-0.69910000000000005</v>
      </c>
      <c r="I83" s="94">
        <v>-0.67692999999999992</v>
      </c>
      <c r="J83" s="95">
        <f t="shared" si="1"/>
        <v>-7.6314811199472844E-4</v>
      </c>
      <c r="K83" s="95">
        <f>I83/'סכום נכסי הקרן'!$C$42</f>
        <v>-7.1228639975005365E-7</v>
      </c>
    </row>
    <row r="84" spans="2:11">
      <c r="B84" s="87" t="s">
        <v>2192</v>
      </c>
      <c r="C84" s="84" t="s">
        <v>2193</v>
      </c>
      <c r="D84" s="97" t="s">
        <v>1829</v>
      </c>
      <c r="E84" s="97" t="s">
        <v>169</v>
      </c>
      <c r="F84" s="107">
        <v>43766</v>
      </c>
      <c r="G84" s="94">
        <v>581592.96</v>
      </c>
      <c r="H84" s="96">
        <v>-0.59379999999999999</v>
      </c>
      <c r="I84" s="94">
        <v>-3.4534600000000002</v>
      </c>
      <c r="J84" s="95">
        <f t="shared" si="1"/>
        <v>-3.8933146394004039E-3</v>
      </c>
      <c r="K84" s="95">
        <f>I84/'סכום נכסי הקרן'!$C$42</f>
        <v>-3.6338359802059602E-6</v>
      </c>
    </row>
    <row r="85" spans="2:11">
      <c r="B85" s="87" t="s">
        <v>2194</v>
      </c>
      <c r="C85" s="84" t="s">
        <v>2195</v>
      </c>
      <c r="D85" s="97" t="s">
        <v>1829</v>
      </c>
      <c r="E85" s="97" t="s">
        <v>169</v>
      </c>
      <c r="F85" s="107">
        <v>43774</v>
      </c>
      <c r="G85" s="94">
        <v>232740.86</v>
      </c>
      <c r="H85" s="96">
        <v>-0.54920000000000002</v>
      </c>
      <c r="I85" s="94">
        <v>-1.2783099999999998</v>
      </c>
      <c r="J85" s="95">
        <f t="shared" si="1"/>
        <v>-1.4411236952771797E-3</v>
      </c>
      <c r="K85" s="95">
        <f>I85/'סכום נכסי הקרן'!$C$42</f>
        <v>-1.3450767844008849E-6</v>
      </c>
    </row>
    <row r="86" spans="2:11">
      <c r="B86" s="87" t="s">
        <v>2196</v>
      </c>
      <c r="C86" s="84" t="s">
        <v>2197</v>
      </c>
      <c r="D86" s="97" t="s">
        <v>1829</v>
      </c>
      <c r="E86" s="97" t="s">
        <v>169</v>
      </c>
      <c r="F86" s="107">
        <v>43809</v>
      </c>
      <c r="G86" s="94">
        <v>446245.63</v>
      </c>
      <c r="H86" s="96">
        <v>-1.1979</v>
      </c>
      <c r="I86" s="94">
        <v>-5.3456299999999999</v>
      </c>
      <c r="J86" s="95">
        <f t="shared" si="1"/>
        <v>-6.0264834501682308E-3</v>
      </c>
      <c r="K86" s="95">
        <f>I86/'סכום נכסי הקרן'!$C$42</f>
        <v>-5.6248349860338284E-6</v>
      </c>
    </row>
    <row r="87" spans="2:11">
      <c r="B87" s="87" t="s">
        <v>2198</v>
      </c>
      <c r="C87" s="84" t="s">
        <v>2199</v>
      </c>
      <c r="D87" s="97" t="s">
        <v>1829</v>
      </c>
      <c r="E87" s="97" t="s">
        <v>169</v>
      </c>
      <c r="F87" s="107">
        <v>43808</v>
      </c>
      <c r="G87" s="94">
        <v>2134275.2599999998</v>
      </c>
      <c r="H87" s="96">
        <v>-1.1952</v>
      </c>
      <c r="I87" s="94">
        <v>-25.509630000000001</v>
      </c>
      <c r="J87" s="95">
        <f t="shared" si="1"/>
        <v>-2.8758698790397955E-2</v>
      </c>
      <c r="K87" s="95">
        <f>I87/'סכום נכסי הקרן'!$C$42</f>
        <v>-2.6842011008015546E-5</v>
      </c>
    </row>
    <row r="88" spans="2:11">
      <c r="B88" s="87" t="s">
        <v>2200</v>
      </c>
      <c r="C88" s="84" t="s">
        <v>2201</v>
      </c>
      <c r="D88" s="97" t="s">
        <v>1829</v>
      </c>
      <c r="E88" s="97" t="s">
        <v>169</v>
      </c>
      <c r="F88" s="107">
        <v>43762</v>
      </c>
      <c r="G88" s="94">
        <v>105059.98</v>
      </c>
      <c r="H88" s="96">
        <v>-0.23849999999999999</v>
      </c>
      <c r="I88" s="94">
        <v>-0.25056</v>
      </c>
      <c r="J88" s="95">
        <f t="shared" si="1"/>
        <v>-2.8247291587224553E-4</v>
      </c>
      <c r="K88" s="95">
        <f>I88/'סכום נכסי הקרן'!$C$42</f>
        <v>-2.6364687681351612E-7</v>
      </c>
    </row>
    <row r="89" spans="2:11">
      <c r="B89" s="87" t="s">
        <v>2202</v>
      </c>
      <c r="C89" s="84" t="s">
        <v>2203</v>
      </c>
      <c r="D89" s="97" t="s">
        <v>1829</v>
      </c>
      <c r="E89" s="97" t="s">
        <v>169</v>
      </c>
      <c r="F89" s="107">
        <v>43815</v>
      </c>
      <c r="G89" s="94">
        <v>452371.05</v>
      </c>
      <c r="H89" s="96">
        <v>-0.70099999999999996</v>
      </c>
      <c r="I89" s="94">
        <v>-3.1710100000000003</v>
      </c>
      <c r="J89" s="95">
        <f t="shared" si="1"/>
        <v>-3.5748900102173112E-3</v>
      </c>
      <c r="K89" s="95">
        <f>I89/'סכום נכסי הקרן'!$C$42</f>
        <v>-3.3366334723995364E-6</v>
      </c>
    </row>
    <row r="90" spans="2:11">
      <c r="B90" s="87" t="s">
        <v>2204</v>
      </c>
      <c r="C90" s="84" t="s">
        <v>2205</v>
      </c>
      <c r="D90" s="97" t="s">
        <v>1829</v>
      </c>
      <c r="E90" s="97" t="s">
        <v>169</v>
      </c>
      <c r="F90" s="107">
        <v>43829</v>
      </c>
      <c r="G90" s="94">
        <v>137096.06</v>
      </c>
      <c r="H90" s="96">
        <v>-0.26140000000000002</v>
      </c>
      <c r="I90" s="94">
        <v>-0.35841000000000001</v>
      </c>
      <c r="J90" s="95">
        <f t="shared" si="1"/>
        <v>-4.0405937810413287E-4</v>
      </c>
      <c r="K90" s="95">
        <f>I90/'סכום נכסי הקרן'!$C$42</f>
        <v>-3.7712993741511939E-7</v>
      </c>
    </row>
    <row r="91" spans="2:11">
      <c r="B91" s="87" t="s">
        <v>2206</v>
      </c>
      <c r="C91" s="84" t="s">
        <v>2207</v>
      </c>
      <c r="D91" s="97" t="s">
        <v>1829</v>
      </c>
      <c r="E91" s="97" t="s">
        <v>169</v>
      </c>
      <c r="F91" s="107">
        <v>43663</v>
      </c>
      <c r="G91" s="94">
        <v>2374334.21</v>
      </c>
      <c r="H91" s="96">
        <v>1.4263999999999999</v>
      </c>
      <c r="I91" s="94">
        <v>33.867830000000005</v>
      </c>
      <c r="J91" s="95">
        <f t="shared" si="1"/>
        <v>3.8181452324255731E-2</v>
      </c>
      <c r="K91" s="95">
        <f>I91/'סכום נכסי הקרן'!$C$42</f>
        <v>3.5636764064300391E-5</v>
      </c>
    </row>
    <row r="92" spans="2:11">
      <c r="B92" s="87" t="s">
        <v>2208</v>
      </c>
      <c r="C92" s="84" t="s">
        <v>2209</v>
      </c>
      <c r="D92" s="97" t="s">
        <v>1829</v>
      </c>
      <c r="E92" s="97" t="s">
        <v>169</v>
      </c>
      <c r="F92" s="107">
        <v>43654</v>
      </c>
      <c r="G92" s="94">
        <v>198182.59</v>
      </c>
      <c r="H92" s="96">
        <v>1.5986</v>
      </c>
      <c r="I92" s="94">
        <v>3.1680799999999998</v>
      </c>
      <c r="J92" s="95">
        <f t="shared" si="1"/>
        <v>3.5715868267742002E-3</v>
      </c>
      <c r="K92" s="95">
        <f>I92/'סכום נכסי הקרן'!$C$42</f>
        <v>3.3335504370025706E-6</v>
      </c>
    </row>
    <row r="93" spans="2:11">
      <c r="B93" s="87" t="s">
        <v>2210</v>
      </c>
      <c r="C93" s="84" t="s">
        <v>2211</v>
      </c>
      <c r="D93" s="97" t="s">
        <v>1829</v>
      </c>
      <c r="E93" s="97" t="s">
        <v>169</v>
      </c>
      <c r="F93" s="107">
        <v>43634</v>
      </c>
      <c r="G93" s="94">
        <v>793300.61</v>
      </c>
      <c r="H93" s="96">
        <v>1.6572</v>
      </c>
      <c r="I93" s="94">
        <v>13.14644</v>
      </c>
      <c r="J93" s="95">
        <f t="shared" si="1"/>
        <v>1.4820854247044716E-2</v>
      </c>
      <c r="K93" s="95">
        <f>I93/'סכום נכסי הקרן'!$C$42</f>
        <v>1.3833085277842755E-5</v>
      </c>
    </row>
    <row r="94" spans="2:11">
      <c r="B94" s="87" t="s">
        <v>2212</v>
      </c>
      <c r="C94" s="84" t="s">
        <v>2213</v>
      </c>
      <c r="D94" s="97" t="s">
        <v>1829</v>
      </c>
      <c r="E94" s="97" t="s">
        <v>169</v>
      </c>
      <c r="F94" s="107">
        <v>43636</v>
      </c>
      <c r="G94" s="94">
        <v>2692838.96</v>
      </c>
      <c r="H94" s="96">
        <v>2.0234999999999999</v>
      </c>
      <c r="I94" s="94">
        <v>54.488779999999998</v>
      </c>
      <c r="J94" s="95">
        <f t="shared" si="1"/>
        <v>6.142881772398346E-2</v>
      </c>
      <c r="K94" s="95">
        <f>I94/'סכום נכסי הקרן'!$C$42</f>
        <v>5.7334756818242255E-5</v>
      </c>
    </row>
    <row r="95" spans="2:11">
      <c r="B95" s="87" t="s">
        <v>2214</v>
      </c>
      <c r="C95" s="84" t="s">
        <v>2215</v>
      </c>
      <c r="D95" s="97" t="s">
        <v>1829</v>
      </c>
      <c r="E95" s="97" t="s">
        <v>169</v>
      </c>
      <c r="F95" s="107">
        <v>43627</v>
      </c>
      <c r="G95" s="94">
        <v>1700254.75</v>
      </c>
      <c r="H95" s="96">
        <v>2.4586000000000001</v>
      </c>
      <c r="I95" s="94">
        <v>41.801900000000003</v>
      </c>
      <c r="J95" s="95">
        <f t="shared" si="1"/>
        <v>4.7126055962643763E-2</v>
      </c>
      <c r="K95" s="95">
        <f>I95/'סכום נכסי הקרן'!$C$42</f>
        <v>4.3985234593993137E-5</v>
      </c>
    </row>
    <row r="96" spans="2:11">
      <c r="B96" s="87" t="s">
        <v>2216</v>
      </c>
      <c r="C96" s="84" t="s">
        <v>2217</v>
      </c>
      <c r="D96" s="97" t="s">
        <v>1829</v>
      </c>
      <c r="E96" s="97" t="s">
        <v>169</v>
      </c>
      <c r="F96" s="107">
        <v>43628</v>
      </c>
      <c r="G96" s="94">
        <v>517390.85</v>
      </c>
      <c r="H96" s="96">
        <v>2.3917000000000002</v>
      </c>
      <c r="I96" s="94">
        <v>12.374360000000001</v>
      </c>
      <c r="J96" s="95">
        <f t="shared" si="1"/>
        <v>1.395043722562612E-2</v>
      </c>
      <c r="K96" s="95">
        <f>I96/'סכום נכסי הקרן'!$C$42</f>
        <v>1.3020679144979651E-5</v>
      </c>
    </row>
    <row r="97" spans="2:11">
      <c r="B97" s="87" t="s">
        <v>2218</v>
      </c>
      <c r="C97" s="84" t="s">
        <v>2219</v>
      </c>
      <c r="D97" s="97" t="s">
        <v>1829</v>
      </c>
      <c r="E97" s="97" t="s">
        <v>169</v>
      </c>
      <c r="F97" s="107">
        <v>43649</v>
      </c>
      <c r="G97" s="94">
        <v>59750.78</v>
      </c>
      <c r="H97" s="96">
        <v>2.0699999999999998</v>
      </c>
      <c r="I97" s="94">
        <v>1.2368299999999999</v>
      </c>
      <c r="J97" s="95">
        <f t="shared" si="1"/>
        <v>1.3943605385467331E-3</v>
      </c>
      <c r="K97" s="95">
        <f>I97/'סכום נכסי הקרן'!$C$42</f>
        <v>1.3014302628083536E-6</v>
      </c>
    </row>
    <row r="98" spans="2:11">
      <c r="B98" s="87" t="s">
        <v>2220</v>
      </c>
      <c r="C98" s="84" t="s">
        <v>2221</v>
      </c>
      <c r="D98" s="97" t="s">
        <v>1829</v>
      </c>
      <c r="E98" s="97" t="s">
        <v>169</v>
      </c>
      <c r="F98" s="107">
        <v>43647</v>
      </c>
      <c r="G98" s="94">
        <v>520940.16</v>
      </c>
      <c r="H98" s="96">
        <v>2.6619999999999999</v>
      </c>
      <c r="I98" s="94">
        <v>13.8672</v>
      </c>
      <c r="J98" s="95">
        <f t="shared" si="1"/>
        <v>1.5633414826722557E-2</v>
      </c>
      <c r="K98" s="95">
        <f>I98/'סכום נכסי הקרן'!$C$42</f>
        <v>1.4591490940885978E-5</v>
      </c>
    </row>
    <row r="99" spans="2:11">
      <c r="B99" s="87" t="s">
        <v>2222</v>
      </c>
      <c r="C99" s="84" t="s">
        <v>2223</v>
      </c>
      <c r="D99" s="97" t="s">
        <v>1829</v>
      </c>
      <c r="E99" s="97" t="s">
        <v>169</v>
      </c>
      <c r="F99" s="107">
        <v>43643</v>
      </c>
      <c r="G99" s="94">
        <v>60279.03</v>
      </c>
      <c r="H99" s="96">
        <v>2.9356</v>
      </c>
      <c r="I99" s="94">
        <v>1.76956</v>
      </c>
      <c r="J99" s="95">
        <f t="shared" si="1"/>
        <v>1.9949424210204776E-3</v>
      </c>
      <c r="K99" s="95">
        <f>I99/'סכום נכסי הקרן'!$C$42</f>
        <v>1.8619850228852394E-6</v>
      </c>
    </row>
    <row r="100" spans="2:11">
      <c r="B100" s="87" t="s">
        <v>2224</v>
      </c>
      <c r="C100" s="84" t="s">
        <v>2225</v>
      </c>
      <c r="D100" s="97" t="s">
        <v>1829</v>
      </c>
      <c r="E100" s="97" t="s">
        <v>169</v>
      </c>
      <c r="F100" s="107">
        <v>43641</v>
      </c>
      <c r="G100" s="94">
        <v>740160.46</v>
      </c>
      <c r="H100" s="96">
        <v>3.0316999999999998</v>
      </c>
      <c r="I100" s="94">
        <v>22.439599999999999</v>
      </c>
      <c r="J100" s="95">
        <f t="shared" si="1"/>
        <v>2.5297650235499843E-2</v>
      </c>
      <c r="K100" s="95">
        <f>I100/'סכום נכסי הקרן'!$C$42</f>
        <v>2.3611631772607663E-5</v>
      </c>
    </row>
    <row r="101" spans="2:11">
      <c r="B101" s="87" t="s">
        <v>2226</v>
      </c>
      <c r="C101" s="84" t="s">
        <v>2227</v>
      </c>
      <c r="D101" s="97" t="s">
        <v>1829</v>
      </c>
      <c r="E101" s="97" t="s">
        <v>170</v>
      </c>
      <c r="F101" s="107">
        <v>43741</v>
      </c>
      <c r="G101" s="94">
        <v>598921.34</v>
      </c>
      <c r="H101" s="96">
        <v>-6.9724000000000004</v>
      </c>
      <c r="I101" s="94">
        <v>-41.75891</v>
      </c>
      <c r="J101" s="95">
        <f t="shared" si="1"/>
        <v>-4.7077590482705434E-2</v>
      </c>
      <c r="K101" s="95">
        <f>I101/'סכום נכסי הקרן'!$C$42</f>
        <v>-4.3939999204329128E-5</v>
      </c>
    </row>
    <row r="102" spans="2:11">
      <c r="B102" s="87" t="s">
        <v>2228</v>
      </c>
      <c r="C102" s="84" t="s">
        <v>2229</v>
      </c>
      <c r="D102" s="97" t="s">
        <v>1829</v>
      </c>
      <c r="E102" s="97" t="s">
        <v>170</v>
      </c>
      <c r="F102" s="107">
        <v>43663</v>
      </c>
      <c r="G102" s="94">
        <v>47654.96</v>
      </c>
      <c r="H102" s="96">
        <v>-5.4291</v>
      </c>
      <c r="I102" s="94">
        <v>-2.58724</v>
      </c>
      <c r="J102" s="95">
        <f t="shared" si="1"/>
        <v>-2.9167673485844051E-3</v>
      </c>
      <c r="K102" s="95">
        <f>I102/'סכום נכסי הקרן'!$C$42</f>
        <v>-2.7223728670458231E-6</v>
      </c>
    </row>
    <row r="103" spans="2:11">
      <c r="B103" s="87" t="s">
        <v>2230</v>
      </c>
      <c r="C103" s="84" t="s">
        <v>2231</v>
      </c>
      <c r="D103" s="97" t="s">
        <v>1829</v>
      </c>
      <c r="E103" s="97" t="s">
        <v>170</v>
      </c>
      <c r="F103" s="107">
        <v>43671</v>
      </c>
      <c r="G103" s="94">
        <v>435863.81</v>
      </c>
      <c r="H103" s="96">
        <v>-4.7931999999999997</v>
      </c>
      <c r="I103" s="94">
        <v>-20.891770000000001</v>
      </c>
      <c r="J103" s="95">
        <f t="shared" ref="J103:J109" si="2">I103/$I$11</f>
        <v>-2.3552678758111047E-2</v>
      </c>
      <c r="K103" s="95">
        <f>I103/'סכום נכסי הקרן'!$C$42</f>
        <v>-2.1982957820906418E-5</v>
      </c>
    </row>
    <row r="104" spans="2:11">
      <c r="B104" s="87" t="s">
        <v>2232</v>
      </c>
      <c r="C104" s="84" t="s">
        <v>2233</v>
      </c>
      <c r="D104" s="97" t="s">
        <v>1829</v>
      </c>
      <c r="E104" s="97" t="s">
        <v>170</v>
      </c>
      <c r="F104" s="107">
        <v>43643</v>
      </c>
      <c r="G104" s="94">
        <v>3134163.35</v>
      </c>
      <c r="H104" s="96">
        <v>-3.0396000000000001</v>
      </c>
      <c r="I104" s="94">
        <v>-95.265050000000002</v>
      </c>
      <c r="J104" s="95">
        <f t="shared" si="2"/>
        <v>-0.10739861292391151</v>
      </c>
      <c r="K104" s="95">
        <f>I104/'סכום נכסי הקרן'!$C$42</f>
        <v>-1.0024079223333116E-4</v>
      </c>
    </row>
    <row r="105" spans="2:11">
      <c r="B105" s="87" t="s">
        <v>2234</v>
      </c>
      <c r="C105" s="84" t="s">
        <v>2235</v>
      </c>
      <c r="D105" s="97" t="s">
        <v>1829</v>
      </c>
      <c r="E105" s="97" t="s">
        <v>170</v>
      </c>
      <c r="F105" s="107">
        <v>43766</v>
      </c>
      <c r="G105" s="94">
        <v>335067.84000000003</v>
      </c>
      <c r="H105" s="96">
        <v>-2.4005999999999998</v>
      </c>
      <c r="I105" s="94">
        <v>-8.0434900000000003</v>
      </c>
      <c r="J105" s="95">
        <f t="shared" si="2"/>
        <v>-9.0679600658095799E-3</v>
      </c>
      <c r="K105" s="95">
        <f>I105/'סכום נכסי הקרן'!$C$42</f>
        <v>-8.4636055921964749E-6</v>
      </c>
    </row>
    <row r="106" spans="2:11">
      <c r="B106" s="87" t="s">
        <v>2236</v>
      </c>
      <c r="C106" s="84" t="s">
        <v>2237</v>
      </c>
      <c r="D106" s="97" t="s">
        <v>1829</v>
      </c>
      <c r="E106" s="97" t="s">
        <v>170</v>
      </c>
      <c r="F106" s="107">
        <v>43761</v>
      </c>
      <c r="G106" s="94">
        <v>738899.88</v>
      </c>
      <c r="H106" s="96">
        <v>-2.2235</v>
      </c>
      <c r="I106" s="94">
        <v>-16.429220000000001</v>
      </c>
      <c r="J106" s="95">
        <f t="shared" si="2"/>
        <v>-1.852174999563623E-2</v>
      </c>
      <c r="K106" s="95">
        <f>I106/'סכום נכסי הקרן'!$C$42</f>
        <v>-1.728732655444666E-5</v>
      </c>
    </row>
    <row r="107" spans="2:11">
      <c r="B107" s="87" t="s">
        <v>2238</v>
      </c>
      <c r="C107" s="84" t="s">
        <v>2239</v>
      </c>
      <c r="D107" s="97" t="s">
        <v>1829</v>
      </c>
      <c r="E107" s="97" t="s">
        <v>170</v>
      </c>
      <c r="F107" s="107">
        <v>43788</v>
      </c>
      <c r="G107" s="94">
        <v>273828.90000000002</v>
      </c>
      <c r="H107" s="96">
        <v>-1.9613</v>
      </c>
      <c r="I107" s="94">
        <v>-5.3705400000000001</v>
      </c>
      <c r="J107" s="95">
        <f t="shared" si="2"/>
        <v>-6.0545661462664815E-3</v>
      </c>
      <c r="K107" s="95">
        <f>I107/'סכום נכסי הקרן'!$C$42</f>
        <v>-5.6510460480605874E-6</v>
      </c>
    </row>
    <row r="108" spans="2:11">
      <c r="B108" s="87" t="s">
        <v>2240</v>
      </c>
      <c r="C108" s="84" t="s">
        <v>2241</v>
      </c>
      <c r="D108" s="97" t="s">
        <v>1829</v>
      </c>
      <c r="E108" s="97" t="s">
        <v>167</v>
      </c>
      <c r="F108" s="107">
        <v>43633</v>
      </c>
      <c r="G108" s="94">
        <v>624393.17000000004</v>
      </c>
      <c r="H108" s="96">
        <v>1.3481000000000001</v>
      </c>
      <c r="I108" s="94">
        <v>8.417209999999999</v>
      </c>
      <c r="J108" s="95">
        <f t="shared" si="2"/>
        <v>9.4892794229287335E-3</v>
      </c>
      <c r="K108" s="95">
        <f>I108/'סכום נכסי הקרן'!$C$42</f>
        <v>8.8568451787336193E-6</v>
      </c>
    </row>
    <row r="109" spans="2:11">
      <c r="B109" s="87" t="s">
        <v>2242</v>
      </c>
      <c r="C109" s="84" t="s">
        <v>2243</v>
      </c>
      <c r="D109" s="97" t="s">
        <v>1829</v>
      </c>
      <c r="E109" s="97" t="s">
        <v>167</v>
      </c>
      <c r="F109" s="107">
        <v>43773</v>
      </c>
      <c r="G109" s="94">
        <v>655128.31000000006</v>
      </c>
      <c r="H109" s="96">
        <v>0.59589999999999999</v>
      </c>
      <c r="I109" s="94">
        <v>3.9040900000000001</v>
      </c>
      <c r="J109" s="95">
        <f t="shared" si="2"/>
        <v>4.4013397434852939E-3</v>
      </c>
      <c r="K109" s="95">
        <f>I109/'סכום נכסי הקרן'!$C$42</f>
        <v>4.108002615337165E-6</v>
      </c>
    </row>
    <row r="110" spans="2:11">
      <c r="B110" s="83"/>
      <c r="C110" s="84"/>
      <c r="D110" s="84"/>
      <c r="E110" s="84"/>
      <c r="F110" s="84"/>
      <c r="G110" s="94"/>
      <c r="H110" s="96"/>
      <c r="I110" s="84"/>
      <c r="J110" s="95"/>
      <c r="K110" s="84"/>
    </row>
    <row r="111" spans="2:11">
      <c r="B111" s="102" t="s">
        <v>232</v>
      </c>
      <c r="C111" s="82"/>
      <c r="D111" s="82"/>
      <c r="E111" s="82"/>
      <c r="F111" s="82"/>
      <c r="G111" s="91"/>
      <c r="H111" s="93"/>
      <c r="I111" s="91">
        <v>11.859565324</v>
      </c>
      <c r="J111" s="92">
        <f t="shared" ref="J111:J113" si="3">I111/$I$11</f>
        <v>1.3370075024136544E-2</v>
      </c>
      <c r="K111" s="92">
        <f>I111/'סכום נכסי הקרן'!$C$42</f>
        <v>1.2478996480038616E-5</v>
      </c>
    </row>
    <row r="112" spans="2:11">
      <c r="B112" s="87" t="s">
        <v>2244</v>
      </c>
      <c r="C112" s="84" t="s">
        <v>2245</v>
      </c>
      <c r="D112" s="97" t="s">
        <v>1829</v>
      </c>
      <c r="E112" s="97" t="s">
        <v>168</v>
      </c>
      <c r="F112" s="107">
        <v>43614</v>
      </c>
      <c r="G112" s="94">
        <v>5772.9840000000004</v>
      </c>
      <c r="H112" s="96">
        <v>0.25469999999999998</v>
      </c>
      <c r="I112" s="94">
        <v>1.4701539E-2</v>
      </c>
      <c r="J112" s="95">
        <f t="shared" si="3"/>
        <v>1.657402055052497E-5</v>
      </c>
      <c r="K112" s="95">
        <f>I112/'סכום נכסי הקרן'!$C$42</f>
        <v>1.5469407893127804E-8</v>
      </c>
    </row>
    <row r="113" spans="2:11">
      <c r="B113" s="87" t="s">
        <v>2244</v>
      </c>
      <c r="C113" s="84" t="s">
        <v>2246</v>
      </c>
      <c r="D113" s="97" t="s">
        <v>1829</v>
      </c>
      <c r="E113" s="97" t="s">
        <v>168</v>
      </c>
      <c r="F113" s="107">
        <v>43626</v>
      </c>
      <c r="G113" s="94">
        <v>1154596.8</v>
      </c>
      <c r="H113" s="96">
        <v>1.0259</v>
      </c>
      <c r="I113" s="94">
        <v>11.844863784999999</v>
      </c>
      <c r="J113" s="95">
        <f t="shared" si="3"/>
        <v>1.3353501003586019E-2</v>
      </c>
      <c r="K113" s="95">
        <f>I113/'סכום נכסי הקרן'!$C$42</f>
        <v>1.2463527072145487E-5</v>
      </c>
    </row>
    <row r="114" spans="2:11">
      <c r="C114" s="1"/>
      <c r="D114" s="1"/>
    </row>
    <row r="115" spans="2:11">
      <c r="C115" s="1"/>
      <c r="D115" s="1"/>
    </row>
    <row r="116" spans="2:11">
      <c r="C116" s="1"/>
      <c r="D116" s="1"/>
    </row>
    <row r="117" spans="2:11">
      <c r="B117" s="99" t="s">
        <v>259</v>
      </c>
      <c r="C117" s="1"/>
      <c r="D117" s="1"/>
    </row>
    <row r="118" spans="2:11">
      <c r="B118" s="99" t="s">
        <v>116</v>
      </c>
      <c r="C118" s="1"/>
      <c r="D118" s="1"/>
    </row>
    <row r="119" spans="2:11">
      <c r="B119" s="99" t="s">
        <v>241</v>
      </c>
      <c r="C119" s="1"/>
      <c r="D119" s="1"/>
    </row>
    <row r="120" spans="2:11">
      <c r="B120" s="99" t="s">
        <v>249</v>
      </c>
      <c r="C120" s="1"/>
      <c r="D120" s="1"/>
    </row>
    <row r="121" spans="2:11">
      <c r="C121" s="1"/>
      <c r="D121" s="1"/>
    </row>
    <row r="122" spans="2:11">
      <c r="C122" s="1"/>
      <c r="D122" s="1"/>
    </row>
    <row r="123" spans="2:11">
      <c r="C123" s="1"/>
      <c r="D123" s="1"/>
    </row>
    <row r="124" spans="2:11">
      <c r="C124" s="1"/>
      <c r="D124" s="1"/>
    </row>
    <row r="125" spans="2:11">
      <c r="C125" s="1"/>
      <c r="D125" s="1"/>
    </row>
    <row r="126" spans="2:11">
      <c r="C126" s="1"/>
      <c r="D126" s="1"/>
    </row>
    <row r="127" spans="2:11">
      <c r="C127" s="1"/>
      <c r="D127" s="1"/>
    </row>
    <row r="128" spans="2:11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4:XFD1048576 AH41:XFD43 D41:AF43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183</v>
      </c>
      <c r="C1" s="78" t="s" vm="1">
        <v>267</v>
      </c>
    </row>
    <row r="2" spans="2:78">
      <c r="B2" s="57" t="s">
        <v>182</v>
      </c>
      <c r="C2" s="78" t="s">
        <v>268</v>
      </c>
    </row>
    <row r="3" spans="2:78">
      <c r="B3" s="57" t="s">
        <v>184</v>
      </c>
      <c r="C3" s="78" t="s">
        <v>269</v>
      </c>
    </row>
    <row r="4" spans="2:78">
      <c r="B4" s="57" t="s">
        <v>185</v>
      </c>
      <c r="C4" s="78">
        <v>8803</v>
      </c>
    </row>
    <row r="6" spans="2:78" ht="26.25" customHeight="1">
      <c r="B6" s="153" t="s">
        <v>214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78" ht="26.25" customHeight="1">
      <c r="B7" s="153" t="s">
        <v>104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</row>
    <row r="8" spans="2:78" s="3" customFormat="1" ht="47.25">
      <c r="B8" s="23" t="s">
        <v>120</v>
      </c>
      <c r="C8" s="31" t="s">
        <v>47</v>
      </c>
      <c r="D8" s="31" t="s">
        <v>53</v>
      </c>
      <c r="E8" s="31" t="s">
        <v>15</v>
      </c>
      <c r="F8" s="31" t="s">
        <v>69</v>
      </c>
      <c r="G8" s="31" t="s">
        <v>106</v>
      </c>
      <c r="H8" s="31" t="s">
        <v>18</v>
      </c>
      <c r="I8" s="31" t="s">
        <v>105</v>
      </c>
      <c r="J8" s="31" t="s">
        <v>17</v>
      </c>
      <c r="K8" s="31" t="s">
        <v>19</v>
      </c>
      <c r="L8" s="31" t="s">
        <v>243</v>
      </c>
      <c r="M8" s="31" t="s">
        <v>242</v>
      </c>
      <c r="N8" s="31" t="s">
        <v>114</v>
      </c>
      <c r="O8" s="31" t="s">
        <v>62</v>
      </c>
      <c r="P8" s="31" t="s">
        <v>186</v>
      </c>
      <c r="Q8" s="32" t="s">
        <v>188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250</v>
      </c>
      <c r="M9" s="17"/>
      <c r="N9" s="17" t="s">
        <v>246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117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259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116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241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249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55"/>
  <sheetViews>
    <sheetView rightToLeft="1" topLeftCell="A103" zoomScale="90" zoomScaleNormal="90" workbookViewId="0">
      <selection activeCell="C25" sqref="C25"/>
    </sheetView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58.140625" style="2" bestFit="1" customWidth="1"/>
    <col min="4" max="4" width="10.140625" style="2" bestFit="1" customWidth="1"/>
    <col min="5" max="5" width="11.28515625" style="2" bestFit="1" customWidth="1"/>
    <col min="6" max="6" width="5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.28515625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183</v>
      </c>
      <c r="C1" s="78" t="s" vm="1">
        <v>267</v>
      </c>
    </row>
    <row r="2" spans="2:61">
      <c r="B2" s="57" t="s">
        <v>182</v>
      </c>
      <c r="C2" s="78" t="s">
        <v>268</v>
      </c>
    </row>
    <row r="3" spans="2:61">
      <c r="B3" s="57" t="s">
        <v>184</v>
      </c>
      <c r="C3" s="78" t="s">
        <v>269</v>
      </c>
    </row>
    <row r="4" spans="2:61">
      <c r="B4" s="57" t="s">
        <v>185</v>
      </c>
      <c r="C4" s="78">
        <v>8803</v>
      </c>
    </row>
    <row r="6" spans="2:61" ht="26.25" customHeight="1">
      <c r="B6" s="153" t="s">
        <v>215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61" s="3" customFormat="1" ht="63">
      <c r="B7" s="23" t="s">
        <v>120</v>
      </c>
      <c r="C7" s="31" t="s">
        <v>227</v>
      </c>
      <c r="D7" s="31" t="s">
        <v>47</v>
      </c>
      <c r="E7" s="31" t="s">
        <v>121</v>
      </c>
      <c r="F7" s="31" t="s">
        <v>15</v>
      </c>
      <c r="G7" s="31" t="s">
        <v>106</v>
      </c>
      <c r="H7" s="31" t="s">
        <v>69</v>
      </c>
      <c r="I7" s="31" t="s">
        <v>18</v>
      </c>
      <c r="J7" s="31" t="s">
        <v>105</v>
      </c>
      <c r="K7" s="14" t="s">
        <v>37</v>
      </c>
      <c r="L7" s="71" t="s">
        <v>19</v>
      </c>
      <c r="M7" s="31" t="s">
        <v>243</v>
      </c>
      <c r="N7" s="31" t="s">
        <v>242</v>
      </c>
      <c r="O7" s="31" t="s">
        <v>114</v>
      </c>
      <c r="P7" s="31" t="s">
        <v>186</v>
      </c>
      <c r="Q7" s="32" t="s">
        <v>188</v>
      </c>
      <c r="R7" s="1"/>
      <c r="S7" s="1"/>
      <c r="T7" s="1"/>
      <c r="U7" s="1"/>
      <c r="V7" s="1"/>
      <c r="W7" s="1"/>
      <c r="BH7" s="3" t="s">
        <v>166</v>
      </c>
      <c r="BI7" s="3" t="s">
        <v>168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250</v>
      </c>
      <c r="N8" s="17"/>
      <c r="O8" s="17" t="s">
        <v>246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164</v>
      </c>
      <c r="BI8" s="3" t="s">
        <v>167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117</v>
      </c>
      <c r="R9" s="1"/>
      <c r="S9" s="1"/>
      <c r="T9" s="1"/>
      <c r="U9" s="1"/>
      <c r="V9" s="1"/>
      <c r="W9" s="1"/>
      <c r="BH9" s="4" t="s">
        <v>165</v>
      </c>
      <c r="BI9" s="4" t="s">
        <v>169</v>
      </c>
    </row>
    <row r="10" spans="2:61" s="4" customFormat="1" ht="18" customHeight="1">
      <c r="B10" s="79" t="s">
        <v>42</v>
      </c>
      <c r="C10" s="80"/>
      <c r="D10" s="80"/>
      <c r="E10" s="80"/>
      <c r="F10" s="80"/>
      <c r="G10" s="80"/>
      <c r="H10" s="80"/>
      <c r="I10" s="88">
        <v>5.6402364964883711</v>
      </c>
      <c r="J10" s="80"/>
      <c r="K10" s="80"/>
      <c r="L10" s="103">
        <v>2.8034512835242914E-2</v>
      </c>
      <c r="M10" s="88"/>
      <c r="N10" s="90"/>
      <c r="O10" s="88">
        <f>O11+O111</f>
        <v>27352.144399999997</v>
      </c>
      <c r="P10" s="89">
        <f>O10/$O$10</f>
        <v>1</v>
      </c>
      <c r="Q10" s="89">
        <f>O10/'סכום נכסי הקרן'!$C$42</f>
        <v>2.8780760876485886E-2</v>
      </c>
      <c r="R10" s="1"/>
      <c r="S10" s="1"/>
      <c r="T10" s="1"/>
      <c r="U10" s="1"/>
      <c r="V10" s="1"/>
      <c r="W10" s="1"/>
      <c r="BH10" s="1" t="s">
        <v>30</v>
      </c>
      <c r="BI10" s="4" t="s">
        <v>170</v>
      </c>
    </row>
    <row r="11" spans="2:61" ht="21.75" customHeight="1">
      <c r="B11" s="81" t="s">
        <v>40</v>
      </c>
      <c r="C11" s="82"/>
      <c r="D11" s="82"/>
      <c r="E11" s="82"/>
      <c r="F11" s="82"/>
      <c r="G11" s="82"/>
      <c r="H11" s="82"/>
      <c r="I11" s="91">
        <v>6.1461091195273996</v>
      </c>
      <c r="J11" s="82"/>
      <c r="K11" s="82"/>
      <c r="L11" s="104">
        <v>2.2613097387774041E-2</v>
      </c>
      <c r="M11" s="91"/>
      <c r="N11" s="93"/>
      <c r="O11" s="91">
        <f>O12+O29</f>
        <v>17677.977589999999</v>
      </c>
      <c r="P11" s="92">
        <f t="shared" ref="P11:P27" si="0">O11/$O$10</f>
        <v>0.64631048050477535</v>
      </c>
      <c r="Q11" s="92">
        <f>O11/'סכום נכסי הקרן'!$C$42</f>
        <v>1.8601307391374632E-2</v>
      </c>
      <c r="BI11" s="1" t="s">
        <v>176</v>
      </c>
    </row>
    <row r="12" spans="2:61">
      <c r="B12" s="102" t="s">
        <v>38</v>
      </c>
      <c r="C12" s="82"/>
      <c r="D12" s="82"/>
      <c r="E12" s="82"/>
      <c r="F12" s="82"/>
      <c r="G12" s="82"/>
      <c r="H12" s="82"/>
      <c r="I12" s="91">
        <v>7.9866346934684209</v>
      </c>
      <c r="J12" s="82"/>
      <c r="K12" s="82"/>
      <c r="L12" s="104">
        <v>1.7193721723356342E-2</v>
      </c>
      <c r="M12" s="91"/>
      <c r="N12" s="93"/>
      <c r="O12" s="91">
        <f>SUM(O13:O27)</f>
        <v>6186.0600100000001</v>
      </c>
      <c r="P12" s="92">
        <f t="shared" si="0"/>
        <v>0.22616362064833209</v>
      </c>
      <c r="Q12" s="92">
        <f>O12/'סכום נכסי הקרן'!$C$42</f>
        <v>6.5091610848399114E-3</v>
      </c>
      <c r="R12" s="87"/>
      <c r="BI12" s="1" t="s">
        <v>171</v>
      </c>
    </row>
    <row r="13" spans="2:61">
      <c r="B13" s="87" t="s">
        <v>2426</v>
      </c>
      <c r="C13" s="97" t="s">
        <v>2289</v>
      </c>
      <c r="D13" s="84">
        <v>6028</v>
      </c>
      <c r="E13" s="84"/>
      <c r="F13" s="84" t="s">
        <v>936</v>
      </c>
      <c r="G13" s="107">
        <v>43100</v>
      </c>
      <c r="H13" s="84"/>
      <c r="I13" s="94">
        <v>10.08</v>
      </c>
      <c r="J13" s="97" t="s">
        <v>168</v>
      </c>
      <c r="K13" s="98">
        <v>2.3799999999999995E-2</v>
      </c>
      <c r="L13" s="98">
        <v>2.3799999999999995E-2</v>
      </c>
      <c r="M13" s="94">
        <v>227436.84</v>
      </c>
      <c r="N13" s="96">
        <v>102.2</v>
      </c>
      <c r="O13" s="94">
        <v>232.44045</v>
      </c>
      <c r="P13" s="95">
        <f t="shared" si="0"/>
        <v>8.4980704474490864E-3</v>
      </c>
      <c r="Q13" s="95">
        <f>O13/'סכום נכסי הקרן'!$C$42</f>
        <v>2.445809334595636E-4</v>
      </c>
      <c r="R13" s="87"/>
      <c r="BI13" s="1" t="s">
        <v>172</v>
      </c>
    </row>
    <row r="14" spans="2:61">
      <c r="B14" s="87" t="s">
        <v>2426</v>
      </c>
      <c r="C14" s="97" t="s">
        <v>2289</v>
      </c>
      <c r="D14" s="84">
        <v>6869</v>
      </c>
      <c r="E14" s="84"/>
      <c r="F14" s="84" t="s">
        <v>936</v>
      </c>
      <c r="G14" s="107">
        <v>43555</v>
      </c>
      <c r="H14" s="84"/>
      <c r="I14" s="94">
        <v>4.96</v>
      </c>
      <c r="J14" s="97" t="s">
        <v>168</v>
      </c>
      <c r="K14" s="98">
        <v>3.3399999999999999E-2</v>
      </c>
      <c r="L14" s="98">
        <v>3.3399999999999999E-2</v>
      </c>
      <c r="M14" s="94">
        <v>92867.86</v>
      </c>
      <c r="N14" s="96">
        <v>112.15</v>
      </c>
      <c r="O14" s="94">
        <v>104.15130000000001</v>
      </c>
      <c r="P14" s="95">
        <f t="shared" si="0"/>
        <v>3.807792854442521E-3</v>
      </c>
      <c r="Q14" s="95">
        <f>O14/'סכום נכסי הקרן'!$C$42</f>
        <v>1.0959117561090183E-4</v>
      </c>
      <c r="R14" s="87"/>
      <c r="BI14" s="1" t="s">
        <v>173</v>
      </c>
    </row>
    <row r="15" spans="2:61">
      <c r="B15" s="87" t="s">
        <v>2426</v>
      </c>
      <c r="C15" s="97" t="s">
        <v>2289</v>
      </c>
      <c r="D15" s="84">
        <v>6870</v>
      </c>
      <c r="E15" s="84"/>
      <c r="F15" s="84" t="s">
        <v>936</v>
      </c>
      <c r="G15" s="107">
        <v>43555</v>
      </c>
      <c r="H15" s="84"/>
      <c r="I15" s="94">
        <v>6.86</v>
      </c>
      <c r="J15" s="97" t="s">
        <v>168</v>
      </c>
      <c r="K15" s="98">
        <v>1.4800000000000001E-2</v>
      </c>
      <c r="L15" s="98">
        <v>1.4800000000000001E-2</v>
      </c>
      <c r="M15" s="94">
        <v>881026.87</v>
      </c>
      <c r="N15" s="96">
        <v>101.23</v>
      </c>
      <c r="O15" s="94">
        <f>891.8635-0.0032</f>
        <v>891.86030000000005</v>
      </c>
      <c r="P15" s="95">
        <f t="shared" si="0"/>
        <v>3.2606595188931518E-2</v>
      </c>
      <c r="Q15" s="95">
        <f>O15/'סכום נכסי הקרן'!$C$42</f>
        <v>9.3844261912901319E-4</v>
      </c>
      <c r="R15" s="87"/>
      <c r="BI15" s="1" t="s">
        <v>175</v>
      </c>
    </row>
    <row r="16" spans="2:61">
      <c r="B16" s="87" t="s">
        <v>2426</v>
      </c>
      <c r="C16" s="97" t="s">
        <v>2289</v>
      </c>
      <c r="D16" s="84">
        <v>6868</v>
      </c>
      <c r="E16" s="84"/>
      <c r="F16" s="84" t="s">
        <v>936</v>
      </c>
      <c r="G16" s="107">
        <v>43555</v>
      </c>
      <c r="H16" s="84"/>
      <c r="I16" s="94">
        <v>6.94</v>
      </c>
      <c r="J16" s="97" t="s">
        <v>168</v>
      </c>
      <c r="K16" s="98">
        <v>1.7299999999999999E-2</v>
      </c>
      <c r="L16" s="98">
        <v>1.7299999999999999E-2</v>
      </c>
      <c r="M16" s="94">
        <v>163042.23000000001</v>
      </c>
      <c r="N16" s="96">
        <v>110.11</v>
      </c>
      <c r="O16" s="94">
        <v>179.52578</v>
      </c>
      <c r="P16" s="95">
        <f t="shared" si="0"/>
        <v>6.5634992772266882E-3</v>
      </c>
      <c r="Q16" s="95">
        <f>O16/'סכום נכסי הקרן'!$C$42</f>
        <v>1.8890250321084928E-4</v>
      </c>
      <c r="R16" s="87"/>
      <c r="BI16" s="1" t="s">
        <v>174</v>
      </c>
    </row>
    <row r="17" spans="2:61">
      <c r="B17" s="87" t="s">
        <v>2426</v>
      </c>
      <c r="C17" s="97" t="s">
        <v>2289</v>
      </c>
      <c r="D17" s="84">
        <v>6867</v>
      </c>
      <c r="E17" s="84"/>
      <c r="F17" s="84" t="s">
        <v>936</v>
      </c>
      <c r="G17" s="107">
        <v>43555</v>
      </c>
      <c r="H17" s="84"/>
      <c r="I17" s="94">
        <v>6.91</v>
      </c>
      <c r="J17" s="97" t="s">
        <v>168</v>
      </c>
      <c r="K17" s="98">
        <v>9.1999999999999998E-3</v>
      </c>
      <c r="L17" s="98">
        <v>9.1999999999999998E-3</v>
      </c>
      <c r="M17" s="94">
        <v>406844.72</v>
      </c>
      <c r="N17" s="96">
        <v>107.99</v>
      </c>
      <c r="O17" s="94">
        <v>439.35156000000001</v>
      </c>
      <c r="P17" s="95">
        <f t="shared" si="0"/>
        <v>1.6062782997006992E-2</v>
      </c>
      <c r="Q17" s="95">
        <f>O17/'סכום נכסי הקרן'!$C$42</f>
        <v>4.6229911644774159E-4</v>
      </c>
      <c r="R17" s="87"/>
      <c r="BI17" s="1" t="s">
        <v>177</v>
      </c>
    </row>
    <row r="18" spans="2:61">
      <c r="B18" s="87" t="s">
        <v>2426</v>
      </c>
      <c r="C18" s="97" t="s">
        <v>2289</v>
      </c>
      <c r="D18" s="84">
        <v>6866</v>
      </c>
      <c r="E18" s="84"/>
      <c r="F18" s="84" t="s">
        <v>936</v>
      </c>
      <c r="G18" s="107">
        <v>43555</v>
      </c>
      <c r="H18" s="84"/>
      <c r="I18" s="94">
        <v>7.5000000000000009</v>
      </c>
      <c r="J18" s="97" t="s">
        <v>168</v>
      </c>
      <c r="K18" s="98">
        <v>3.6000000000000003E-3</v>
      </c>
      <c r="L18" s="98">
        <v>3.6000000000000003E-3</v>
      </c>
      <c r="M18" s="94">
        <v>566561.68999999994</v>
      </c>
      <c r="N18" s="96">
        <v>106.96</v>
      </c>
      <c r="O18" s="94">
        <f>605.99432-0.00309</f>
        <v>605.99122999999997</v>
      </c>
      <c r="P18" s="95">
        <f t="shared" si="0"/>
        <v>2.2155163454021545E-2</v>
      </c>
      <c r="Q18" s="95">
        <f>O18/'סכום נכסי הקרן'!$C$42</f>
        <v>6.3764246154965321E-4</v>
      </c>
      <c r="BI18" s="1" t="s">
        <v>178</v>
      </c>
    </row>
    <row r="19" spans="2:61">
      <c r="B19" s="87" t="s">
        <v>2426</v>
      </c>
      <c r="C19" s="97" t="s">
        <v>2289</v>
      </c>
      <c r="D19" s="84">
        <v>6865</v>
      </c>
      <c r="E19" s="84"/>
      <c r="F19" s="84" t="s">
        <v>936</v>
      </c>
      <c r="G19" s="107">
        <v>43555</v>
      </c>
      <c r="H19" s="84"/>
      <c r="I19" s="94">
        <v>4.99</v>
      </c>
      <c r="J19" s="97" t="s">
        <v>168</v>
      </c>
      <c r="K19" s="98">
        <v>1.6899999999999998E-2</v>
      </c>
      <c r="L19" s="98">
        <v>1.6899999999999998E-2</v>
      </c>
      <c r="M19" s="94">
        <v>399052.52</v>
      </c>
      <c r="N19" s="96">
        <v>116.95</v>
      </c>
      <c r="O19" s="94">
        <f>466.69197-0.00596</f>
        <v>466.68601000000001</v>
      </c>
      <c r="P19" s="95">
        <f t="shared" si="0"/>
        <v>1.7062136086119815E-2</v>
      </c>
      <c r="Q19" s="95">
        <f>O19/'סכום נכסי הקרן'!$C$42</f>
        <v>4.9106125873667531E-4</v>
      </c>
      <c r="S19" s="94"/>
      <c r="BI19" s="1" t="s">
        <v>179</v>
      </c>
    </row>
    <row r="20" spans="2:61">
      <c r="B20" s="87" t="s">
        <v>2426</v>
      </c>
      <c r="C20" s="97" t="s">
        <v>2289</v>
      </c>
      <c r="D20" s="84">
        <v>5212</v>
      </c>
      <c r="E20" s="84"/>
      <c r="F20" s="84" t="s">
        <v>936</v>
      </c>
      <c r="G20" s="107">
        <v>42643</v>
      </c>
      <c r="H20" s="84"/>
      <c r="I20" s="94">
        <v>8.67</v>
      </c>
      <c r="J20" s="97" t="s">
        <v>168</v>
      </c>
      <c r="K20" s="98">
        <v>1.9500000000000003E-2</v>
      </c>
      <c r="L20" s="98">
        <v>1.9500000000000003E-2</v>
      </c>
      <c r="M20" s="94">
        <v>60102.29</v>
      </c>
      <c r="N20" s="96">
        <v>99.33</v>
      </c>
      <c r="O20" s="94">
        <f>59.6996-0.0123</f>
        <v>59.687299999999993</v>
      </c>
      <c r="P20" s="95">
        <f t="shared" si="0"/>
        <v>2.1821799098135793E-3</v>
      </c>
      <c r="Q20" s="95">
        <f>O20/'סכום נכסי הקרן'!$C$42</f>
        <v>6.2804798173816162E-5</v>
      </c>
      <c r="S20" s="94"/>
      <c r="BI20" s="1" t="s">
        <v>180</v>
      </c>
    </row>
    <row r="21" spans="2:61">
      <c r="B21" s="87" t="s">
        <v>2426</v>
      </c>
      <c r="C21" s="97" t="s">
        <v>2289</v>
      </c>
      <c r="D21" s="84">
        <v>5211</v>
      </c>
      <c r="E21" s="84"/>
      <c r="F21" s="84" t="s">
        <v>936</v>
      </c>
      <c r="G21" s="107">
        <v>42643</v>
      </c>
      <c r="H21" s="84"/>
      <c r="I21" s="94">
        <v>5.7999999999999989</v>
      </c>
      <c r="J21" s="97" t="s">
        <v>168</v>
      </c>
      <c r="K21" s="98">
        <v>2.7399999999999997E-2</v>
      </c>
      <c r="L21" s="98">
        <v>2.7399999999999997E-2</v>
      </c>
      <c r="M21" s="94">
        <v>57085.93</v>
      </c>
      <c r="N21" s="96">
        <v>106.57</v>
      </c>
      <c r="O21" s="94">
        <v>60.836480000000002</v>
      </c>
      <c r="P21" s="95">
        <f t="shared" si="0"/>
        <v>2.2241941659243364E-3</v>
      </c>
      <c r="Q21" s="95">
        <f>O21/'סכום נכסי הקרן'!$C$42</f>
        <v>6.4014000432343303E-5</v>
      </c>
      <c r="S21" s="94"/>
      <c r="BI21" s="1" t="s">
        <v>181</v>
      </c>
    </row>
    <row r="22" spans="2:61">
      <c r="B22" s="87" t="s">
        <v>2426</v>
      </c>
      <c r="C22" s="97" t="s">
        <v>2289</v>
      </c>
      <c r="D22" s="84">
        <v>6027</v>
      </c>
      <c r="E22" s="84"/>
      <c r="F22" s="84" t="s">
        <v>936</v>
      </c>
      <c r="G22" s="107">
        <v>43100</v>
      </c>
      <c r="H22" s="84"/>
      <c r="I22" s="94">
        <v>10.26</v>
      </c>
      <c r="J22" s="97" t="s">
        <v>168</v>
      </c>
      <c r="K22" s="98">
        <v>1.9200000000000002E-2</v>
      </c>
      <c r="L22" s="98">
        <v>1.9200000000000002E-2</v>
      </c>
      <c r="M22" s="94">
        <v>860817.2</v>
      </c>
      <c r="N22" s="96">
        <v>101.09</v>
      </c>
      <c r="O22" s="94">
        <v>870.20011</v>
      </c>
      <c r="P22" s="95">
        <f t="shared" si="0"/>
        <v>3.1814694207303179E-2</v>
      </c>
      <c r="Q22" s="95">
        <f>O22/'סכום נכסי הקרן'!$C$42</f>
        <v>9.1565110633891355E-4</v>
      </c>
      <c r="S22" s="94"/>
      <c r="BI22" s="1" t="s">
        <v>30</v>
      </c>
    </row>
    <row r="23" spans="2:61">
      <c r="B23" s="87" t="s">
        <v>2426</v>
      </c>
      <c r="C23" s="97" t="s">
        <v>2289</v>
      </c>
      <c r="D23" s="84">
        <v>6026</v>
      </c>
      <c r="E23" s="84"/>
      <c r="F23" s="84" t="s">
        <v>936</v>
      </c>
      <c r="G23" s="107">
        <v>43100</v>
      </c>
      <c r="H23" s="84"/>
      <c r="I23" s="94">
        <v>7.7400000000000011</v>
      </c>
      <c r="J23" s="97" t="s">
        <v>168</v>
      </c>
      <c r="K23" s="98">
        <v>2.69E-2</v>
      </c>
      <c r="L23" s="98">
        <v>2.69E-2</v>
      </c>
      <c r="M23" s="94">
        <v>1156061.54</v>
      </c>
      <c r="N23" s="96">
        <v>108.59</v>
      </c>
      <c r="O23" s="94">
        <v>1255.3672300000001</v>
      </c>
      <c r="P23" s="95">
        <f t="shared" si="0"/>
        <v>4.5896482982884519E-2</v>
      </c>
      <c r="Q23" s="95">
        <f>O23/'סכום נכסי הקרן'!$C$42</f>
        <v>1.3209357018021031E-3</v>
      </c>
      <c r="S23" s="94"/>
    </row>
    <row r="24" spans="2:61">
      <c r="B24" s="87" t="s">
        <v>2426</v>
      </c>
      <c r="C24" s="97" t="s">
        <v>2289</v>
      </c>
      <c r="D24" s="84">
        <v>5210</v>
      </c>
      <c r="E24" s="84"/>
      <c r="F24" s="84" t="s">
        <v>936</v>
      </c>
      <c r="G24" s="107">
        <v>42643</v>
      </c>
      <c r="H24" s="84"/>
      <c r="I24" s="94">
        <v>8.93</v>
      </c>
      <c r="J24" s="97" t="s">
        <v>168</v>
      </c>
      <c r="K24" s="98">
        <v>5.4999999999999997E-3</v>
      </c>
      <c r="L24" s="98">
        <v>5.4999999999999997E-3</v>
      </c>
      <c r="M24" s="94">
        <v>43671.67</v>
      </c>
      <c r="N24" s="96">
        <v>108.05</v>
      </c>
      <c r="O24" s="94">
        <f>47.18721-0.0023</f>
        <v>47.184910000000002</v>
      </c>
      <c r="P24" s="95">
        <f t="shared" si="0"/>
        <v>1.7250899713735061E-3</v>
      </c>
      <c r="Q24" s="95">
        <f>O24/'סכום נכסי הקרן'!$C$42</f>
        <v>4.9649401956524765E-5</v>
      </c>
      <c r="S24" s="94"/>
    </row>
    <row r="25" spans="2:61">
      <c r="B25" s="87" t="s">
        <v>2426</v>
      </c>
      <c r="C25" s="97" t="s">
        <v>2289</v>
      </c>
      <c r="D25" s="84">
        <v>6025</v>
      </c>
      <c r="E25" s="84"/>
      <c r="F25" s="84" t="s">
        <v>936</v>
      </c>
      <c r="G25" s="107">
        <v>43100</v>
      </c>
      <c r="H25" s="84"/>
      <c r="I25" s="94">
        <v>10.38</v>
      </c>
      <c r="J25" s="97" t="s">
        <v>168</v>
      </c>
      <c r="K25" s="98">
        <v>1.3399999999999999E-2</v>
      </c>
      <c r="L25" s="98">
        <v>1.3399999999999999E-2</v>
      </c>
      <c r="M25" s="94">
        <v>480435.46</v>
      </c>
      <c r="N25" s="96">
        <v>106.94</v>
      </c>
      <c r="O25" s="94">
        <v>513.77761999999996</v>
      </c>
      <c r="P25" s="95">
        <f t="shared" si="0"/>
        <v>1.8783814990388833E-2</v>
      </c>
      <c r="Q25" s="95">
        <f>O25/'סכום נכסי הקרן'!$C$42</f>
        <v>5.4061248758653212E-4</v>
      </c>
    </row>
    <row r="26" spans="2:61">
      <c r="B26" s="87" t="s">
        <v>2426</v>
      </c>
      <c r="C26" s="97" t="s">
        <v>2289</v>
      </c>
      <c r="D26" s="84">
        <v>6024</v>
      </c>
      <c r="E26" s="84"/>
      <c r="F26" s="84" t="s">
        <v>936</v>
      </c>
      <c r="G26" s="107">
        <v>43100</v>
      </c>
      <c r="H26" s="84"/>
      <c r="I26" s="94">
        <v>8.870000000000001</v>
      </c>
      <c r="J26" s="97" t="s">
        <v>168</v>
      </c>
      <c r="K26" s="98">
        <v>1.4000000000000002E-2</v>
      </c>
      <c r="L26" s="98">
        <v>1.4000000000000002E-2</v>
      </c>
      <c r="M26" s="94">
        <v>373294.14</v>
      </c>
      <c r="N26" s="96">
        <v>113.48</v>
      </c>
      <c r="O26" s="94">
        <v>423.61422999999996</v>
      </c>
      <c r="P26" s="95">
        <f t="shared" si="0"/>
        <v>1.5487422989767486E-2</v>
      </c>
      <c r="Q26" s="95">
        <f>O26/'סכום נכסי הקרן'!$C$42</f>
        <v>4.4573981766148817E-4</v>
      </c>
    </row>
    <row r="27" spans="2:61">
      <c r="B27" s="87" t="s">
        <v>2426</v>
      </c>
      <c r="C27" s="97" t="s">
        <v>2289</v>
      </c>
      <c r="D27" s="84">
        <v>5209</v>
      </c>
      <c r="E27" s="84"/>
      <c r="F27" s="84" t="s">
        <v>936</v>
      </c>
      <c r="G27" s="107">
        <v>42643</v>
      </c>
      <c r="H27" s="84"/>
      <c r="I27" s="94">
        <v>6.9399999999999986</v>
      </c>
      <c r="J27" s="97" t="s">
        <v>168</v>
      </c>
      <c r="K27" s="98">
        <v>1.5600000000000001E-2</v>
      </c>
      <c r="L27" s="98">
        <v>1.5600000000000001E-2</v>
      </c>
      <c r="M27" s="94">
        <v>32549.69</v>
      </c>
      <c r="N27" s="96">
        <v>108.73</v>
      </c>
      <c r="O27" s="94">
        <f>35.39129-0.00579</f>
        <v>35.3855</v>
      </c>
      <c r="P27" s="95">
        <f t="shared" si="0"/>
        <v>1.293701125678468E-3</v>
      </c>
      <c r="Q27" s="95">
        <f>O27/'סכום נכסי הקרן'!$C$42</f>
        <v>3.7233702743792602E-5</v>
      </c>
    </row>
    <row r="28" spans="2:61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94"/>
      <c r="N28" s="96"/>
      <c r="O28" s="84"/>
      <c r="P28" s="95"/>
      <c r="Q28" s="84"/>
    </row>
    <row r="29" spans="2:61">
      <c r="B29" s="102" t="s">
        <v>39</v>
      </c>
      <c r="C29" s="82"/>
      <c r="D29" s="82"/>
      <c r="E29" s="82"/>
      <c r="F29" s="82"/>
      <c r="G29" s="82"/>
      <c r="H29" s="82"/>
      <c r="I29" s="91">
        <v>5.1553524434434532</v>
      </c>
      <c r="J29" s="82"/>
      <c r="K29" s="82"/>
      <c r="L29" s="104">
        <v>2.5530349379413474E-2</v>
      </c>
      <c r="M29" s="91"/>
      <c r="N29" s="93"/>
      <c r="O29" s="91">
        <f>SUM(O30:O109)</f>
        <v>11491.917579999999</v>
      </c>
      <c r="P29" s="92">
        <f t="shared" ref="P29:P92" si="1">O29/$O$10</f>
        <v>0.42014685985644329</v>
      </c>
      <c r="Q29" s="92">
        <f>O29/'סכום נכסי הקרן'!$C$42</f>
        <v>1.2092146306534723E-2</v>
      </c>
    </row>
    <row r="30" spans="2:61">
      <c r="B30" s="87" t="s">
        <v>2427</v>
      </c>
      <c r="C30" s="97" t="s">
        <v>2289</v>
      </c>
      <c r="D30" s="84">
        <v>6686</v>
      </c>
      <c r="E30" s="84"/>
      <c r="F30" s="84" t="s">
        <v>2290</v>
      </c>
      <c r="G30" s="107">
        <v>43471</v>
      </c>
      <c r="H30" s="84" t="s">
        <v>2288</v>
      </c>
      <c r="I30" s="94">
        <v>1</v>
      </c>
      <c r="J30" s="97" t="s">
        <v>168</v>
      </c>
      <c r="K30" s="98">
        <v>2.2970000000000001E-2</v>
      </c>
      <c r="L30" s="98">
        <v>1.2500000000000001E-2</v>
      </c>
      <c r="M30" s="94">
        <v>913186</v>
      </c>
      <c r="N30" s="96">
        <v>102.17</v>
      </c>
      <c r="O30" s="94">
        <v>933.00215000000003</v>
      </c>
      <c r="P30" s="95">
        <f t="shared" si="1"/>
        <v>3.4110749649303551E-2</v>
      </c>
      <c r="Q30" s="95">
        <f>O30/'סכום נכסי הקרן'!$C$42</f>
        <v>9.8173332897428037E-4</v>
      </c>
    </row>
    <row r="31" spans="2:61">
      <c r="B31" s="87" t="s">
        <v>2428</v>
      </c>
      <c r="C31" s="97" t="s">
        <v>2291</v>
      </c>
      <c r="D31" s="84" t="s">
        <v>2292</v>
      </c>
      <c r="E31" s="84"/>
      <c r="F31" s="84" t="s">
        <v>535</v>
      </c>
      <c r="G31" s="107">
        <v>43431</v>
      </c>
      <c r="H31" s="84" t="s">
        <v>355</v>
      </c>
      <c r="I31" s="94">
        <v>10.25</v>
      </c>
      <c r="J31" s="97" t="s">
        <v>168</v>
      </c>
      <c r="K31" s="98">
        <v>3.9599999999999996E-2</v>
      </c>
      <c r="L31" s="98">
        <v>2.1899999999999999E-2</v>
      </c>
      <c r="M31" s="94">
        <v>34894.68</v>
      </c>
      <c r="N31" s="96">
        <v>119.36</v>
      </c>
      <c r="O31" s="94">
        <v>41.650300000000001</v>
      </c>
      <c r="P31" s="95">
        <f t="shared" si="1"/>
        <v>1.5227434964843198E-3</v>
      </c>
      <c r="Q31" s="95">
        <f>O31/'סכום נכסי הקרן'!$C$42</f>
        <v>4.3825716448539236E-5</v>
      </c>
    </row>
    <row r="32" spans="2:61">
      <c r="B32" s="87" t="s">
        <v>2428</v>
      </c>
      <c r="C32" s="97" t="s">
        <v>2291</v>
      </c>
      <c r="D32" s="84" t="s">
        <v>2293</v>
      </c>
      <c r="E32" s="84"/>
      <c r="F32" s="84" t="s">
        <v>535</v>
      </c>
      <c r="G32" s="107">
        <v>43276</v>
      </c>
      <c r="H32" s="84" t="s">
        <v>355</v>
      </c>
      <c r="I32" s="94">
        <v>10.32</v>
      </c>
      <c r="J32" s="97" t="s">
        <v>168</v>
      </c>
      <c r="K32" s="98">
        <v>3.56E-2</v>
      </c>
      <c r="L32" s="98">
        <v>2.2799999999999997E-2</v>
      </c>
      <c r="M32" s="94">
        <v>34904.99</v>
      </c>
      <c r="N32" s="96">
        <v>114.64</v>
      </c>
      <c r="O32" s="94">
        <v>40.015070000000001</v>
      </c>
      <c r="P32" s="95">
        <f t="shared" si="1"/>
        <v>1.462959152847994E-3</v>
      </c>
      <c r="Q32" s="95">
        <f>O32/'סכום נכסי הקרן'!$C$42</f>
        <v>4.2105077550184486E-5</v>
      </c>
    </row>
    <row r="33" spans="2:17">
      <c r="B33" s="87" t="s">
        <v>2428</v>
      </c>
      <c r="C33" s="97" t="s">
        <v>2291</v>
      </c>
      <c r="D33" s="84" t="s">
        <v>2294</v>
      </c>
      <c r="E33" s="84"/>
      <c r="F33" s="84" t="s">
        <v>535</v>
      </c>
      <c r="G33" s="107">
        <v>43222</v>
      </c>
      <c r="H33" s="84" t="s">
        <v>355</v>
      </c>
      <c r="I33" s="94">
        <v>10.33</v>
      </c>
      <c r="J33" s="97" t="s">
        <v>168</v>
      </c>
      <c r="K33" s="98">
        <v>3.5200000000000002E-2</v>
      </c>
      <c r="L33" s="98">
        <v>2.2800000000000001E-2</v>
      </c>
      <c r="M33" s="94">
        <v>166865.72</v>
      </c>
      <c r="N33" s="96">
        <v>115.2</v>
      </c>
      <c r="O33" s="94">
        <v>192.22929999999999</v>
      </c>
      <c r="P33" s="95">
        <f t="shared" si="1"/>
        <v>7.0279425696509563E-3</v>
      </c>
      <c r="Q33" s="95">
        <f>O33/'סכום נכסי הקרן'!$C$42</f>
        <v>2.0226953455079993E-4</v>
      </c>
    </row>
    <row r="34" spans="2:17">
      <c r="B34" s="87" t="s">
        <v>2428</v>
      </c>
      <c r="C34" s="97" t="s">
        <v>2291</v>
      </c>
      <c r="D34" s="84" t="s">
        <v>2295</v>
      </c>
      <c r="E34" s="84"/>
      <c r="F34" s="84" t="s">
        <v>535</v>
      </c>
      <c r="G34" s="107">
        <v>43500</v>
      </c>
      <c r="H34" s="84" t="s">
        <v>355</v>
      </c>
      <c r="I34" s="94">
        <v>10.37</v>
      </c>
      <c r="J34" s="97" t="s">
        <v>168</v>
      </c>
      <c r="K34" s="98">
        <v>3.7499999999999999E-2</v>
      </c>
      <c r="L34" s="98">
        <v>1.9600000000000003E-2</v>
      </c>
      <c r="M34" s="94">
        <v>65640.77</v>
      </c>
      <c r="N34" s="96">
        <v>120.48</v>
      </c>
      <c r="O34" s="94">
        <v>79.084000000000003</v>
      </c>
      <c r="P34" s="95">
        <f t="shared" si="1"/>
        <v>2.891327233560525E-3</v>
      </c>
      <c r="Q34" s="95">
        <f>O34/'סכום נכסי הקרן'!$C$42</f>
        <v>8.3214597724776934E-5</v>
      </c>
    </row>
    <row r="35" spans="2:17">
      <c r="B35" s="87" t="s">
        <v>2428</v>
      </c>
      <c r="C35" s="97" t="s">
        <v>2291</v>
      </c>
      <c r="D35" s="84" t="s">
        <v>2296</v>
      </c>
      <c r="E35" s="84"/>
      <c r="F35" s="84" t="s">
        <v>535</v>
      </c>
      <c r="G35" s="107">
        <v>43585</v>
      </c>
      <c r="H35" s="84" t="s">
        <v>355</v>
      </c>
      <c r="I35" s="94">
        <v>10.46</v>
      </c>
      <c r="J35" s="97" t="s">
        <v>168</v>
      </c>
      <c r="K35" s="98">
        <v>3.3500000000000002E-2</v>
      </c>
      <c r="L35" s="98">
        <v>1.9799999999999998E-2</v>
      </c>
      <c r="M35" s="94">
        <v>66456.81</v>
      </c>
      <c r="N35" s="96">
        <v>115.86</v>
      </c>
      <c r="O35" s="94">
        <v>76.996859999999998</v>
      </c>
      <c r="P35" s="95">
        <f t="shared" si="1"/>
        <v>2.815020967789275E-3</v>
      </c>
      <c r="Q35" s="95">
        <f>O35/'סכום נכסי הקרן'!$C$42</f>
        <v>8.1018445336237006E-5</v>
      </c>
    </row>
    <row r="36" spans="2:17">
      <c r="B36" s="87" t="s">
        <v>2428</v>
      </c>
      <c r="C36" s="97" t="s">
        <v>2291</v>
      </c>
      <c r="D36" s="84" t="s">
        <v>2297</v>
      </c>
      <c r="E36" s="84"/>
      <c r="F36" s="84" t="s">
        <v>535</v>
      </c>
      <c r="G36" s="107">
        <v>43677</v>
      </c>
      <c r="H36" s="84" t="s">
        <v>355</v>
      </c>
      <c r="I36" s="94">
        <v>10.399999999999999</v>
      </c>
      <c r="J36" s="97" t="s">
        <v>168</v>
      </c>
      <c r="K36" s="98">
        <v>3.2000000000000001E-2</v>
      </c>
      <c r="L36" s="98">
        <v>2.3300000000000001E-2</v>
      </c>
      <c r="M36" s="94">
        <v>61783.95</v>
      </c>
      <c r="N36" s="96">
        <v>109.53</v>
      </c>
      <c r="O36" s="94">
        <v>67.671960000000013</v>
      </c>
      <c r="P36" s="95">
        <f t="shared" si="1"/>
        <v>2.4741007143849396E-3</v>
      </c>
      <c r="Q36" s="95">
        <f>O36/'סכום נכסי הקרן'!$C$42</f>
        <v>7.120650104505585E-5</v>
      </c>
    </row>
    <row r="37" spans="2:17">
      <c r="B37" s="87" t="s">
        <v>2428</v>
      </c>
      <c r="C37" s="97" t="s">
        <v>2291</v>
      </c>
      <c r="D37" s="84" t="s">
        <v>2298</v>
      </c>
      <c r="E37" s="84"/>
      <c r="F37" s="84" t="s">
        <v>535</v>
      </c>
      <c r="G37" s="107">
        <v>43708</v>
      </c>
      <c r="H37" s="84" t="s">
        <v>355</v>
      </c>
      <c r="I37" s="94">
        <v>10.569999999999999</v>
      </c>
      <c r="J37" s="97" t="s">
        <v>168</v>
      </c>
      <c r="K37" s="98">
        <v>2.6800000000000001E-2</v>
      </c>
      <c r="L37" s="98">
        <v>2.2099999999999998E-2</v>
      </c>
      <c r="M37" s="94">
        <v>4410.0600000000004</v>
      </c>
      <c r="N37" s="96">
        <v>105.17</v>
      </c>
      <c r="O37" s="94">
        <v>4.6380600000000003</v>
      </c>
      <c r="P37" s="95">
        <f t="shared" si="1"/>
        <v>1.6956842330797292E-4</v>
      </c>
      <c r="Q37" s="95">
        <f>O37/'סכום נכסי הקרן'!$C$42</f>
        <v>4.8803082434295042E-6</v>
      </c>
    </row>
    <row r="38" spans="2:17">
      <c r="B38" s="87" t="s">
        <v>2428</v>
      </c>
      <c r="C38" s="97" t="s">
        <v>2291</v>
      </c>
      <c r="D38" s="84" t="s">
        <v>2299</v>
      </c>
      <c r="E38" s="84"/>
      <c r="F38" s="84" t="s">
        <v>535</v>
      </c>
      <c r="G38" s="107">
        <v>43769</v>
      </c>
      <c r="H38" s="84" t="s">
        <v>355</v>
      </c>
      <c r="I38" s="94">
        <v>10.459999999999999</v>
      </c>
      <c r="J38" s="97" t="s">
        <v>168</v>
      </c>
      <c r="K38" s="98">
        <v>2.7300000000000001E-2</v>
      </c>
      <c r="L38" s="98">
        <v>2.5699999999999994E-2</v>
      </c>
      <c r="M38" s="94">
        <v>65139.67</v>
      </c>
      <c r="N38" s="96">
        <v>101.92</v>
      </c>
      <c r="O38" s="94">
        <v>66.390350000000012</v>
      </c>
      <c r="P38" s="95">
        <f t="shared" si="1"/>
        <v>2.427244790357279E-3</v>
      </c>
      <c r="Q38" s="95">
        <f>O38/'סכום נכסי הקרן'!$C$42</f>
        <v>6.9857951899968956E-5</v>
      </c>
    </row>
    <row r="39" spans="2:17">
      <c r="B39" s="87" t="s">
        <v>2428</v>
      </c>
      <c r="C39" s="97" t="s">
        <v>2291</v>
      </c>
      <c r="D39" s="84" t="s">
        <v>2300</v>
      </c>
      <c r="E39" s="84"/>
      <c r="F39" s="84" t="s">
        <v>535</v>
      </c>
      <c r="G39" s="107">
        <v>43708</v>
      </c>
      <c r="H39" s="84" t="s">
        <v>355</v>
      </c>
      <c r="I39" s="94">
        <v>0</v>
      </c>
      <c r="J39" s="97" t="s">
        <v>168</v>
      </c>
      <c r="K39" s="98">
        <v>3.2500000000000001E-2</v>
      </c>
      <c r="L39" s="98">
        <v>-3.6299999999999999E-2</v>
      </c>
      <c r="M39" s="94">
        <v>31749.72</v>
      </c>
      <c r="N39" s="96">
        <v>101.15</v>
      </c>
      <c r="O39" s="94">
        <v>32.114840000000001</v>
      </c>
      <c r="P39" s="95">
        <f t="shared" si="1"/>
        <v>1.1741251263648639E-3</v>
      </c>
      <c r="Q39" s="95">
        <f>O39/'סכום נכסי הקרן'!$C$42</f>
        <v>3.3792214500980926E-5</v>
      </c>
    </row>
    <row r="40" spans="2:17">
      <c r="B40" s="87" t="s">
        <v>2428</v>
      </c>
      <c r="C40" s="97" t="s">
        <v>2291</v>
      </c>
      <c r="D40" s="84" t="s">
        <v>2301</v>
      </c>
      <c r="E40" s="84"/>
      <c r="F40" s="84" t="s">
        <v>535</v>
      </c>
      <c r="G40" s="107">
        <v>43799</v>
      </c>
      <c r="H40" s="84" t="s">
        <v>355</v>
      </c>
      <c r="I40" s="94">
        <v>0</v>
      </c>
      <c r="J40" s="97" t="s">
        <v>168</v>
      </c>
      <c r="K40" s="98">
        <v>3.2500000000000001E-2</v>
      </c>
      <c r="L40" s="98">
        <v>7.4000000000000003E-3</v>
      </c>
      <c r="M40" s="94">
        <v>14072.07</v>
      </c>
      <c r="N40" s="96">
        <v>100.55</v>
      </c>
      <c r="O40" s="94">
        <v>14.149469999999999</v>
      </c>
      <c r="P40" s="95">
        <f t="shared" si="1"/>
        <v>5.1730752050285322E-4</v>
      </c>
      <c r="Q40" s="95">
        <f>O40/'סכום נכסי הקרן'!$C$42</f>
        <v>1.4888504047200437E-5</v>
      </c>
    </row>
    <row r="41" spans="2:17">
      <c r="B41" s="87" t="s">
        <v>2428</v>
      </c>
      <c r="C41" s="97" t="s">
        <v>2291</v>
      </c>
      <c r="D41" s="84" t="s">
        <v>2302</v>
      </c>
      <c r="E41" s="84"/>
      <c r="F41" s="84" t="s">
        <v>535</v>
      </c>
      <c r="G41" s="107">
        <v>43829</v>
      </c>
      <c r="H41" s="84" t="s">
        <v>355</v>
      </c>
      <c r="I41" s="94">
        <v>0</v>
      </c>
      <c r="J41" s="97" t="s">
        <v>168</v>
      </c>
      <c r="K41" s="98">
        <v>3.2500000000000001E-2</v>
      </c>
      <c r="L41" s="98">
        <v>2.8899999999999995E-2</v>
      </c>
      <c r="M41" s="94">
        <v>21381.69</v>
      </c>
      <c r="N41" s="96">
        <v>100.01</v>
      </c>
      <c r="O41" s="94">
        <v>21.383830000000003</v>
      </c>
      <c r="P41" s="95">
        <f t="shared" si="1"/>
        <v>7.8179720343974225E-4</v>
      </c>
      <c r="Q41" s="95">
        <f>O41/'סכום נכסי הקרן'!$C$42</f>
        <v>2.250071836610461E-5</v>
      </c>
    </row>
    <row r="42" spans="2:17">
      <c r="B42" s="87" t="s">
        <v>2429</v>
      </c>
      <c r="C42" s="97" t="s">
        <v>2291</v>
      </c>
      <c r="D42" s="84">
        <v>7127</v>
      </c>
      <c r="E42" s="84"/>
      <c r="F42" s="84" t="s">
        <v>1776</v>
      </c>
      <c r="G42" s="107">
        <v>43708</v>
      </c>
      <c r="H42" s="84" t="s">
        <v>2288</v>
      </c>
      <c r="I42" s="94">
        <v>6.98</v>
      </c>
      <c r="J42" s="97" t="s">
        <v>168</v>
      </c>
      <c r="K42" s="98">
        <v>3.1E-2</v>
      </c>
      <c r="L42" s="98">
        <v>1.24E-2</v>
      </c>
      <c r="M42" s="94">
        <v>480040.26</v>
      </c>
      <c r="N42" s="96">
        <v>114.12</v>
      </c>
      <c r="O42" s="94">
        <v>547.82193999999993</v>
      </c>
      <c r="P42" s="95">
        <f t="shared" si="1"/>
        <v>2.0028482300641845E-2</v>
      </c>
      <c r="Q42" s="95">
        <f>O42/'סכום נכסי הקרן'!$C$42</f>
        <v>5.7643495981370293E-4</v>
      </c>
    </row>
    <row r="43" spans="2:17">
      <c r="B43" s="87" t="s">
        <v>2429</v>
      </c>
      <c r="C43" s="97" t="s">
        <v>2291</v>
      </c>
      <c r="D43" s="84">
        <v>7128</v>
      </c>
      <c r="E43" s="84"/>
      <c r="F43" s="84" t="s">
        <v>1776</v>
      </c>
      <c r="G43" s="107">
        <v>43708</v>
      </c>
      <c r="H43" s="84" t="s">
        <v>2288</v>
      </c>
      <c r="I43" s="94">
        <v>7.01</v>
      </c>
      <c r="J43" s="97" t="s">
        <v>168</v>
      </c>
      <c r="K43" s="98">
        <v>2.4900000000000002E-2</v>
      </c>
      <c r="L43" s="98">
        <v>1.2500000000000001E-2</v>
      </c>
      <c r="M43" s="94">
        <v>203793.81</v>
      </c>
      <c r="N43" s="96">
        <v>111.5</v>
      </c>
      <c r="O43" s="94">
        <v>227.23009999999999</v>
      </c>
      <c r="P43" s="95">
        <f t="shared" si="1"/>
        <v>8.3075789845566926E-3</v>
      </c>
      <c r="Q43" s="95">
        <f>O43/'סכום נכסי הקרן'!$C$42</f>
        <v>2.3909844421704561E-4</v>
      </c>
    </row>
    <row r="44" spans="2:17">
      <c r="B44" s="87" t="s">
        <v>2429</v>
      </c>
      <c r="C44" s="97" t="s">
        <v>2291</v>
      </c>
      <c r="D44" s="84">
        <v>7130</v>
      </c>
      <c r="E44" s="84"/>
      <c r="F44" s="84" t="s">
        <v>1776</v>
      </c>
      <c r="G44" s="107">
        <v>43708</v>
      </c>
      <c r="H44" s="84" t="s">
        <v>2288</v>
      </c>
      <c r="I44" s="94">
        <v>7.3699999999999992</v>
      </c>
      <c r="J44" s="97" t="s">
        <v>168</v>
      </c>
      <c r="K44" s="98">
        <v>3.6000000000000004E-2</v>
      </c>
      <c r="L44" s="98">
        <v>1.2899999999999998E-2</v>
      </c>
      <c r="M44" s="94">
        <v>127632.69</v>
      </c>
      <c r="N44" s="96">
        <v>118.79</v>
      </c>
      <c r="O44" s="94">
        <v>151.61488</v>
      </c>
      <c r="P44" s="95">
        <f t="shared" si="1"/>
        <v>5.5430710580776262E-3</v>
      </c>
      <c r="Q44" s="95">
        <f>O44/'סכום נכסי הקרן'!$C$42</f>
        <v>1.5953380264390176E-4</v>
      </c>
    </row>
    <row r="45" spans="2:17">
      <c r="B45" s="87" t="s">
        <v>2430</v>
      </c>
      <c r="C45" s="97" t="s">
        <v>2289</v>
      </c>
      <c r="D45" s="84" t="s">
        <v>2303</v>
      </c>
      <c r="E45" s="84"/>
      <c r="F45" s="84" t="s">
        <v>1776</v>
      </c>
      <c r="G45" s="107">
        <v>42759</v>
      </c>
      <c r="H45" s="84" t="s">
        <v>2288</v>
      </c>
      <c r="I45" s="94">
        <v>3.5799999999999996</v>
      </c>
      <c r="J45" s="97" t="s">
        <v>168</v>
      </c>
      <c r="K45" s="98">
        <v>2.5499999999999998E-2</v>
      </c>
      <c r="L45" s="98">
        <v>1.09E-2</v>
      </c>
      <c r="M45" s="94">
        <v>84183.94</v>
      </c>
      <c r="N45" s="96">
        <v>106.43</v>
      </c>
      <c r="O45" s="94">
        <v>89.596969999999999</v>
      </c>
      <c r="P45" s="95">
        <f t="shared" si="1"/>
        <v>3.275683569438892E-3</v>
      </c>
      <c r="Q45" s="95">
        <f>O45/'סכום נכסי הקרן'!$C$42</f>
        <v>9.4276665519054515E-5</v>
      </c>
    </row>
    <row r="46" spans="2:17">
      <c r="B46" s="87" t="s">
        <v>2430</v>
      </c>
      <c r="C46" s="97" t="s">
        <v>2289</v>
      </c>
      <c r="D46" s="84" t="s">
        <v>2304</v>
      </c>
      <c r="E46" s="84"/>
      <c r="F46" s="84" t="s">
        <v>1776</v>
      </c>
      <c r="G46" s="107">
        <v>42759</v>
      </c>
      <c r="H46" s="84" t="s">
        <v>2288</v>
      </c>
      <c r="I46" s="94">
        <v>3.4899999999999998</v>
      </c>
      <c r="J46" s="97" t="s">
        <v>168</v>
      </c>
      <c r="K46" s="98">
        <v>3.8800000000000001E-2</v>
      </c>
      <c r="L46" s="98">
        <v>1.7999999999999999E-2</v>
      </c>
      <c r="M46" s="94">
        <v>84183.94</v>
      </c>
      <c r="N46" s="96">
        <v>109.15</v>
      </c>
      <c r="O46" s="94">
        <v>91.886769999999999</v>
      </c>
      <c r="P46" s="95">
        <f t="shared" si="1"/>
        <v>3.3593991263076253E-3</v>
      </c>
      <c r="Q46" s="95">
        <f>O46/'סכום נכסי הקרן'!$C$42</f>
        <v>9.6686062942935371E-5</v>
      </c>
    </row>
    <row r="47" spans="2:17">
      <c r="B47" s="87" t="s">
        <v>2431</v>
      </c>
      <c r="C47" s="97" t="s">
        <v>2291</v>
      </c>
      <c r="D47" s="84" t="s">
        <v>2305</v>
      </c>
      <c r="E47" s="84"/>
      <c r="F47" s="84" t="s">
        <v>634</v>
      </c>
      <c r="G47" s="107">
        <v>43011</v>
      </c>
      <c r="H47" s="84" t="s">
        <v>164</v>
      </c>
      <c r="I47" s="94">
        <v>8.6</v>
      </c>
      <c r="J47" s="97" t="s">
        <v>168</v>
      </c>
      <c r="K47" s="98">
        <v>3.9E-2</v>
      </c>
      <c r="L47" s="98">
        <v>2.1000000000000001E-2</v>
      </c>
      <c r="M47" s="94">
        <v>16131.49</v>
      </c>
      <c r="N47" s="96">
        <v>118.42</v>
      </c>
      <c r="O47" s="94">
        <v>19.102919999999997</v>
      </c>
      <c r="P47" s="95">
        <f t="shared" si="1"/>
        <v>6.9840666679136132E-4</v>
      </c>
      <c r="Q47" s="95">
        <f>O47/'סכום נכסי הקרן'!$C$42</f>
        <v>2.0100675271465729E-5</v>
      </c>
    </row>
    <row r="48" spans="2:17">
      <c r="B48" s="87" t="s">
        <v>2431</v>
      </c>
      <c r="C48" s="97" t="s">
        <v>2291</v>
      </c>
      <c r="D48" s="84" t="s">
        <v>2306</v>
      </c>
      <c r="E48" s="84"/>
      <c r="F48" s="84" t="s">
        <v>634</v>
      </c>
      <c r="G48" s="107">
        <v>43104</v>
      </c>
      <c r="H48" s="84" t="s">
        <v>164</v>
      </c>
      <c r="I48" s="94">
        <v>8.61</v>
      </c>
      <c r="J48" s="97" t="s">
        <v>168</v>
      </c>
      <c r="K48" s="98">
        <v>3.8199999999999998E-2</v>
      </c>
      <c r="L48" s="98">
        <v>2.3900000000000001E-2</v>
      </c>
      <c r="M48" s="94">
        <v>28709.360000000001</v>
      </c>
      <c r="N48" s="96">
        <v>112.58</v>
      </c>
      <c r="O48" s="94">
        <v>32.320999999999998</v>
      </c>
      <c r="P48" s="95">
        <f t="shared" si="1"/>
        <v>1.1816623781790213E-3</v>
      </c>
      <c r="Q48" s="95">
        <f>O48/'סכום נכסי הקרן'!$C$42</f>
        <v>3.4009142343110049E-5</v>
      </c>
    </row>
    <row r="49" spans="2:17">
      <c r="B49" s="87" t="s">
        <v>2431</v>
      </c>
      <c r="C49" s="97" t="s">
        <v>2291</v>
      </c>
      <c r="D49" s="84" t="s">
        <v>2307</v>
      </c>
      <c r="E49" s="84"/>
      <c r="F49" s="84" t="s">
        <v>634</v>
      </c>
      <c r="G49" s="107">
        <v>43194</v>
      </c>
      <c r="H49" s="84" t="s">
        <v>164</v>
      </c>
      <c r="I49" s="94">
        <v>8.66</v>
      </c>
      <c r="J49" s="97" t="s">
        <v>168</v>
      </c>
      <c r="K49" s="98">
        <v>3.7900000000000003E-2</v>
      </c>
      <c r="L49" s="98">
        <v>1.9599999999999999E-2</v>
      </c>
      <c r="M49" s="94">
        <v>18534.22</v>
      </c>
      <c r="N49" s="96">
        <v>116.73</v>
      </c>
      <c r="O49" s="94">
        <v>21.635000000000002</v>
      </c>
      <c r="P49" s="95">
        <f t="shared" si="1"/>
        <v>7.9098003007032985E-4</v>
      </c>
      <c r="Q49" s="95">
        <f>O49/'סכום נכסי הקרן'!$C$42</f>
        <v>2.276500710352978E-5</v>
      </c>
    </row>
    <row r="50" spans="2:17">
      <c r="B50" s="87" t="s">
        <v>2431</v>
      </c>
      <c r="C50" s="97" t="s">
        <v>2291</v>
      </c>
      <c r="D50" s="84" t="s">
        <v>2308</v>
      </c>
      <c r="E50" s="84"/>
      <c r="F50" s="84" t="s">
        <v>634</v>
      </c>
      <c r="G50" s="107">
        <v>43285</v>
      </c>
      <c r="H50" s="84" t="s">
        <v>164</v>
      </c>
      <c r="I50" s="94">
        <v>8.6300000000000008</v>
      </c>
      <c r="J50" s="97" t="s">
        <v>168</v>
      </c>
      <c r="K50" s="98">
        <v>4.0099999999999997E-2</v>
      </c>
      <c r="L50" s="98">
        <v>1.9699999999999999E-2</v>
      </c>
      <c r="M50" s="94">
        <v>24618.41</v>
      </c>
      <c r="N50" s="96">
        <v>117.35</v>
      </c>
      <c r="O50" s="94">
        <v>28.889700000000001</v>
      </c>
      <c r="P50" s="95">
        <f t="shared" si="1"/>
        <v>1.0562133475721196E-3</v>
      </c>
      <c r="Q50" s="95">
        <f>O50/'סכום נכסי הקרן'!$C$42</f>
        <v>3.0398623791025848E-5</v>
      </c>
    </row>
    <row r="51" spans="2:17">
      <c r="B51" s="87" t="s">
        <v>2431</v>
      </c>
      <c r="C51" s="97" t="s">
        <v>2291</v>
      </c>
      <c r="D51" s="84" t="s">
        <v>2309</v>
      </c>
      <c r="E51" s="84"/>
      <c r="F51" s="84" t="s">
        <v>634</v>
      </c>
      <c r="G51" s="107">
        <v>43377</v>
      </c>
      <c r="H51" s="84" t="s">
        <v>164</v>
      </c>
      <c r="I51" s="94">
        <v>8.620000000000001</v>
      </c>
      <c r="J51" s="97" t="s">
        <v>168</v>
      </c>
      <c r="K51" s="98">
        <v>3.9699999999999999E-2</v>
      </c>
      <c r="L51" s="98">
        <v>2.1299999999999999E-2</v>
      </c>
      <c r="M51" s="94">
        <v>49259.15</v>
      </c>
      <c r="N51" s="96">
        <v>115.18</v>
      </c>
      <c r="O51" s="94">
        <v>56.73668</v>
      </c>
      <c r="P51" s="95">
        <f t="shared" si="1"/>
        <v>2.0743046384326634E-3</v>
      </c>
      <c r="Q51" s="95">
        <f>O51/'סכום נכסי הקרן'!$C$42</f>
        <v>5.9700065783716007E-5</v>
      </c>
    </row>
    <row r="52" spans="2:17">
      <c r="B52" s="87" t="s">
        <v>2431</v>
      </c>
      <c r="C52" s="97" t="s">
        <v>2291</v>
      </c>
      <c r="D52" s="84" t="s">
        <v>2310</v>
      </c>
      <c r="E52" s="84"/>
      <c r="F52" s="84" t="s">
        <v>634</v>
      </c>
      <c r="G52" s="107">
        <v>43469</v>
      </c>
      <c r="H52" s="84" t="s">
        <v>164</v>
      </c>
      <c r="I52" s="94">
        <v>10.33</v>
      </c>
      <c r="J52" s="97" t="s">
        <v>168</v>
      </c>
      <c r="K52" s="98">
        <v>4.1700000000000001E-2</v>
      </c>
      <c r="L52" s="98">
        <v>1.7600000000000001E-2</v>
      </c>
      <c r="M52" s="94">
        <v>34659.46</v>
      </c>
      <c r="N52" s="96">
        <v>124.66</v>
      </c>
      <c r="O52" s="94">
        <v>43.206489999999995</v>
      </c>
      <c r="P52" s="95">
        <f t="shared" si="1"/>
        <v>1.5796381215360943E-3</v>
      </c>
      <c r="Q52" s="95">
        <f>O52/'סכום נכסי הקרן'!$C$42</f>
        <v>4.5463187047311682E-5</v>
      </c>
    </row>
    <row r="53" spans="2:17">
      <c r="B53" s="87" t="s">
        <v>2431</v>
      </c>
      <c r="C53" s="97" t="s">
        <v>2291</v>
      </c>
      <c r="D53" s="84" t="s">
        <v>2311</v>
      </c>
      <c r="E53" s="84"/>
      <c r="F53" s="84" t="s">
        <v>634</v>
      </c>
      <c r="G53" s="107">
        <v>43559</v>
      </c>
      <c r="H53" s="84" t="s">
        <v>164</v>
      </c>
      <c r="I53" s="94">
        <v>10.329999999999998</v>
      </c>
      <c r="J53" s="97" t="s">
        <v>168</v>
      </c>
      <c r="K53" s="98">
        <v>3.7200000000000004E-2</v>
      </c>
      <c r="L53" s="98">
        <v>2.0999999999999998E-2</v>
      </c>
      <c r="M53" s="94">
        <v>83036.100000000006</v>
      </c>
      <c r="N53" s="96">
        <v>115.72</v>
      </c>
      <c r="O53" s="94">
        <v>96.089359999999999</v>
      </c>
      <c r="P53" s="95">
        <f t="shared" si="1"/>
        <v>3.5130466772469952E-3</v>
      </c>
      <c r="Q53" s="95">
        <f>O53/'סכום נכסי הקרן'!$C$42</f>
        <v>1.0110815636577907E-4</v>
      </c>
    </row>
    <row r="54" spans="2:17">
      <c r="B54" s="87" t="s">
        <v>2431</v>
      </c>
      <c r="C54" s="97" t="s">
        <v>2291</v>
      </c>
      <c r="D54" s="84" t="s">
        <v>2312</v>
      </c>
      <c r="E54" s="84"/>
      <c r="F54" s="84" t="s">
        <v>634</v>
      </c>
      <c r="G54" s="107">
        <v>43742</v>
      </c>
      <c r="H54" s="84" t="s">
        <v>164</v>
      </c>
      <c r="I54" s="94">
        <v>10.180000000000001</v>
      </c>
      <c r="J54" s="97" t="s">
        <v>168</v>
      </c>
      <c r="K54" s="98">
        <v>3.1E-2</v>
      </c>
      <c r="L54" s="98">
        <v>2.9499999999999998E-2</v>
      </c>
      <c r="M54" s="94">
        <v>97867.62</v>
      </c>
      <c r="N54" s="96">
        <v>101.91</v>
      </c>
      <c r="O54" s="94">
        <v>99.736890000000002</v>
      </c>
      <c r="P54" s="95">
        <f t="shared" si="1"/>
        <v>3.6464011209300291E-3</v>
      </c>
      <c r="Q54" s="95">
        <f>O54/'סכום נכסי הקרן'!$C$42</f>
        <v>1.0494619872123725E-4</v>
      </c>
    </row>
    <row r="55" spans="2:17">
      <c r="B55" s="87" t="s">
        <v>2431</v>
      </c>
      <c r="C55" s="97" t="s">
        <v>2291</v>
      </c>
      <c r="D55" s="84" t="s">
        <v>2313</v>
      </c>
      <c r="E55" s="84"/>
      <c r="F55" s="84" t="s">
        <v>634</v>
      </c>
      <c r="G55" s="107">
        <v>42935</v>
      </c>
      <c r="H55" s="84" t="s">
        <v>164</v>
      </c>
      <c r="I55" s="94">
        <v>10.27</v>
      </c>
      <c r="J55" s="97" t="s">
        <v>168</v>
      </c>
      <c r="K55" s="98">
        <v>4.0800000000000003E-2</v>
      </c>
      <c r="L55" s="98">
        <v>2.0700000000000003E-2</v>
      </c>
      <c r="M55" s="94">
        <v>75291.539999999994</v>
      </c>
      <c r="N55" s="96">
        <v>121.52</v>
      </c>
      <c r="O55" s="94">
        <v>91.494289999999992</v>
      </c>
      <c r="P55" s="95">
        <f t="shared" si="1"/>
        <v>3.3450499771418289E-3</v>
      </c>
      <c r="Q55" s="95">
        <f>O55/'סכום נכסי הקרן'!$C$42</f>
        <v>9.6273083512013553E-5</v>
      </c>
    </row>
    <row r="56" spans="2:17">
      <c r="B56" s="87" t="s">
        <v>2432</v>
      </c>
      <c r="C56" s="97" t="s">
        <v>2291</v>
      </c>
      <c r="D56" s="84" t="s">
        <v>2314</v>
      </c>
      <c r="E56" s="84"/>
      <c r="F56" s="84" t="s">
        <v>2315</v>
      </c>
      <c r="G56" s="107">
        <v>42680</v>
      </c>
      <c r="H56" s="84" t="s">
        <v>2288</v>
      </c>
      <c r="I56" s="94">
        <v>3.5400000000000005</v>
      </c>
      <c r="J56" s="97" t="s">
        <v>168</v>
      </c>
      <c r="K56" s="98">
        <v>2.3E-2</v>
      </c>
      <c r="L56" s="98">
        <v>1.3500000000000002E-2</v>
      </c>
      <c r="M56" s="94">
        <v>6129.94</v>
      </c>
      <c r="N56" s="96">
        <v>105.81</v>
      </c>
      <c r="O56" s="94">
        <v>6.4861000000000004</v>
      </c>
      <c r="P56" s="95">
        <f t="shared" si="1"/>
        <v>2.371331441201371E-4</v>
      </c>
      <c r="Q56" s="95">
        <f>O56/'סכום נכסי הקרן'!$C$42</f>
        <v>6.8248723168109312E-6</v>
      </c>
    </row>
    <row r="57" spans="2:17">
      <c r="B57" s="87" t="s">
        <v>2432</v>
      </c>
      <c r="C57" s="97" t="s">
        <v>2291</v>
      </c>
      <c r="D57" s="84" t="s">
        <v>2316</v>
      </c>
      <c r="E57" s="84"/>
      <c r="F57" s="84" t="s">
        <v>2315</v>
      </c>
      <c r="G57" s="107">
        <v>42680</v>
      </c>
      <c r="H57" s="84" t="s">
        <v>2288</v>
      </c>
      <c r="I57" s="94">
        <v>2.35</v>
      </c>
      <c r="J57" s="97" t="s">
        <v>168</v>
      </c>
      <c r="K57" s="98">
        <v>2.35E-2</v>
      </c>
      <c r="L57" s="98">
        <v>1.9700000000000002E-2</v>
      </c>
      <c r="M57" s="94">
        <v>12051.16</v>
      </c>
      <c r="N57" s="96">
        <v>101.04</v>
      </c>
      <c r="O57" s="94">
        <v>12.176489999999999</v>
      </c>
      <c r="P57" s="95">
        <f t="shared" si="1"/>
        <v>4.4517496770746798E-4</v>
      </c>
      <c r="Q57" s="95">
        <f>O57/'סכום נכסי הקרן'!$C$42</f>
        <v>1.2812474293785961E-5</v>
      </c>
    </row>
    <row r="58" spans="2:17">
      <c r="B58" s="87" t="s">
        <v>2432</v>
      </c>
      <c r="C58" s="97" t="s">
        <v>2291</v>
      </c>
      <c r="D58" s="84" t="s">
        <v>2317</v>
      </c>
      <c r="E58" s="84"/>
      <c r="F58" s="84" t="s">
        <v>2315</v>
      </c>
      <c r="G58" s="107">
        <v>42680</v>
      </c>
      <c r="H58" s="84" t="s">
        <v>2288</v>
      </c>
      <c r="I58" s="94">
        <v>3.4899999999999993</v>
      </c>
      <c r="J58" s="97" t="s">
        <v>168</v>
      </c>
      <c r="K58" s="98">
        <v>3.3700000000000001E-2</v>
      </c>
      <c r="L58" s="98">
        <v>2.5899999999999999E-2</v>
      </c>
      <c r="M58" s="94">
        <v>3131.72</v>
      </c>
      <c r="N58" s="96">
        <v>103</v>
      </c>
      <c r="O58" s="94">
        <v>3.22567</v>
      </c>
      <c r="P58" s="95">
        <f t="shared" si="1"/>
        <v>1.1793115570126927E-4</v>
      </c>
      <c r="Q58" s="95">
        <f>O58/'סכום נכסי הקרן'!$C$42</f>
        <v>3.3941483921258564E-6</v>
      </c>
    </row>
    <row r="59" spans="2:17">
      <c r="B59" s="87" t="s">
        <v>2432</v>
      </c>
      <c r="C59" s="97" t="s">
        <v>2291</v>
      </c>
      <c r="D59" s="84" t="s">
        <v>2318</v>
      </c>
      <c r="E59" s="84"/>
      <c r="F59" s="84" t="s">
        <v>2315</v>
      </c>
      <c r="G59" s="107">
        <v>42717</v>
      </c>
      <c r="H59" s="84" t="s">
        <v>2288</v>
      </c>
      <c r="I59" s="94">
        <v>3.2399999999999998</v>
      </c>
      <c r="J59" s="97" t="s">
        <v>168</v>
      </c>
      <c r="K59" s="98">
        <v>3.85E-2</v>
      </c>
      <c r="L59" s="98">
        <v>3.1300000000000001E-2</v>
      </c>
      <c r="M59" s="94">
        <v>814.09</v>
      </c>
      <c r="N59" s="96">
        <v>102.63</v>
      </c>
      <c r="O59" s="94">
        <v>0.83550000000000002</v>
      </c>
      <c r="P59" s="95">
        <f t="shared" si="1"/>
        <v>3.0546051080367944E-5</v>
      </c>
      <c r="Q59" s="95">
        <f>O59/'סכום נכסי הקרן'!$C$42</f>
        <v>8.7913859186499332E-7</v>
      </c>
    </row>
    <row r="60" spans="2:17">
      <c r="B60" s="87" t="s">
        <v>2432</v>
      </c>
      <c r="C60" s="97" t="s">
        <v>2291</v>
      </c>
      <c r="D60" s="84" t="s">
        <v>2319</v>
      </c>
      <c r="E60" s="84"/>
      <c r="F60" s="84" t="s">
        <v>2315</v>
      </c>
      <c r="G60" s="107">
        <v>42710</v>
      </c>
      <c r="H60" s="84" t="s">
        <v>2288</v>
      </c>
      <c r="I60" s="94">
        <v>3.24</v>
      </c>
      <c r="J60" s="97" t="s">
        <v>168</v>
      </c>
      <c r="K60" s="98">
        <v>3.8399999999999997E-2</v>
      </c>
      <c r="L60" s="98">
        <v>3.1199999999999995E-2</v>
      </c>
      <c r="M60" s="94">
        <v>2433.9</v>
      </c>
      <c r="N60" s="96">
        <v>102.63</v>
      </c>
      <c r="O60" s="94">
        <v>2.4979100000000001</v>
      </c>
      <c r="P60" s="95">
        <f t="shared" si="1"/>
        <v>9.1324101082180612E-5</v>
      </c>
      <c r="Q60" s="95">
        <f>O60/'סכום נכסי הקרן'!$C$42</f>
        <v>2.6283771155062663E-6</v>
      </c>
    </row>
    <row r="61" spans="2:17">
      <c r="B61" s="87" t="s">
        <v>2432</v>
      </c>
      <c r="C61" s="97" t="s">
        <v>2291</v>
      </c>
      <c r="D61" s="84" t="s">
        <v>2320</v>
      </c>
      <c r="E61" s="84"/>
      <c r="F61" s="84" t="s">
        <v>2315</v>
      </c>
      <c r="G61" s="107">
        <v>42680</v>
      </c>
      <c r="H61" s="84" t="s">
        <v>2288</v>
      </c>
      <c r="I61" s="94">
        <v>4.45</v>
      </c>
      <c r="J61" s="97" t="s">
        <v>168</v>
      </c>
      <c r="K61" s="98">
        <v>3.6699999999999997E-2</v>
      </c>
      <c r="L61" s="98">
        <v>2.63E-2</v>
      </c>
      <c r="M61" s="94">
        <v>10667.36</v>
      </c>
      <c r="N61" s="96">
        <v>104.97</v>
      </c>
      <c r="O61" s="94">
        <v>11.197520000000001</v>
      </c>
      <c r="P61" s="95">
        <f t="shared" si="1"/>
        <v>4.0938362404960109E-4</v>
      </c>
      <c r="Q61" s="95">
        <f>O61/'סכום נכסי הקרן'!$C$42</f>
        <v>1.1782372190520765E-5</v>
      </c>
    </row>
    <row r="62" spans="2:17">
      <c r="B62" s="87" t="s">
        <v>2432</v>
      </c>
      <c r="C62" s="97" t="s">
        <v>2291</v>
      </c>
      <c r="D62" s="84" t="s">
        <v>2321</v>
      </c>
      <c r="E62" s="84"/>
      <c r="F62" s="84" t="s">
        <v>2315</v>
      </c>
      <c r="G62" s="107">
        <v>42680</v>
      </c>
      <c r="H62" s="84" t="s">
        <v>2288</v>
      </c>
      <c r="I62" s="94">
        <v>2.34</v>
      </c>
      <c r="J62" s="97" t="s">
        <v>168</v>
      </c>
      <c r="K62" s="98">
        <v>3.1800000000000002E-2</v>
      </c>
      <c r="L62" s="98">
        <v>2.5300000000000003E-2</v>
      </c>
      <c r="M62" s="94">
        <v>12296.13</v>
      </c>
      <c r="N62" s="96">
        <v>101.72</v>
      </c>
      <c r="O62" s="94">
        <v>12.507620000000001</v>
      </c>
      <c r="P62" s="95">
        <f t="shared" si="1"/>
        <v>4.5728114831098955E-4</v>
      </c>
      <c r="Q62" s="95">
        <f>O62/'סכום נכסי הקרן'!$C$42</f>
        <v>1.3160899382863468E-5</v>
      </c>
    </row>
    <row r="63" spans="2:17">
      <c r="B63" s="87" t="s">
        <v>2433</v>
      </c>
      <c r="C63" s="97" t="s">
        <v>2289</v>
      </c>
      <c r="D63" s="84" t="s">
        <v>2322</v>
      </c>
      <c r="E63" s="84"/>
      <c r="F63" s="84" t="s">
        <v>2315</v>
      </c>
      <c r="G63" s="107">
        <v>42884</v>
      </c>
      <c r="H63" s="84" t="s">
        <v>2288</v>
      </c>
      <c r="I63" s="94">
        <v>0.78</v>
      </c>
      <c r="J63" s="97" t="s">
        <v>168</v>
      </c>
      <c r="K63" s="98">
        <v>2.2099999999999998E-2</v>
      </c>
      <c r="L63" s="98">
        <v>1.4800000000000001E-2</v>
      </c>
      <c r="M63" s="94">
        <v>6981.45</v>
      </c>
      <c r="N63" s="96">
        <v>100.77</v>
      </c>
      <c r="O63" s="94">
        <v>7.0352100000000002</v>
      </c>
      <c r="P63" s="95">
        <f t="shared" si="1"/>
        <v>2.5720871815812735E-4</v>
      </c>
      <c r="Q63" s="95">
        <f>O63/'סכום נכסי הקרן'!$C$42</f>
        <v>7.4026626126565164E-6</v>
      </c>
    </row>
    <row r="64" spans="2:17">
      <c r="B64" s="87" t="s">
        <v>2433</v>
      </c>
      <c r="C64" s="97" t="s">
        <v>2289</v>
      </c>
      <c r="D64" s="84" t="s">
        <v>2323</v>
      </c>
      <c r="E64" s="84"/>
      <c r="F64" s="84" t="s">
        <v>2315</v>
      </c>
      <c r="G64" s="107">
        <v>43006</v>
      </c>
      <c r="H64" s="84" t="s">
        <v>2288</v>
      </c>
      <c r="I64" s="94">
        <v>0.9900000000000001</v>
      </c>
      <c r="J64" s="97" t="s">
        <v>168</v>
      </c>
      <c r="K64" s="98">
        <v>2.0799999999999999E-2</v>
      </c>
      <c r="L64" s="98">
        <v>1.6299999999999999E-2</v>
      </c>
      <c r="M64" s="94">
        <v>8145.03</v>
      </c>
      <c r="N64" s="96">
        <v>100.46</v>
      </c>
      <c r="O64" s="94">
        <v>8.1824899999999996</v>
      </c>
      <c r="P64" s="95">
        <f t="shared" si="1"/>
        <v>2.9915350987983234E-4</v>
      </c>
      <c r="Q64" s="95">
        <f>O64/'סכום נכסי הקרן'!$C$42</f>
        <v>8.6098656332129133E-6</v>
      </c>
    </row>
    <row r="65" spans="2:17">
      <c r="B65" s="87" t="s">
        <v>2433</v>
      </c>
      <c r="C65" s="97" t="s">
        <v>2289</v>
      </c>
      <c r="D65" s="84" t="s">
        <v>2324</v>
      </c>
      <c r="E65" s="84"/>
      <c r="F65" s="84" t="s">
        <v>2315</v>
      </c>
      <c r="G65" s="107">
        <v>43321</v>
      </c>
      <c r="H65" s="84" t="s">
        <v>2288</v>
      </c>
      <c r="I65" s="94">
        <v>1.3399999999999999</v>
      </c>
      <c r="J65" s="97" t="s">
        <v>168</v>
      </c>
      <c r="K65" s="98">
        <v>2.3980000000000001E-2</v>
      </c>
      <c r="L65" s="98">
        <v>1.4499999999999999E-2</v>
      </c>
      <c r="M65" s="94">
        <v>158026.72</v>
      </c>
      <c r="N65" s="96">
        <v>101.62</v>
      </c>
      <c r="O65" s="94">
        <v>160.58676</v>
      </c>
      <c r="P65" s="95">
        <f t="shared" si="1"/>
        <v>5.8710848279961555E-3</v>
      </c>
      <c r="Q65" s="95">
        <f>O65/'סכום נכסי הקרן'!$C$42</f>
        <v>1.6897428852012162E-4</v>
      </c>
    </row>
    <row r="66" spans="2:17">
      <c r="B66" s="87" t="s">
        <v>2433</v>
      </c>
      <c r="C66" s="97" t="s">
        <v>2289</v>
      </c>
      <c r="D66" s="84" t="s">
        <v>2325</v>
      </c>
      <c r="E66" s="84"/>
      <c r="F66" s="84" t="s">
        <v>2315</v>
      </c>
      <c r="G66" s="107">
        <v>43343</v>
      </c>
      <c r="H66" s="84" t="s">
        <v>2288</v>
      </c>
      <c r="I66" s="94">
        <v>1.39</v>
      </c>
      <c r="J66" s="97" t="s">
        <v>168</v>
      </c>
      <c r="K66" s="98">
        <v>2.3789999999999999E-2</v>
      </c>
      <c r="L66" s="98">
        <v>1.52E-2</v>
      </c>
      <c r="M66" s="94">
        <v>158026.72</v>
      </c>
      <c r="N66" s="96">
        <v>101.41</v>
      </c>
      <c r="O66" s="94">
        <v>160.25489999999999</v>
      </c>
      <c r="P66" s="95">
        <f t="shared" si="1"/>
        <v>5.8589519584431558E-3</v>
      </c>
      <c r="Q66" s="95">
        <f>O66/'סכום נכסי הקרן'!$C$42</f>
        <v>1.6862509530277115E-4</v>
      </c>
    </row>
    <row r="67" spans="2:17">
      <c r="B67" s="87" t="s">
        <v>2433</v>
      </c>
      <c r="C67" s="97" t="s">
        <v>2289</v>
      </c>
      <c r="D67" s="84" t="s">
        <v>2326</v>
      </c>
      <c r="E67" s="84"/>
      <c r="F67" s="84" t="s">
        <v>2315</v>
      </c>
      <c r="G67" s="107">
        <v>42828</v>
      </c>
      <c r="H67" s="84" t="s">
        <v>2288</v>
      </c>
      <c r="I67" s="94">
        <v>0.62999999999999989</v>
      </c>
      <c r="J67" s="97" t="s">
        <v>168</v>
      </c>
      <c r="K67" s="98">
        <v>2.2700000000000001E-2</v>
      </c>
      <c r="L67" s="98">
        <v>1.44E-2</v>
      </c>
      <c r="M67" s="94">
        <v>6981.45</v>
      </c>
      <c r="N67" s="96">
        <v>101.08</v>
      </c>
      <c r="O67" s="94">
        <v>7.0568500000000007</v>
      </c>
      <c r="P67" s="95">
        <f t="shared" si="1"/>
        <v>2.5799988098922148E-4</v>
      </c>
      <c r="Q67" s="95">
        <f>O67/'סכום נכסי הקרן'!$C$42</f>
        <v>7.4254328809126017E-6</v>
      </c>
    </row>
    <row r="68" spans="2:17">
      <c r="B68" s="87" t="s">
        <v>2433</v>
      </c>
      <c r="C68" s="97" t="s">
        <v>2289</v>
      </c>
      <c r="D68" s="84" t="s">
        <v>2327</v>
      </c>
      <c r="E68" s="84"/>
      <c r="F68" s="84" t="s">
        <v>2315</v>
      </c>
      <c r="G68" s="107">
        <v>42859</v>
      </c>
      <c r="H68" s="84" t="s">
        <v>2288</v>
      </c>
      <c r="I68" s="94">
        <v>0.71</v>
      </c>
      <c r="J68" s="97" t="s">
        <v>168</v>
      </c>
      <c r="K68" s="98">
        <v>2.2799999999999997E-2</v>
      </c>
      <c r="L68" s="98">
        <v>1.44E-2</v>
      </c>
      <c r="M68" s="94">
        <v>6981.45</v>
      </c>
      <c r="N68" s="96">
        <v>100.96</v>
      </c>
      <c r="O68" s="94">
        <v>7.04847</v>
      </c>
      <c r="P68" s="95">
        <f t="shared" si="1"/>
        <v>2.5769350647329871E-4</v>
      </c>
      <c r="Q68" s="95">
        <f>O68/'סכום נכסי הקרן'!$C$42</f>
        <v>7.4166151892311775E-6</v>
      </c>
    </row>
    <row r="69" spans="2:17">
      <c r="B69" s="87" t="s">
        <v>2433</v>
      </c>
      <c r="C69" s="97" t="s">
        <v>2289</v>
      </c>
      <c r="D69" s="84" t="s">
        <v>2328</v>
      </c>
      <c r="E69" s="84"/>
      <c r="F69" s="84" t="s">
        <v>2315</v>
      </c>
      <c r="G69" s="107">
        <v>43614</v>
      </c>
      <c r="H69" s="84" t="s">
        <v>2288</v>
      </c>
      <c r="I69" s="94">
        <v>1.75</v>
      </c>
      <c r="J69" s="97" t="s">
        <v>168</v>
      </c>
      <c r="K69" s="98">
        <v>2.427E-2</v>
      </c>
      <c r="L69" s="98">
        <v>1.66E-2</v>
      </c>
      <c r="M69" s="94">
        <v>201124.91</v>
      </c>
      <c r="N69" s="96">
        <v>101.57</v>
      </c>
      <c r="O69" s="94">
        <v>204.28255999999999</v>
      </c>
      <c r="P69" s="95">
        <f t="shared" si="1"/>
        <v>7.4686122233253499E-3</v>
      </c>
      <c r="Q69" s="95">
        <f>O69/'סכום נכסי הקרן'!$C$42</f>
        <v>2.149523424787265E-4</v>
      </c>
    </row>
    <row r="70" spans="2:17">
      <c r="B70" s="87" t="s">
        <v>2434</v>
      </c>
      <c r="C70" s="97" t="s">
        <v>2291</v>
      </c>
      <c r="D70" s="84" t="s">
        <v>2329</v>
      </c>
      <c r="E70" s="84"/>
      <c r="F70" s="84" t="s">
        <v>2330</v>
      </c>
      <c r="G70" s="107">
        <v>43093</v>
      </c>
      <c r="H70" s="84" t="s">
        <v>2288</v>
      </c>
      <c r="I70" s="94">
        <v>3.98</v>
      </c>
      <c r="J70" s="97" t="s">
        <v>168</v>
      </c>
      <c r="K70" s="98">
        <v>2.6089999999999999E-2</v>
      </c>
      <c r="L70" s="98">
        <v>1.9699999999999999E-2</v>
      </c>
      <c r="M70" s="94">
        <v>85277.7</v>
      </c>
      <c r="N70" s="96">
        <v>104.1</v>
      </c>
      <c r="O70" s="94">
        <v>88.774079999999998</v>
      </c>
      <c r="P70" s="95">
        <f t="shared" si="1"/>
        <v>3.245598542540599E-3</v>
      </c>
      <c r="Q70" s="95">
        <f>O70/'סכום נכסי הקרן'!$C$42</f>
        <v>9.3410795553932087E-5</v>
      </c>
    </row>
    <row r="71" spans="2:17">
      <c r="B71" s="87" t="s">
        <v>2434</v>
      </c>
      <c r="C71" s="97" t="s">
        <v>2291</v>
      </c>
      <c r="D71" s="84" t="s">
        <v>2331</v>
      </c>
      <c r="E71" s="84"/>
      <c r="F71" s="84" t="s">
        <v>2330</v>
      </c>
      <c r="G71" s="107">
        <v>43374</v>
      </c>
      <c r="H71" s="84" t="s">
        <v>2288</v>
      </c>
      <c r="I71" s="94">
        <v>3.98</v>
      </c>
      <c r="J71" s="97" t="s">
        <v>168</v>
      </c>
      <c r="K71" s="98">
        <v>2.6849999999999999E-2</v>
      </c>
      <c r="L71" s="98">
        <v>1.9099999999999999E-2</v>
      </c>
      <c r="M71" s="94">
        <v>119388.78</v>
      </c>
      <c r="N71" s="96">
        <v>103.51</v>
      </c>
      <c r="O71" s="94">
        <v>123.57933</v>
      </c>
      <c r="P71" s="95">
        <f t="shared" si="1"/>
        <v>4.5180856094047244E-3</v>
      </c>
      <c r="Q71" s="95">
        <f>O71/'סכום נכסי הקרן'!$C$42</f>
        <v>1.3003394154376938E-4</v>
      </c>
    </row>
    <row r="72" spans="2:17">
      <c r="B72" s="87" t="s">
        <v>2435</v>
      </c>
      <c r="C72" s="97" t="s">
        <v>2291</v>
      </c>
      <c r="D72" s="84" t="s">
        <v>2332</v>
      </c>
      <c r="E72" s="84"/>
      <c r="F72" s="84" t="s">
        <v>663</v>
      </c>
      <c r="G72" s="107">
        <v>43552</v>
      </c>
      <c r="H72" s="84" t="s">
        <v>164</v>
      </c>
      <c r="I72" s="94">
        <v>6.6199999999999992</v>
      </c>
      <c r="J72" s="97" t="s">
        <v>168</v>
      </c>
      <c r="K72" s="98">
        <v>3.5499999999999997E-2</v>
      </c>
      <c r="L72" s="98">
        <v>3.0200000000000001E-2</v>
      </c>
      <c r="M72" s="94">
        <v>388976.03</v>
      </c>
      <c r="N72" s="96">
        <v>103.76</v>
      </c>
      <c r="O72" s="94">
        <v>403.60153000000003</v>
      </c>
      <c r="P72" s="95">
        <f t="shared" si="1"/>
        <v>1.4755754579885885E-2</v>
      </c>
      <c r="Q72" s="95">
        <f>O72/'סכום נכסי הקרן'!$C$42</f>
        <v>4.2468184411580714E-4</v>
      </c>
    </row>
    <row r="73" spans="2:17">
      <c r="B73" s="87" t="s">
        <v>2436</v>
      </c>
      <c r="C73" s="97" t="s">
        <v>2291</v>
      </c>
      <c r="D73" s="84" t="s">
        <v>2333</v>
      </c>
      <c r="E73" s="84"/>
      <c r="F73" s="84" t="s">
        <v>671</v>
      </c>
      <c r="G73" s="107">
        <v>43301</v>
      </c>
      <c r="H73" s="84" t="s">
        <v>355</v>
      </c>
      <c r="I73" s="94">
        <v>1.1199999999999999</v>
      </c>
      <c r="J73" s="97" t="s">
        <v>167</v>
      </c>
      <c r="K73" s="98">
        <v>6.3230000000000008E-2</v>
      </c>
      <c r="L73" s="98">
        <v>6.4500000000000002E-2</v>
      </c>
      <c r="M73" s="94">
        <v>156270.53</v>
      </c>
      <c r="N73" s="96">
        <v>101.18</v>
      </c>
      <c r="O73" s="94">
        <v>546.44378000000006</v>
      </c>
      <c r="P73" s="95">
        <f t="shared" si="1"/>
        <v>1.9978096488844219E-2</v>
      </c>
      <c r="Q73" s="95">
        <f>O73/'סכום נכסי הקרן'!$C$42</f>
        <v>5.7498481781278782E-4</v>
      </c>
    </row>
    <row r="74" spans="2:17">
      <c r="B74" s="87" t="s">
        <v>2436</v>
      </c>
      <c r="C74" s="97" t="s">
        <v>2291</v>
      </c>
      <c r="D74" s="84" t="s">
        <v>2334</v>
      </c>
      <c r="E74" s="84"/>
      <c r="F74" s="84" t="s">
        <v>671</v>
      </c>
      <c r="G74" s="107">
        <v>43496</v>
      </c>
      <c r="H74" s="84" t="s">
        <v>355</v>
      </c>
      <c r="I74" s="94">
        <v>1.1000000000000001</v>
      </c>
      <c r="J74" s="97" t="s">
        <v>167</v>
      </c>
      <c r="K74" s="98">
        <v>6.1839999999999999E-2</v>
      </c>
      <c r="L74" s="98">
        <v>6.4500000000000002E-2</v>
      </c>
      <c r="M74" s="94">
        <v>75532.77</v>
      </c>
      <c r="N74" s="96">
        <v>101.18</v>
      </c>
      <c r="O74" s="94">
        <v>264.12155999999999</v>
      </c>
      <c r="P74" s="95">
        <f t="shared" si="1"/>
        <v>9.6563383162016365E-3</v>
      </c>
      <c r="Q74" s="95">
        <f>O74/'סכום נכסי הקרן'!$C$42</f>
        <v>2.7791676402104767E-4</v>
      </c>
    </row>
    <row r="75" spans="2:17">
      <c r="B75" s="87" t="s">
        <v>2436</v>
      </c>
      <c r="C75" s="97" t="s">
        <v>2291</v>
      </c>
      <c r="D75" s="84" t="s">
        <v>2335</v>
      </c>
      <c r="E75" s="84"/>
      <c r="F75" s="84" t="s">
        <v>671</v>
      </c>
      <c r="G75" s="107">
        <v>43738</v>
      </c>
      <c r="H75" s="84" t="s">
        <v>355</v>
      </c>
      <c r="I75" s="94">
        <v>1.0999999999999999</v>
      </c>
      <c r="J75" s="97" t="s">
        <v>167</v>
      </c>
      <c r="K75" s="98">
        <v>6.1839999999999999E-2</v>
      </c>
      <c r="L75" s="98">
        <v>6.4500000000000002E-2</v>
      </c>
      <c r="M75" s="94">
        <v>16329.84</v>
      </c>
      <c r="N75" s="96">
        <v>101.18</v>
      </c>
      <c r="O75" s="94">
        <v>57.101900000000001</v>
      </c>
      <c r="P75" s="95">
        <f t="shared" si="1"/>
        <v>2.0876571564165916E-3</v>
      </c>
      <c r="Q75" s="95">
        <f>O75/'סכום נכסי הקרן'!$C$42</f>
        <v>6.0084361410910425E-5</v>
      </c>
    </row>
    <row r="76" spans="2:17">
      <c r="B76" s="87" t="s">
        <v>2436</v>
      </c>
      <c r="C76" s="97" t="s">
        <v>2291</v>
      </c>
      <c r="D76" s="84">
        <v>6615</v>
      </c>
      <c r="E76" s="84"/>
      <c r="F76" s="84" t="s">
        <v>671</v>
      </c>
      <c r="G76" s="107">
        <v>43496</v>
      </c>
      <c r="H76" s="84" t="s">
        <v>355</v>
      </c>
      <c r="I76" s="94">
        <v>1.1000000000000001</v>
      </c>
      <c r="J76" s="97" t="s">
        <v>167</v>
      </c>
      <c r="K76" s="98">
        <v>6.1839999999999999E-2</v>
      </c>
      <c r="L76" s="98">
        <v>6.4500000000000002E-2</v>
      </c>
      <c r="M76" s="94">
        <v>11442.28</v>
      </c>
      <c r="N76" s="96">
        <v>101.18</v>
      </c>
      <c r="O76" s="94">
        <v>40.011139999999997</v>
      </c>
      <c r="P76" s="95">
        <f t="shared" si="1"/>
        <v>1.4628154712432711E-3</v>
      </c>
      <c r="Q76" s="95">
        <f>O76/'סכום נכסי הקרן'!$C$42</f>
        <v>4.2100942284276607E-5</v>
      </c>
    </row>
    <row r="77" spans="2:17">
      <c r="B77" s="87" t="s">
        <v>2436</v>
      </c>
      <c r="C77" s="97" t="s">
        <v>2291</v>
      </c>
      <c r="D77" s="84" t="s">
        <v>2336</v>
      </c>
      <c r="E77" s="84"/>
      <c r="F77" s="84" t="s">
        <v>671</v>
      </c>
      <c r="G77" s="107">
        <v>43496</v>
      </c>
      <c r="H77" s="84" t="s">
        <v>355</v>
      </c>
      <c r="I77" s="94">
        <v>1.0999999999999999</v>
      </c>
      <c r="J77" s="97" t="s">
        <v>167</v>
      </c>
      <c r="K77" s="98">
        <v>6.1839999999999999E-2</v>
      </c>
      <c r="L77" s="98">
        <v>6.4499999999999988E-2</v>
      </c>
      <c r="M77" s="94">
        <v>9886.32</v>
      </c>
      <c r="N77" s="96">
        <v>101.18</v>
      </c>
      <c r="O77" s="94">
        <v>34.570300000000003</v>
      </c>
      <c r="P77" s="95">
        <f t="shared" si="1"/>
        <v>1.2638972467548105E-3</v>
      </c>
      <c r="Q77" s="95">
        <f>O77/'סכום נכסי הקרן'!$C$42</f>
        <v>3.6375924431299078E-5</v>
      </c>
    </row>
    <row r="78" spans="2:17">
      <c r="B78" s="87" t="s">
        <v>2436</v>
      </c>
      <c r="C78" s="97" t="s">
        <v>2291</v>
      </c>
      <c r="D78" s="84">
        <v>6719</v>
      </c>
      <c r="E78" s="84"/>
      <c r="F78" s="84" t="s">
        <v>671</v>
      </c>
      <c r="G78" s="107">
        <v>43487</v>
      </c>
      <c r="H78" s="84" t="s">
        <v>355</v>
      </c>
      <c r="I78" s="94">
        <v>1.1000000000000001</v>
      </c>
      <c r="J78" s="97" t="s">
        <v>167</v>
      </c>
      <c r="K78" s="98">
        <v>6.1839999999999999E-2</v>
      </c>
      <c r="L78" s="98">
        <v>6.4500000000000002E-2</v>
      </c>
      <c r="M78" s="94">
        <v>4580.4399999999996</v>
      </c>
      <c r="N78" s="96">
        <v>101.18</v>
      </c>
      <c r="O78" s="94">
        <v>16.0168</v>
      </c>
      <c r="P78" s="95">
        <f t="shared" si="1"/>
        <v>5.8557748766491604E-4</v>
      </c>
      <c r="Q78" s="95">
        <f>O78/'סכום נכסי הקרן'!$C$42</f>
        <v>1.6853365647137313E-5</v>
      </c>
    </row>
    <row r="79" spans="2:17">
      <c r="B79" s="87" t="s">
        <v>2436</v>
      </c>
      <c r="C79" s="97" t="s">
        <v>2291</v>
      </c>
      <c r="D79" s="84">
        <v>6735</v>
      </c>
      <c r="E79" s="84"/>
      <c r="F79" s="84" t="s">
        <v>671</v>
      </c>
      <c r="G79" s="107">
        <v>43493</v>
      </c>
      <c r="H79" s="84" t="s">
        <v>355</v>
      </c>
      <c r="I79" s="94">
        <v>1.1000000000000001</v>
      </c>
      <c r="J79" s="97" t="s">
        <v>167</v>
      </c>
      <c r="K79" s="98">
        <v>6.1839999999999999E-2</v>
      </c>
      <c r="L79" s="98">
        <v>6.4500000000000002E-2</v>
      </c>
      <c r="M79" s="94">
        <v>11284.84</v>
      </c>
      <c r="N79" s="96">
        <v>101.18</v>
      </c>
      <c r="O79" s="94">
        <v>39.460599999999999</v>
      </c>
      <c r="P79" s="95">
        <f t="shared" si="1"/>
        <v>1.4426876161124683E-3</v>
      </c>
      <c r="Q79" s="95">
        <f>O79/'סכום נכסי הקרן'!$C$42</f>
        <v>4.1521647298800421E-5</v>
      </c>
    </row>
    <row r="80" spans="2:17">
      <c r="B80" s="87" t="s">
        <v>2436</v>
      </c>
      <c r="C80" s="97" t="s">
        <v>2291</v>
      </c>
      <c r="D80" s="84">
        <v>6956</v>
      </c>
      <c r="E80" s="84"/>
      <c r="F80" s="84" t="s">
        <v>671</v>
      </c>
      <c r="G80" s="107">
        <v>43628</v>
      </c>
      <c r="H80" s="84" t="s">
        <v>355</v>
      </c>
      <c r="I80" s="94">
        <v>1.1200000000000001</v>
      </c>
      <c r="J80" s="97" t="s">
        <v>167</v>
      </c>
      <c r="K80" s="98">
        <v>6.4340000000000008E-2</v>
      </c>
      <c r="L80" s="98">
        <v>6.6000000000000003E-2</v>
      </c>
      <c r="M80" s="94">
        <v>19484.830000000002</v>
      </c>
      <c r="N80" s="96">
        <v>101.18</v>
      </c>
      <c r="O80" s="94">
        <v>68.134179999999986</v>
      </c>
      <c r="P80" s="95">
        <f t="shared" si="1"/>
        <v>2.4909995722309799E-3</v>
      </c>
      <c r="Q80" s="95">
        <f>O80/'סכום נכסי הקרן'!$C$42</f>
        <v>7.169286303180847E-5</v>
      </c>
    </row>
    <row r="81" spans="2:17">
      <c r="B81" s="87" t="s">
        <v>2436</v>
      </c>
      <c r="C81" s="97" t="s">
        <v>2291</v>
      </c>
      <c r="D81" s="84">
        <v>6829</v>
      </c>
      <c r="E81" s="84"/>
      <c r="F81" s="84" t="s">
        <v>671</v>
      </c>
      <c r="G81" s="107">
        <v>43738</v>
      </c>
      <c r="H81" s="84" t="s">
        <v>355</v>
      </c>
      <c r="I81" s="94">
        <v>1.1000000000000001</v>
      </c>
      <c r="J81" s="97" t="s">
        <v>167</v>
      </c>
      <c r="K81" s="98">
        <v>6.1839999999999999E-2</v>
      </c>
      <c r="L81" s="98">
        <v>6.4500000000000002E-2</v>
      </c>
      <c r="M81" s="94">
        <v>7903.09</v>
      </c>
      <c r="N81" s="96">
        <v>101.18</v>
      </c>
      <c r="O81" s="94">
        <v>27.635380000000001</v>
      </c>
      <c r="P81" s="95">
        <f t="shared" si="1"/>
        <v>1.0103551515324701E-3</v>
      </c>
      <c r="Q81" s="95">
        <f>O81/'סכום נכסי הקרן'!$C$42</f>
        <v>2.9078790016581686E-5</v>
      </c>
    </row>
    <row r="82" spans="2:17">
      <c r="B82" s="87" t="s">
        <v>2436</v>
      </c>
      <c r="C82" s="97" t="s">
        <v>2291</v>
      </c>
      <c r="D82" s="84">
        <v>6886</v>
      </c>
      <c r="E82" s="84"/>
      <c r="F82" s="84" t="s">
        <v>671</v>
      </c>
      <c r="G82" s="107">
        <v>43578</v>
      </c>
      <c r="H82" s="84" t="s">
        <v>355</v>
      </c>
      <c r="I82" s="94">
        <v>1.1000000000000001</v>
      </c>
      <c r="J82" s="97" t="s">
        <v>167</v>
      </c>
      <c r="K82" s="98">
        <v>6.1839999999999999E-2</v>
      </c>
      <c r="L82" s="98">
        <v>6.54E-2</v>
      </c>
      <c r="M82" s="94">
        <v>5108.4799999999996</v>
      </c>
      <c r="N82" s="96">
        <v>101.18</v>
      </c>
      <c r="O82" s="94">
        <v>17.863229999999998</v>
      </c>
      <c r="P82" s="95">
        <f t="shared" si="1"/>
        <v>6.5308334654740996E-4</v>
      </c>
      <c r="Q82" s="95">
        <f>O82/'סכום נכסי הקרן'!$C$42</f>
        <v>1.8796235629396174E-5</v>
      </c>
    </row>
    <row r="83" spans="2:17">
      <c r="B83" s="87" t="s">
        <v>2436</v>
      </c>
      <c r="C83" s="97" t="s">
        <v>2291</v>
      </c>
      <c r="D83" s="84">
        <v>6889</v>
      </c>
      <c r="E83" s="84"/>
      <c r="F83" s="84" t="s">
        <v>671</v>
      </c>
      <c r="G83" s="107">
        <v>43584</v>
      </c>
      <c r="H83" s="84" t="s">
        <v>355</v>
      </c>
      <c r="I83" s="94">
        <v>1.1200000000000001</v>
      </c>
      <c r="J83" s="97" t="s">
        <v>167</v>
      </c>
      <c r="K83" s="98">
        <v>6.4340000000000008E-2</v>
      </c>
      <c r="L83" s="98">
        <v>6.6000000000000003E-2</v>
      </c>
      <c r="M83" s="94">
        <v>9765.76</v>
      </c>
      <c r="N83" s="96">
        <v>101.18</v>
      </c>
      <c r="O83" s="94">
        <v>34.148699999999998</v>
      </c>
      <c r="P83" s="95">
        <f t="shared" si="1"/>
        <v>1.2484834644262846E-3</v>
      </c>
      <c r="Q83" s="95">
        <f>O83/'סכום נכסי הקרן'!$C$42</f>
        <v>3.5932304047899577E-5</v>
      </c>
    </row>
    <row r="84" spans="2:17">
      <c r="B84" s="87" t="s">
        <v>2436</v>
      </c>
      <c r="C84" s="97" t="s">
        <v>2291</v>
      </c>
      <c r="D84" s="84">
        <v>6926</v>
      </c>
      <c r="E84" s="84"/>
      <c r="F84" s="84" t="s">
        <v>671</v>
      </c>
      <c r="G84" s="107">
        <v>43738</v>
      </c>
      <c r="H84" s="84" t="s">
        <v>355</v>
      </c>
      <c r="I84" s="94">
        <v>1.1199999999999999</v>
      </c>
      <c r="J84" s="97" t="s">
        <v>167</v>
      </c>
      <c r="K84" s="98">
        <v>6.4340000000000008E-2</v>
      </c>
      <c r="L84" s="98">
        <v>6.6000000000000003E-2</v>
      </c>
      <c r="M84" s="94">
        <v>4304.8</v>
      </c>
      <c r="N84" s="96">
        <v>101.18</v>
      </c>
      <c r="O84" s="94">
        <v>15.052950000000001</v>
      </c>
      <c r="P84" s="95">
        <f t="shared" si="1"/>
        <v>5.5033893430308167E-4</v>
      </c>
      <c r="Q84" s="95">
        <f>O84/'סכום נכסי הקרן'!$C$42</f>
        <v>1.5839173269197068E-5</v>
      </c>
    </row>
    <row r="85" spans="2:17">
      <c r="B85" s="87" t="s">
        <v>2436</v>
      </c>
      <c r="C85" s="97" t="s">
        <v>2291</v>
      </c>
      <c r="D85" s="84">
        <v>7112</v>
      </c>
      <c r="E85" s="84"/>
      <c r="F85" s="84" t="s">
        <v>671</v>
      </c>
      <c r="G85" s="107">
        <v>43761</v>
      </c>
      <c r="H85" s="84" t="s">
        <v>355</v>
      </c>
      <c r="I85" s="94">
        <v>1.1000000000000001</v>
      </c>
      <c r="J85" s="97" t="s">
        <v>167</v>
      </c>
      <c r="K85" s="98">
        <v>6.1839999999999999E-2</v>
      </c>
      <c r="L85" s="98">
        <v>6.5400000000000014E-2</v>
      </c>
      <c r="M85" s="94">
        <v>2363.62</v>
      </c>
      <c r="N85" s="96">
        <v>101.18</v>
      </c>
      <c r="O85" s="94">
        <v>8.2650600000000001</v>
      </c>
      <c r="P85" s="95">
        <f t="shared" si="1"/>
        <v>3.0217228598720036E-4</v>
      </c>
      <c r="Q85" s="95">
        <f>O85/'סכום נכסי הקרן'!$C$42</f>
        <v>8.6967483064987201E-6</v>
      </c>
    </row>
    <row r="86" spans="2:17">
      <c r="B86" s="87" t="s">
        <v>2436</v>
      </c>
      <c r="C86" s="97" t="s">
        <v>2291</v>
      </c>
      <c r="D86" s="84">
        <v>7236</v>
      </c>
      <c r="E86" s="84"/>
      <c r="F86" s="84" t="s">
        <v>671</v>
      </c>
      <c r="G86" s="107">
        <v>43761</v>
      </c>
      <c r="H86" s="84" t="s">
        <v>355</v>
      </c>
      <c r="I86" s="94">
        <v>1.1000000000000001</v>
      </c>
      <c r="J86" s="97" t="s">
        <v>167</v>
      </c>
      <c r="K86" s="98">
        <v>6.1839999999999999E-2</v>
      </c>
      <c r="L86" s="98">
        <v>6.54E-2</v>
      </c>
      <c r="M86" s="94">
        <v>5988.72</v>
      </c>
      <c r="N86" s="96">
        <v>101.18</v>
      </c>
      <c r="O86" s="94">
        <v>20.94125</v>
      </c>
      <c r="P86" s="95">
        <f t="shared" si="1"/>
        <v>7.6561638801526661E-4</v>
      </c>
      <c r="Q86" s="95">
        <f>O86/'סכום נכסי הקרן'!$C$42</f>
        <v>2.2035022186586225E-5</v>
      </c>
    </row>
    <row r="87" spans="2:17">
      <c r="B87" s="87" t="s">
        <v>2436</v>
      </c>
      <c r="C87" s="97" t="s">
        <v>2291</v>
      </c>
      <c r="D87" s="84" t="s">
        <v>2337</v>
      </c>
      <c r="E87" s="84"/>
      <c r="F87" s="84" t="s">
        <v>671</v>
      </c>
      <c r="G87" s="107">
        <v>43761</v>
      </c>
      <c r="H87" s="84" t="s">
        <v>355</v>
      </c>
      <c r="I87" s="94">
        <v>1.1000000000000001</v>
      </c>
      <c r="J87" s="97" t="s">
        <v>167</v>
      </c>
      <c r="K87" s="98">
        <v>6.1839999999999999E-2</v>
      </c>
      <c r="L87" s="98">
        <v>6.5400000000000014E-2</v>
      </c>
      <c r="M87" s="94">
        <v>7731.65</v>
      </c>
      <c r="N87" s="96">
        <v>101.18</v>
      </c>
      <c r="O87" s="94">
        <v>27.035910000000001</v>
      </c>
      <c r="P87" s="95">
        <f t="shared" si="1"/>
        <v>9.8843840558256201E-4</v>
      </c>
      <c r="Q87" s="95">
        <f>O87/'סכום נכסי הקרן'!$C$42</f>
        <v>2.8448009392206691E-5</v>
      </c>
    </row>
    <row r="88" spans="2:17">
      <c r="B88" s="87" t="s">
        <v>2436</v>
      </c>
      <c r="C88" s="97" t="s">
        <v>2291</v>
      </c>
      <c r="D88" s="84">
        <v>7058</v>
      </c>
      <c r="E88" s="84"/>
      <c r="F88" s="84" t="s">
        <v>671</v>
      </c>
      <c r="G88" s="107">
        <v>43761</v>
      </c>
      <c r="H88" s="84" t="s">
        <v>355</v>
      </c>
      <c r="I88" s="94">
        <v>1.1000000000000001</v>
      </c>
      <c r="J88" s="97" t="s">
        <v>167</v>
      </c>
      <c r="K88" s="98">
        <v>6.1839999999999999E-2</v>
      </c>
      <c r="L88" s="98">
        <v>6.54E-2</v>
      </c>
      <c r="M88" s="94">
        <v>302.20999999999998</v>
      </c>
      <c r="N88" s="96">
        <v>101.18</v>
      </c>
      <c r="O88" s="94">
        <v>1.0567800000000001</v>
      </c>
      <c r="P88" s="95">
        <f t="shared" si="1"/>
        <v>3.8636093190558034E-5</v>
      </c>
      <c r="Q88" s="95">
        <f>O88/'סכום נכסי הקרן'!$C$42</f>
        <v>1.1119761593190755E-6</v>
      </c>
    </row>
    <row r="89" spans="2:17">
      <c r="B89" s="87" t="s">
        <v>2436</v>
      </c>
      <c r="C89" s="97" t="s">
        <v>2291</v>
      </c>
      <c r="D89" s="84">
        <v>7078</v>
      </c>
      <c r="E89" s="84"/>
      <c r="F89" s="84" t="s">
        <v>671</v>
      </c>
      <c r="G89" s="107">
        <v>43677</v>
      </c>
      <c r="H89" s="84" t="s">
        <v>355</v>
      </c>
      <c r="I89" s="94">
        <v>1.1000000000000001</v>
      </c>
      <c r="J89" s="97" t="s">
        <v>167</v>
      </c>
      <c r="K89" s="98">
        <v>6.1839999999999999E-2</v>
      </c>
      <c r="L89" s="98">
        <v>6.5399999999999986E-2</v>
      </c>
      <c r="M89" s="94">
        <v>5439.95</v>
      </c>
      <c r="N89" s="96">
        <v>101.18</v>
      </c>
      <c r="O89" s="94">
        <v>19.022310000000001</v>
      </c>
      <c r="P89" s="95">
        <f t="shared" si="1"/>
        <v>6.9545954868533095E-4</v>
      </c>
      <c r="Q89" s="95">
        <f>O89/'סכום נכסי הקרן'!$C$42</f>
        <v>2.0015854969981304E-5</v>
      </c>
    </row>
    <row r="90" spans="2:17">
      <c r="B90" s="87" t="s">
        <v>2437</v>
      </c>
      <c r="C90" s="97" t="s">
        <v>2289</v>
      </c>
      <c r="D90" s="84" t="s">
        <v>2338</v>
      </c>
      <c r="E90" s="84"/>
      <c r="F90" s="84" t="s">
        <v>2330</v>
      </c>
      <c r="G90" s="107">
        <v>42978</v>
      </c>
      <c r="H90" s="84" t="s">
        <v>2288</v>
      </c>
      <c r="I90" s="94">
        <v>2.77</v>
      </c>
      <c r="J90" s="97" t="s">
        <v>168</v>
      </c>
      <c r="K90" s="98">
        <v>2.4500000000000001E-2</v>
      </c>
      <c r="L90" s="98">
        <v>1.89E-2</v>
      </c>
      <c r="M90" s="94">
        <v>27819.08</v>
      </c>
      <c r="N90" s="96">
        <v>102.38</v>
      </c>
      <c r="O90" s="94">
        <v>28.481529999999999</v>
      </c>
      <c r="P90" s="95">
        <f t="shared" si="1"/>
        <v>1.0412905687935752E-3</v>
      </c>
      <c r="Q90" s="95">
        <f>O90/'סכום נכסי הקרן'!$C$42</f>
        <v>2.9969134863387866E-5</v>
      </c>
    </row>
    <row r="91" spans="2:17">
      <c r="B91" s="87" t="s">
        <v>2437</v>
      </c>
      <c r="C91" s="97" t="s">
        <v>2289</v>
      </c>
      <c r="D91" s="84" t="s">
        <v>2339</v>
      </c>
      <c r="E91" s="84"/>
      <c r="F91" s="84" t="s">
        <v>2330</v>
      </c>
      <c r="G91" s="107">
        <v>42978</v>
      </c>
      <c r="H91" s="84" t="s">
        <v>2288</v>
      </c>
      <c r="I91" s="94">
        <v>2.7700000000000005</v>
      </c>
      <c r="J91" s="97" t="s">
        <v>168</v>
      </c>
      <c r="K91" s="98">
        <v>2.76E-2</v>
      </c>
      <c r="L91" s="98">
        <v>1.9799999999999998E-2</v>
      </c>
      <c r="M91" s="94">
        <v>64911.16</v>
      </c>
      <c r="N91" s="96">
        <v>103.11</v>
      </c>
      <c r="O91" s="94">
        <v>66.929899999999989</v>
      </c>
      <c r="P91" s="95">
        <f t="shared" si="1"/>
        <v>2.4469708488377238E-3</v>
      </c>
      <c r="Q91" s="95">
        <f>O91/'סכום נכסי הקרן'!$C$42</f>
        <v>7.0425682872130225E-5</v>
      </c>
    </row>
    <row r="92" spans="2:17">
      <c r="B92" s="87" t="s">
        <v>2438</v>
      </c>
      <c r="C92" s="97" t="s">
        <v>2291</v>
      </c>
      <c r="D92" s="84" t="s">
        <v>2340</v>
      </c>
      <c r="E92" s="84"/>
      <c r="F92" s="84" t="s">
        <v>663</v>
      </c>
      <c r="G92" s="107">
        <v>43552</v>
      </c>
      <c r="H92" s="84" t="s">
        <v>164</v>
      </c>
      <c r="I92" s="94">
        <v>6.83</v>
      </c>
      <c r="J92" s="97" t="s">
        <v>168</v>
      </c>
      <c r="K92" s="98">
        <v>3.5499999999999997E-2</v>
      </c>
      <c r="L92" s="98">
        <v>3.0200000000000001E-2</v>
      </c>
      <c r="M92" s="94">
        <v>808583.56</v>
      </c>
      <c r="N92" s="96">
        <v>103.88</v>
      </c>
      <c r="O92" s="94">
        <v>839.95659999999998</v>
      </c>
      <c r="P92" s="95">
        <f t="shared" si="1"/>
        <v>3.0708985288919435E-2</v>
      </c>
      <c r="Q92" s="95">
        <f>O92/'סכום נכסי הקרן'!$C$42</f>
        <v>8.8382796235991312E-4</v>
      </c>
    </row>
    <row r="93" spans="2:17">
      <c r="B93" s="87" t="s">
        <v>2439</v>
      </c>
      <c r="C93" s="97" t="s">
        <v>2291</v>
      </c>
      <c r="D93" s="84" t="s">
        <v>2341</v>
      </c>
      <c r="E93" s="84"/>
      <c r="F93" s="84" t="s">
        <v>663</v>
      </c>
      <c r="G93" s="107">
        <v>43321</v>
      </c>
      <c r="H93" s="84" t="s">
        <v>164</v>
      </c>
      <c r="I93" s="94">
        <v>0.11000000000000001</v>
      </c>
      <c r="J93" s="97" t="s">
        <v>168</v>
      </c>
      <c r="K93" s="98">
        <v>2.75E-2</v>
      </c>
      <c r="L93" s="98">
        <v>1.89E-2</v>
      </c>
      <c r="M93" s="94">
        <v>9998.01</v>
      </c>
      <c r="N93" s="96">
        <v>100.26</v>
      </c>
      <c r="O93" s="94">
        <v>10.023999999999999</v>
      </c>
      <c r="P93" s="95">
        <f t="shared" ref="P93:P109" si="2">O93/$O$10</f>
        <v>3.6647949255488724E-4</v>
      </c>
      <c r="Q93" s="95">
        <f>O93/'סכום נכסי הקרן'!$C$42</f>
        <v>1.0547558641358098E-5</v>
      </c>
    </row>
    <row r="94" spans="2:17">
      <c r="B94" s="87" t="s">
        <v>2439</v>
      </c>
      <c r="C94" s="97" t="s">
        <v>2291</v>
      </c>
      <c r="D94" s="84" t="s">
        <v>2342</v>
      </c>
      <c r="E94" s="84"/>
      <c r="F94" s="84" t="s">
        <v>663</v>
      </c>
      <c r="G94" s="107">
        <v>43779</v>
      </c>
      <c r="H94" s="84" t="s">
        <v>164</v>
      </c>
      <c r="I94" s="94">
        <v>8.9099999999999984</v>
      </c>
      <c r="J94" s="97" t="s">
        <v>168</v>
      </c>
      <c r="K94" s="98">
        <v>2.7243E-2</v>
      </c>
      <c r="L94" s="98">
        <v>2.4699999999999996E-2</v>
      </c>
      <c r="M94" s="94">
        <v>34511.32</v>
      </c>
      <c r="N94" s="96">
        <v>101.38</v>
      </c>
      <c r="O94" s="94">
        <v>34.987580000000001</v>
      </c>
      <c r="P94" s="95">
        <f t="shared" si="2"/>
        <v>1.2791530889987553E-3</v>
      </c>
      <c r="Q94" s="95">
        <f>O94/'סכום נכסי הקרן'!$C$42</f>
        <v>3.6814999178891444E-5</v>
      </c>
    </row>
    <row r="95" spans="2:17">
      <c r="B95" s="87" t="s">
        <v>2439</v>
      </c>
      <c r="C95" s="97" t="s">
        <v>2291</v>
      </c>
      <c r="D95" s="84" t="s">
        <v>2343</v>
      </c>
      <c r="E95" s="84"/>
      <c r="F95" s="84" t="s">
        <v>663</v>
      </c>
      <c r="G95" s="107">
        <v>43227</v>
      </c>
      <c r="H95" s="84" t="s">
        <v>164</v>
      </c>
      <c r="I95" s="94">
        <v>9.07</v>
      </c>
      <c r="J95" s="97" t="s">
        <v>168</v>
      </c>
      <c r="K95" s="98">
        <v>2.9805999999999999E-2</v>
      </c>
      <c r="L95" s="98">
        <v>1.6E-2</v>
      </c>
      <c r="M95" s="94">
        <v>11351.5</v>
      </c>
      <c r="N95" s="96">
        <v>113.98</v>
      </c>
      <c r="O95" s="94">
        <v>12.93844</v>
      </c>
      <c r="P95" s="95">
        <f t="shared" si="2"/>
        <v>4.7303201572743966E-4</v>
      </c>
      <c r="Q95" s="95">
        <f>O95/'סכום נכסי הקרן'!$C$42</f>
        <v>1.3614221331573553E-5</v>
      </c>
    </row>
    <row r="96" spans="2:17">
      <c r="B96" s="87" t="s">
        <v>2439</v>
      </c>
      <c r="C96" s="97" t="s">
        <v>2291</v>
      </c>
      <c r="D96" s="84" t="s">
        <v>2344</v>
      </c>
      <c r="E96" s="84"/>
      <c r="F96" s="84" t="s">
        <v>663</v>
      </c>
      <c r="G96" s="107">
        <v>43279</v>
      </c>
      <c r="H96" s="84" t="s">
        <v>164</v>
      </c>
      <c r="I96" s="94">
        <v>9.1000000000000014</v>
      </c>
      <c r="J96" s="97" t="s">
        <v>168</v>
      </c>
      <c r="K96" s="98">
        <v>2.9796999999999997E-2</v>
      </c>
      <c r="L96" s="98">
        <v>1.52E-2</v>
      </c>
      <c r="M96" s="94">
        <v>13275.92</v>
      </c>
      <c r="N96" s="96">
        <v>113.83</v>
      </c>
      <c r="O96" s="94">
        <v>15.111979999999999</v>
      </c>
      <c r="P96" s="95">
        <f t="shared" si="2"/>
        <v>5.5249708319030371E-4</v>
      </c>
      <c r="Q96" s="95">
        <f>O96/'סכום נכסי הקרן'!$C$42</f>
        <v>1.5901286436256064E-5</v>
      </c>
    </row>
    <row r="97" spans="2:17">
      <c r="B97" s="87" t="s">
        <v>2439</v>
      </c>
      <c r="C97" s="97" t="s">
        <v>2291</v>
      </c>
      <c r="D97" s="84" t="s">
        <v>2345</v>
      </c>
      <c r="E97" s="84"/>
      <c r="F97" s="84" t="s">
        <v>663</v>
      </c>
      <c r="G97" s="107">
        <v>43321</v>
      </c>
      <c r="H97" s="84" t="s">
        <v>164</v>
      </c>
      <c r="I97" s="94">
        <v>9.1</v>
      </c>
      <c r="J97" s="97" t="s">
        <v>168</v>
      </c>
      <c r="K97" s="98">
        <v>3.0529000000000001E-2</v>
      </c>
      <c r="L97" s="98">
        <v>1.46E-2</v>
      </c>
      <c r="M97" s="94">
        <v>74369.789999999994</v>
      </c>
      <c r="N97" s="96">
        <v>114.97</v>
      </c>
      <c r="O97" s="94">
        <v>85.502949999999998</v>
      </c>
      <c r="P97" s="95">
        <f t="shared" si="2"/>
        <v>3.1260053599307556E-3</v>
      </c>
      <c r="Q97" s="95">
        <f>O97/'סכום נכסי הקרן'!$C$42</f>
        <v>8.9968812762780285E-5</v>
      </c>
    </row>
    <row r="98" spans="2:17">
      <c r="B98" s="87" t="s">
        <v>2439</v>
      </c>
      <c r="C98" s="97" t="s">
        <v>2291</v>
      </c>
      <c r="D98" s="84" t="s">
        <v>2346</v>
      </c>
      <c r="E98" s="84"/>
      <c r="F98" s="84" t="s">
        <v>663</v>
      </c>
      <c r="G98" s="107">
        <v>43138</v>
      </c>
      <c r="H98" s="84" t="s">
        <v>164</v>
      </c>
      <c r="I98" s="94">
        <v>9.0399999999999991</v>
      </c>
      <c r="J98" s="97" t="s">
        <v>168</v>
      </c>
      <c r="K98" s="98">
        <v>2.8243000000000001E-2</v>
      </c>
      <c r="L98" s="98">
        <v>1.84E-2</v>
      </c>
      <c r="M98" s="94">
        <v>71175.570000000007</v>
      </c>
      <c r="N98" s="96">
        <v>109.97</v>
      </c>
      <c r="O98" s="94">
        <v>78.271770000000004</v>
      </c>
      <c r="P98" s="95">
        <f t="shared" si="2"/>
        <v>2.8616319384450169E-3</v>
      </c>
      <c r="Q98" s="95">
        <f>O98/'סכום נכסי הקרן'!$C$42</f>
        <v>8.2359944536900817E-5</v>
      </c>
    </row>
    <row r="99" spans="2:17">
      <c r="B99" s="87" t="s">
        <v>2439</v>
      </c>
      <c r="C99" s="97" t="s">
        <v>2291</v>
      </c>
      <c r="D99" s="84" t="s">
        <v>2347</v>
      </c>
      <c r="E99" s="84"/>
      <c r="F99" s="84" t="s">
        <v>663</v>
      </c>
      <c r="G99" s="107">
        <v>43417</v>
      </c>
      <c r="H99" s="84" t="s">
        <v>164</v>
      </c>
      <c r="I99" s="94">
        <v>9.009999999999998</v>
      </c>
      <c r="J99" s="97" t="s">
        <v>168</v>
      </c>
      <c r="K99" s="98">
        <v>3.2797E-2</v>
      </c>
      <c r="L99" s="98">
        <v>1.5600000000000001E-2</v>
      </c>
      <c r="M99" s="94">
        <v>84673.38</v>
      </c>
      <c r="N99" s="96">
        <v>115.93</v>
      </c>
      <c r="O99" s="94">
        <v>98.161850000000001</v>
      </c>
      <c r="P99" s="95">
        <f t="shared" si="2"/>
        <v>3.5888173360184516E-3</v>
      </c>
      <c r="Q99" s="95">
        <f>O99/'סכום נכסי הקרן'!$C$42</f>
        <v>1.0328889357733416E-4</v>
      </c>
    </row>
    <row r="100" spans="2:17">
      <c r="B100" s="87" t="s">
        <v>2439</v>
      </c>
      <c r="C100" s="97" t="s">
        <v>2291</v>
      </c>
      <c r="D100" s="84" t="s">
        <v>2348</v>
      </c>
      <c r="E100" s="84"/>
      <c r="F100" s="84" t="s">
        <v>663</v>
      </c>
      <c r="G100" s="107">
        <v>43496</v>
      </c>
      <c r="H100" s="84" t="s">
        <v>164</v>
      </c>
      <c r="I100" s="94">
        <v>9.09</v>
      </c>
      <c r="J100" s="97" t="s">
        <v>168</v>
      </c>
      <c r="K100" s="98">
        <v>3.2190999999999997E-2</v>
      </c>
      <c r="L100" s="98">
        <v>1.3500000000000002E-2</v>
      </c>
      <c r="M100" s="94">
        <v>107001.61</v>
      </c>
      <c r="N100" s="96">
        <v>117.92</v>
      </c>
      <c r="O100" s="94">
        <v>126.17631</v>
      </c>
      <c r="P100" s="95">
        <f t="shared" si="2"/>
        <v>4.61303172997288E-3</v>
      </c>
      <c r="Q100" s="95">
        <f>O100/'סכום נכסי הקרן'!$C$42</f>
        <v>1.3276656313599146E-4</v>
      </c>
    </row>
    <row r="101" spans="2:17">
      <c r="B101" s="87" t="s">
        <v>2439</v>
      </c>
      <c r="C101" s="97" t="s">
        <v>2291</v>
      </c>
      <c r="D101" s="84" t="s">
        <v>2349</v>
      </c>
      <c r="E101" s="84"/>
      <c r="F101" s="84" t="s">
        <v>663</v>
      </c>
      <c r="G101" s="107">
        <v>43613</v>
      </c>
      <c r="H101" s="84" t="s">
        <v>164</v>
      </c>
      <c r="I101" s="94">
        <v>9.129999999999999</v>
      </c>
      <c r="J101" s="97" t="s">
        <v>168</v>
      </c>
      <c r="K101" s="98">
        <v>2.7243E-2</v>
      </c>
      <c r="L101" s="98">
        <v>1.6200000000000003E-2</v>
      </c>
      <c r="M101" s="94">
        <v>28241.43</v>
      </c>
      <c r="N101" s="96">
        <v>109.69</v>
      </c>
      <c r="O101" s="94">
        <v>30.97803</v>
      </c>
      <c r="P101" s="95">
        <f t="shared" si="2"/>
        <v>1.1325631199870386E-3</v>
      </c>
      <c r="Q101" s="95">
        <f>O101/'סכום נכסי הקרן'!$C$42</f>
        <v>3.2596028333873751E-5</v>
      </c>
    </row>
    <row r="102" spans="2:17">
      <c r="B102" s="87" t="s">
        <v>2439</v>
      </c>
      <c r="C102" s="97" t="s">
        <v>2291</v>
      </c>
      <c r="D102" s="84" t="s">
        <v>2350</v>
      </c>
      <c r="E102" s="84"/>
      <c r="F102" s="84" t="s">
        <v>663</v>
      </c>
      <c r="G102" s="107">
        <v>43677</v>
      </c>
      <c r="H102" s="84" t="s">
        <v>164</v>
      </c>
      <c r="I102" s="94">
        <v>9.0400000000000009</v>
      </c>
      <c r="J102" s="97" t="s">
        <v>168</v>
      </c>
      <c r="K102" s="98">
        <v>2.7243E-2</v>
      </c>
      <c r="L102" s="98">
        <v>1.9199999999999998E-2</v>
      </c>
      <c r="M102" s="94">
        <v>27863.13</v>
      </c>
      <c r="N102" s="96">
        <v>106.79</v>
      </c>
      <c r="O102" s="94">
        <v>29.755040000000001</v>
      </c>
      <c r="P102" s="95">
        <f t="shared" si="2"/>
        <v>1.0878503551626469E-3</v>
      </c>
      <c r="Q102" s="95">
        <f>O102/'סכום נכסי הקרן'!$C$42</f>
        <v>3.1309160941336384E-5</v>
      </c>
    </row>
    <row r="103" spans="2:17">
      <c r="B103" s="87" t="s">
        <v>2439</v>
      </c>
      <c r="C103" s="97" t="s">
        <v>2291</v>
      </c>
      <c r="D103" s="84" t="s">
        <v>2351</v>
      </c>
      <c r="E103" s="84"/>
      <c r="F103" s="84" t="s">
        <v>663</v>
      </c>
      <c r="G103" s="107">
        <v>43541</v>
      </c>
      <c r="H103" s="84" t="s">
        <v>164</v>
      </c>
      <c r="I103" s="94">
        <v>9.11</v>
      </c>
      <c r="J103" s="97" t="s">
        <v>168</v>
      </c>
      <c r="K103" s="98">
        <v>2.9270999999999998E-2</v>
      </c>
      <c r="L103" s="98">
        <v>1.5300000000000001E-2</v>
      </c>
      <c r="M103" s="94">
        <v>9188.74</v>
      </c>
      <c r="N103" s="96">
        <v>113.23</v>
      </c>
      <c r="O103" s="94">
        <v>10.40441</v>
      </c>
      <c r="P103" s="95">
        <f t="shared" si="2"/>
        <v>3.8038736004918143E-4</v>
      </c>
      <c r="Q103" s="95">
        <f>O103/'סכום נכסי הקרן'!$C$42</f>
        <v>1.0947837650013231E-5</v>
      </c>
    </row>
    <row r="104" spans="2:17">
      <c r="B104" s="87" t="s">
        <v>2440</v>
      </c>
      <c r="C104" s="97" t="s">
        <v>2291</v>
      </c>
      <c r="D104" s="84" t="s">
        <v>2352</v>
      </c>
      <c r="E104" s="84"/>
      <c r="F104" s="84" t="s">
        <v>936</v>
      </c>
      <c r="G104" s="107">
        <v>43803</v>
      </c>
      <c r="H104" s="84"/>
      <c r="I104" s="94">
        <v>7</v>
      </c>
      <c r="J104" s="97" t="s">
        <v>169</v>
      </c>
      <c r="K104" s="98">
        <v>2.3629999999999998E-2</v>
      </c>
      <c r="L104" s="98">
        <v>2.5899999999999999E-2</v>
      </c>
      <c r="M104" s="94">
        <v>676470.74</v>
      </c>
      <c r="N104" s="96">
        <v>99.04</v>
      </c>
      <c r="O104" s="94">
        <v>2598.30321</v>
      </c>
      <c r="P104" s="95">
        <f t="shared" si="2"/>
        <v>9.4994497396701377E-2</v>
      </c>
      <c r="Q104" s="95">
        <f>O104/'סכום נכסי הקרן'!$C$42</f>
        <v>2.7340139141564237E-3</v>
      </c>
    </row>
    <row r="105" spans="2:17">
      <c r="B105" s="87" t="s">
        <v>2441</v>
      </c>
      <c r="C105" s="97" t="s">
        <v>2289</v>
      </c>
      <c r="D105" s="84">
        <v>7202</v>
      </c>
      <c r="E105" s="84"/>
      <c r="F105" s="84" t="s">
        <v>936</v>
      </c>
      <c r="G105" s="107">
        <v>43734</v>
      </c>
      <c r="H105" s="84"/>
      <c r="I105" s="94">
        <v>2.2800000000000002</v>
      </c>
      <c r="J105" s="97" t="s">
        <v>168</v>
      </c>
      <c r="K105" s="98">
        <v>2.2499999999999999E-2</v>
      </c>
      <c r="L105" s="98">
        <v>1.9900000000000001E-2</v>
      </c>
      <c r="M105" s="94">
        <v>250598.89</v>
      </c>
      <c r="N105" s="96">
        <v>100.63</v>
      </c>
      <c r="O105" s="94">
        <v>252.17767999999998</v>
      </c>
      <c r="P105" s="95">
        <f t="shared" si="2"/>
        <v>9.2196676177243343E-3</v>
      </c>
      <c r="Q105" s="95">
        <f>O105/'סכום נכסי הקרן'!$C$42</f>
        <v>2.6534904906640438E-4</v>
      </c>
    </row>
    <row r="106" spans="2:17">
      <c r="B106" s="87" t="s">
        <v>2441</v>
      </c>
      <c r="C106" s="97" t="s">
        <v>2289</v>
      </c>
      <c r="D106" s="84">
        <v>7203</v>
      </c>
      <c r="E106" s="84"/>
      <c r="F106" s="84" t="s">
        <v>936</v>
      </c>
      <c r="G106" s="107">
        <v>43734</v>
      </c>
      <c r="H106" s="84"/>
      <c r="I106" s="94">
        <v>0.42000000000000004</v>
      </c>
      <c r="J106" s="97" t="s">
        <v>168</v>
      </c>
      <c r="K106" s="98">
        <v>0.02</v>
      </c>
      <c r="L106" s="98">
        <v>1.6200000000000003E-2</v>
      </c>
      <c r="M106" s="94">
        <v>83867.28</v>
      </c>
      <c r="N106" s="96">
        <v>100.16</v>
      </c>
      <c r="O106" s="94">
        <v>84.001469999999998</v>
      </c>
      <c r="P106" s="95">
        <f t="shared" si="2"/>
        <v>3.0711109436816226E-3</v>
      </c>
      <c r="Q106" s="95">
        <f>O106/'סכום נכסי הקרן'!$C$42</f>
        <v>8.8388909695259695E-5</v>
      </c>
    </row>
    <row r="107" spans="2:17">
      <c r="B107" s="87" t="s">
        <v>2441</v>
      </c>
      <c r="C107" s="97" t="s">
        <v>2289</v>
      </c>
      <c r="D107" s="84">
        <v>7250</v>
      </c>
      <c r="E107" s="84"/>
      <c r="F107" s="84" t="s">
        <v>936</v>
      </c>
      <c r="G107" s="107">
        <v>43768</v>
      </c>
      <c r="H107" s="84"/>
      <c r="I107" s="94">
        <v>2.2799999999999998</v>
      </c>
      <c r="J107" s="97" t="s">
        <v>168</v>
      </c>
      <c r="K107" s="98">
        <v>2.2499999999999999E-2</v>
      </c>
      <c r="L107" s="98">
        <v>2.1899999999999999E-2</v>
      </c>
      <c r="M107" s="94">
        <v>133660.75</v>
      </c>
      <c r="N107" s="96">
        <v>100.17</v>
      </c>
      <c r="O107" s="94">
        <v>133.88798</v>
      </c>
      <c r="P107" s="95">
        <f t="shared" si="2"/>
        <v>4.8949719642456995E-3</v>
      </c>
      <c r="Q107" s="95">
        <f>O107/'סכום נכסי הקרן'!$C$42</f>
        <v>1.4088101760005789E-4</v>
      </c>
    </row>
    <row r="108" spans="2:17">
      <c r="B108" s="87" t="s">
        <v>2441</v>
      </c>
      <c r="C108" s="97" t="s">
        <v>2289</v>
      </c>
      <c r="D108" s="84">
        <v>7251</v>
      </c>
      <c r="E108" s="84"/>
      <c r="F108" s="84" t="s">
        <v>936</v>
      </c>
      <c r="G108" s="107">
        <v>43768</v>
      </c>
      <c r="H108" s="84"/>
      <c r="I108" s="94">
        <v>0.42000000000000004</v>
      </c>
      <c r="J108" s="97" t="s">
        <v>168</v>
      </c>
      <c r="K108" s="98">
        <v>0.02</v>
      </c>
      <c r="L108" s="98">
        <v>2.23E-2</v>
      </c>
      <c r="M108" s="94">
        <v>51319.41</v>
      </c>
      <c r="N108" s="96">
        <v>99.91</v>
      </c>
      <c r="O108" s="94">
        <v>51.273220000000002</v>
      </c>
      <c r="P108" s="95">
        <f t="shared" si="2"/>
        <v>1.8745594221124399E-3</v>
      </c>
      <c r="Q108" s="95">
        <f>O108/'סכום נכסי הקרן'!$C$42</f>
        <v>5.3951246476581704E-5</v>
      </c>
    </row>
    <row r="109" spans="2:17">
      <c r="B109" s="87" t="s">
        <v>2442</v>
      </c>
      <c r="C109" s="97" t="s">
        <v>2289</v>
      </c>
      <c r="D109" s="84">
        <v>6718</v>
      </c>
      <c r="E109" s="84"/>
      <c r="F109" s="84" t="s">
        <v>936</v>
      </c>
      <c r="G109" s="107">
        <v>43482</v>
      </c>
      <c r="H109" s="84"/>
      <c r="I109" s="94">
        <v>3.7100000000000004</v>
      </c>
      <c r="J109" s="97" t="s">
        <v>168</v>
      </c>
      <c r="K109" s="98">
        <v>4.1239999999999999E-2</v>
      </c>
      <c r="L109" s="98">
        <v>1.9200000000000005E-2</v>
      </c>
      <c r="M109" s="94">
        <v>1182810.6100000001</v>
      </c>
      <c r="N109" s="96">
        <v>108.36</v>
      </c>
      <c r="O109" s="94">
        <v>1281.69363</v>
      </c>
      <c r="P109" s="95">
        <f t="shared" si="2"/>
        <v>4.6858981557584937E-2</v>
      </c>
      <c r="Q109" s="95">
        <f>O109/'סכום נכסי הקרן'!$C$42</f>
        <v>1.3486371431245144E-3</v>
      </c>
    </row>
    <row r="110" spans="2:17">
      <c r="B110" s="83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94"/>
      <c r="N110" s="96"/>
      <c r="O110" s="84"/>
      <c r="P110" s="95"/>
      <c r="Q110" s="84"/>
    </row>
    <row r="111" spans="2:17">
      <c r="B111" s="81" t="s">
        <v>41</v>
      </c>
      <c r="C111" s="82"/>
      <c r="D111" s="82"/>
      <c r="E111" s="82"/>
      <c r="F111" s="82"/>
      <c r="G111" s="82"/>
      <c r="H111" s="82"/>
      <c r="I111" s="91">
        <v>4.7158359698988903</v>
      </c>
      <c r="J111" s="82"/>
      <c r="K111" s="82"/>
      <c r="L111" s="104">
        <v>3.7941280940554691E-2</v>
      </c>
      <c r="M111" s="91"/>
      <c r="N111" s="93"/>
      <c r="O111" s="91">
        <f>O112</f>
        <v>9674.1668099999988</v>
      </c>
      <c r="P111" s="92">
        <f t="shared" ref="P111:P148" si="3">O111/$O$10</f>
        <v>0.35368951949522465</v>
      </c>
      <c r="Q111" s="92">
        <f>O111/'סכום נכסי הקרן'!$C$42</f>
        <v>1.0179453485111255E-2</v>
      </c>
    </row>
    <row r="112" spans="2:17">
      <c r="B112" s="102" t="s">
        <v>39</v>
      </c>
      <c r="C112" s="82"/>
      <c r="D112" s="82"/>
      <c r="E112" s="82"/>
      <c r="F112" s="82"/>
      <c r="G112" s="82"/>
      <c r="H112" s="82"/>
      <c r="I112" s="91">
        <v>4.7158359698988903</v>
      </c>
      <c r="J112" s="82"/>
      <c r="K112" s="82"/>
      <c r="L112" s="104">
        <v>3.7941280940554691E-2</v>
      </c>
      <c r="M112" s="91"/>
      <c r="N112" s="93"/>
      <c r="O112" s="91">
        <f>SUM(O113:O148)</f>
        <v>9674.1668099999988</v>
      </c>
      <c r="P112" s="92">
        <f t="shared" si="3"/>
        <v>0.35368951949522465</v>
      </c>
      <c r="Q112" s="92">
        <f>O112/'סכום נכסי הקרן'!$C$42</f>
        <v>1.0179453485111255E-2</v>
      </c>
    </row>
    <row r="113" spans="2:17">
      <c r="B113" s="87" t="s">
        <v>2443</v>
      </c>
      <c r="C113" s="97" t="s">
        <v>2289</v>
      </c>
      <c r="D113" s="84" t="s">
        <v>2353</v>
      </c>
      <c r="E113" s="84"/>
      <c r="F113" s="84" t="s">
        <v>1776</v>
      </c>
      <c r="G113" s="107">
        <v>43754</v>
      </c>
      <c r="H113" s="84" t="s">
        <v>355</v>
      </c>
      <c r="I113" s="94">
        <v>5.73</v>
      </c>
      <c r="J113" s="97" t="s">
        <v>167</v>
      </c>
      <c r="K113" s="98">
        <v>4.8000000000000001E-2</v>
      </c>
      <c r="L113" s="98">
        <v>3.2600000000000004E-2</v>
      </c>
      <c r="M113" s="94">
        <v>370197</v>
      </c>
      <c r="N113" s="96">
        <v>110.59</v>
      </c>
      <c r="O113" s="94">
        <v>1414.8894399999999</v>
      </c>
      <c r="P113" s="95">
        <f t="shared" si="3"/>
        <v>5.1728647644899095E-2</v>
      </c>
      <c r="Q113" s="95">
        <f>O113/'סכום נכסי הקרן'!$C$42</f>
        <v>1.4887898383318357E-3</v>
      </c>
    </row>
    <row r="114" spans="2:17">
      <c r="B114" s="87" t="s">
        <v>2443</v>
      </c>
      <c r="C114" s="97" t="s">
        <v>2289</v>
      </c>
      <c r="D114" s="84">
        <v>6831</v>
      </c>
      <c r="E114" s="84"/>
      <c r="F114" s="84" t="s">
        <v>1776</v>
      </c>
      <c r="G114" s="107">
        <v>43754</v>
      </c>
      <c r="H114" s="84" t="s">
        <v>355</v>
      </c>
      <c r="I114" s="94">
        <v>5.7200000000000006</v>
      </c>
      <c r="J114" s="97" t="s">
        <v>167</v>
      </c>
      <c r="K114" s="98">
        <v>4.5999999999999999E-2</v>
      </c>
      <c r="L114" s="98">
        <v>3.6799999999999999E-2</v>
      </c>
      <c r="M114" s="94">
        <v>248761.08</v>
      </c>
      <c r="N114" s="96">
        <v>106.85</v>
      </c>
      <c r="O114" s="94">
        <v>918.60897999999997</v>
      </c>
      <c r="P114" s="95">
        <f t="shared" si="3"/>
        <v>3.3584532406899695E-2</v>
      </c>
      <c r="Q114" s="95">
        <f>O114/'סכום נכסי הקרן'!$C$42</f>
        <v>9.6658839635157124E-4</v>
      </c>
    </row>
    <row r="115" spans="2:17">
      <c r="B115" s="87" t="s">
        <v>2444</v>
      </c>
      <c r="C115" s="97" t="s">
        <v>2291</v>
      </c>
      <c r="D115" s="84" t="s">
        <v>2354</v>
      </c>
      <c r="E115" s="84"/>
      <c r="F115" s="84" t="s">
        <v>1006</v>
      </c>
      <c r="G115" s="107">
        <v>43830</v>
      </c>
      <c r="H115" s="84" t="s">
        <v>955</v>
      </c>
      <c r="I115" s="94">
        <v>9.86</v>
      </c>
      <c r="J115" s="97" t="s">
        <v>167</v>
      </c>
      <c r="K115" s="98">
        <v>4.4800000000000006E-2</v>
      </c>
      <c r="L115" s="98">
        <v>4.4299999999999999E-2</v>
      </c>
      <c r="M115" s="94">
        <v>113360.58</v>
      </c>
      <c r="N115" s="96">
        <v>101.8</v>
      </c>
      <c r="O115" s="94">
        <v>398.8261</v>
      </c>
      <c r="P115" s="95">
        <f t="shared" si="3"/>
        <v>1.4581163881249472E-2</v>
      </c>
      <c r="Q115" s="95">
        <f>O115/'סכום נכסי הקרן'!$C$42</f>
        <v>4.1965699096709394E-4</v>
      </c>
    </row>
    <row r="116" spans="2:17">
      <c r="B116" s="87" t="s">
        <v>2445</v>
      </c>
      <c r="C116" s="97" t="s">
        <v>2291</v>
      </c>
      <c r="D116" s="84">
        <v>7258</v>
      </c>
      <c r="E116" s="84"/>
      <c r="F116" s="84" t="s">
        <v>936</v>
      </c>
      <c r="G116" s="107">
        <v>43774</v>
      </c>
      <c r="H116" s="84"/>
      <c r="I116" s="94">
        <v>5.28</v>
      </c>
      <c r="J116" s="97" t="s">
        <v>167</v>
      </c>
      <c r="K116" s="98">
        <v>4.0548000000000001E-2</v>
      </c>
      <c r="L116" s="98">
        <v>3.78E-2</v>
      </c>
      <c r="M116" s="94">
        <v>84158.89</v>
      </c>
      <c r="N116" s="96">
        <v>102.54</v>
      </c>
      <c r="O116" s="94">
        <v>298.24079999999998</v>
      </c>
      <c r="P116" s="95">
        <f t="shared" si="3"/>
        <v>1.0903744716995572E-2</v>
      </c>
      <c r="Q116" s="95">
        <f>O116/'סכום נכסי הקרן'!$C$42</f>
        <v>3.1381806935809581E-4</v>
      </c>
    </row>
    <row r="117" spans="2:17">
      <c r="B117" s="87" t="s">
        <v>2446</v>
      </c>
      <c r="C117" s="97" t="s">
        <v>2291</v>
      </c>
      <c r="D117" s="84">
        <v>7030</v>
      </c>
      <c r="E117" s="84"/>
      <c r="F117" s="84" t="s">
        <v>936</v>
      </c>
      <c r="G117" s="107">
        <v>43649</v>
      </c>
      <c r="H117" s="84"/>
      <c r="I117" s="94">
        <v>1.3399999999999999</v>
      </c>
      <c r="J117" s="97" t="s">
        <v>167</v>
      </c>
      <c r="K117" s="98">
        <v>4.2645999999999996E-2</v>
      </c>
      <c r="L117" s="98">
        <v>4.0999999999999995E-2</v>
      </c>
      <c r="M117" s="94">
        <v>29029.84</v>
      </c>
      <c r="N117" s="96">
        <v>100.49</v>
      </c>
      <c r="O117" s="94">
        <v>100.81874000000001</v>
      </c>
      <c r="P117" s="95">
        <f t="shared" si="3"/>
        <v>3.6859537784540218E-3</v>
      </c>
      <c r="Q117" s="95">
        <f>O117/'סכום נכסי הקרן'!$C$42</f>
        <v>1.0608455429946484E-4</v>
      </c>
    </row>
    <row r="118" spans="2:17">
      <c r="B118" s="87" t="s">
        <v>2446</v>
      </c>
      <c r="C118" s="97" t="s">
        <v>2291</v>
      </c>
      <c r="D118" s="84">
        <v>7059</v>
      </c>
      <c r="E118" s="84"/>
      <c r="F118" s="84" t="s">
        <v>936</v>
      </c>
      <c r="G118" s="107">
        <v>43668</v>
      </c>
      <c r="H118" s="84"/>
      <c r="I118" s="94">
        <v>1.34</v>
      </c>
      <c r="J118" s="97" t="s">
        <v>167</v>
      </c>
      <c r="K118" s="98">
        <v>4.2645999999999996E-2</v>
      </c>
      <c r="L118" s="98">
        <v>4.0999999999999995E-2</v>
      </c>
      <c r="M118" s="94">
        <v>6502.32</v>
      </c>
      <c r="N118" s="96">
        <v>100.49</v>
      </c>
      <c r="O118" s="94">
        <v>22.58212</v>
      </c>
      <c r="P118" s="95">
        <f t="shared" si="3"/>
        <v>8.2560693120646155E-4</v>
      </c>
      <c r="Q118" s="95">
        <f>O118/'סכום נכסי הקרן'!$C$42</f>
        <v>2.3761595665022503E-5</v>
      </c>
    </row>
    <row r="119" spans="2:17">
      <c r="B119" s="87" t="s">
        <v>2446</v>
      </c>
      <c r="C119" s="97" t="s">
        <v>2291</v>
      </c>
      <c r="D119" s="84">
        <v>7107</v>
      </c>
      <c r="E119" s="84"/>
      <c r="F119" s="84" t="s">
        <v>936</v>
      </c>
      <c r="G119" s="107">
        <v>43697</v>
      </c>
      <c r="H119" s="84"/>
      <c r="I119" s="94">
        <v>1.34</v>
      </c>
      <c r="J119" s="97" t="s">
        <v>167</v>
      </c>
      <c r="K119" s="98">
        <v>4.2645999999999996E-2</v>
      </c>
      <c r="L119" s="98">
        <v>4.1000000000000009E-2</v>
      </c>
      <c r="M119" s="94">
        <v>10006.5</v>
      </c>
      <c r="N119" s="96">
        <v>100.49</v>
      </c>
      <c r="O119" s="94">
        <v>34.751949999999994</v>
      </c>
      <c r="P119" s="95">
        <f t="shared" si="3"/>
        <v>1.2705384079502006E-3</v>
      </c>
      <c r="Q119" s="95">
        <f>O119/'סכום נכסי הקרן'!$C$42</f>
        <v>3.6567062103605804E-5</v>
      </c>
    </row>
    <row r="120" spans="2:17">
      <c r="B120" s="87" t="s">
        <v>2446</v>
      </c>
      <c r="C120" s="97" t="s">
        <v>2291</v>
      </c>
      <c r="D120" s="84">
        <v>7182</v>
      </c>
      <c r="E120" s="84"/>
      <c r="F120" s="84" t="s">
        <v>936</v>
      </c>
      <c r="G120" s="107">
        <v>43728</v>
      </c>
      <c r="H120" s="84"/>
      <c r="I120" s="94">
        <v>1.3399999999999999</v>
      </c>
      <c r="J120" s="97" t="s">
        <v>167</v>
      </c>
      <c r="K120" s="98">
        <v>4.2645999999999996E-2</v>
      </c>
      <c r="L120" s="98">
        <v>4.0999999999999995E-2</v>
      </c>
      <c r="M120" s="94">
        <v>14246.03</v>
      </c>
      <c r="N120" s="96">
        <v>100.49</v>
      </c>
      <c r="O120" s="94">
        <v>49.475499999999997</v>
      </c>
      <c r="P120" s="95">
        <f t="shared" si="3"/>
        <v>1.8088344108040026E-3</v>
      </c>
      <c r="Q120" s="95">
        <f>O120/'סכום נכסי הקרן'!$C$42</f>
        <v>5.205963064250924E-5</v>
      </c>
    </row>
    <row r="121" spans="2:17">
      <c r="B121" s="87" t="s">
        <v>2446</v>
      </c>
      <c r="C121" s="97" t="s">
        <v>2291</v>
      </c>
      <c r="D121" s="84">
        <v>7223</v>
      </c>
      <c r="E121" s="84"/>
      <c r="F121" s="84" t="s">
        <v>936</v>
      </c>
      <c r="G121" s="107">
        <v>43759</v>
      </c>
      <c r="H121" s="84"/>
      <c r="I121" s="94">
        <v>1.3399999999999999</v>
      </c>
      <c r="J121" s="97" t="s">
        <v>167</v>
      </c>
      <c r="K121" s="98">
        <v>4.2645999999999996E-2</v>
      </c>
      <c r="L121" s="98">
        <v>4.1000000000000009E-2</v>
      </c>
      <c r="M121" s="94">
        <v>17840.41</v>
      </c>
      <c r="N121" s="96">
        <v>100.49</v>
      </c>
      <c r="O121" s="94">
        <v>61.958580000000005</v>
      </c>
      <c r="P121" s="95">
        <f t="shared" si="3"/>
        <v>2.2652183716900826E-3</v>
      </c>
      <c r="Q121" s="95">
        <f>O121/'סכום נכסי הקרן'!$C$42</f>
        <v>6.5194708288634991E-5</v>
      </c>
    </row>
    <row r="122" spans="2:17">
      <c r="B122" s="87" t="s">
        <v>2446</v>
      </c>
      <c r="C122" s="97" t="s">
        <v>2291</v>
      </c>
      <c r="D122" s="84">
        <v>7272</v>
      </c>
      <c r="E122" s="84"/>
      <c r="F122" s="84" t="s">
        <v>936</v>
      </c>
      <c r="G122" s="107">
        <v>43799</v>
      </c>
      <c r="H122" s="84"/>
      <c r="I122" s="94">
        <v>1.34</v>
      </c>
      <c r="J122" s="97" t="s">
        <v>167</v>
      </c>
      <c r="K122" s="98">
        <v>4.2645999999999996E-2</v>
      </c>
      <c r="L122" s="98">
        <v>4.1000000000000009E-2</v>
      </c>
      <c r="M122" s="94">
        <v>23659.42</v>
      </c>
      <c r="N122" s="96">
        <v>100.49</v>
      </c>
      <c r="O122" s="94">
        <v>82.167619999999999</v>
      </c>
      <c r="P122" s="95">
        <f t="shared" si="3"/>
        <v>3.0040650121750602E-3</v>
      </c>
      <c r="Q122" s="95">
        <f>O122/'סכום נכסי הקרן'!$C$42</f>
        <v>8.6459276772828079E-5</v>
      </c>
    </row>
    <row r="123" spans="2:17">
      <c r="B123" s="87" t="s">
        <v>2446</v>
      </c>
      <c r="C123" s="97" t="s">
        <v>2291</v>
      </c>
      <c r="D123" s="84">
        <v>7313</v>
      </c>
      <c r="E123" s="84"/>
      <c r="F123" s="84" t="s">
        <v>936</v>
      </c>
      <c r="G123" s="107">
        <v>43819</v>
      </c>
      <c r="H123" s="84"/>
      <c r="I123" s="94">
        <v>1.34</v>
      </c>
      <c r="J123" s="97" t="s">
        <v>167</v>
      </c>
      <c r="K123" s="98">
        <v>4.2645999999999996E-2</v>
      </c>
      <c r="L123" s="98">
        <v>4.1000000000000009E-2</v>
      </c>
      <c r="M123" s="94">
        <v>22888.3</v>
      </c>
      <c r="N123" s="96">
        <v>100.49</v>
      </c>
      <c r="O123" s="94">
        <v>79.489589999999993</v>
      </c>
      <c r="P123" s="95">
        <f t="shared" si="3"/>
        <v>2.9061556870107778E-3</v>
      </c>
      <c r="Q123" s="95">
        <f>O123/'סכום נכסי הקרן'!$C$42</f>
        <v>8.3641371897696755E-5</v>
      </c>
    </row>
    <row r="124" spans="2:17">
      <c r="B124" s="87" t="s">
        <v>2447</v>
      </c>
      <c r="C124" s="97" t="s">
        <v>2291</v>
      </c>
      <c r="D124" s="84">
        <v>7276</v>
      </c>
      <c r="E124" s="84"/>
      <c r="F124" s="84" t="s">
        <v>936</v>
      </c>
      <c r="G124" s="107">
        <v>43798</v>
      </c>
      <c r="H124" s="84"/>
      <c r="I124" s="94">
        <v>6.32</v>
      </c>
      <c r="J124" s="97" t="s">
        <v>169</v>
      </c>
      <c r="K124" s="98">
        <v>2.6249999999999999E-2</v>
      </c>
      <c r="L124" s="98">
        <v>2.7300000000000001E-2</v>
      </c>
      <c r="M124" s="94">
        <v>72751.05</v>
      </c>
      <c r="N124" s="96">
        <v>99.75</v>
      </c>
      <c r="O124" s="94">
        <v>281.43779999999998</v>
      </c>
      <c r="P124" s="95">
        <f t="shared" si="3"/>
        <v>1.0289423596345156E-2</v>
      </c>
      <c r="Q124" s="95">
        <f>O124/'סכום נכסי הקרן'!$C$42</f>
        <v>2.9613744008328137E-4</v>
      </c>
    </row>
    <row r="125" spans="2:17">
      <c r="B125" s="87" t="s">
        <v>2447</v>
      </c>
      <c r="C125" s="97" t="s">
        <v>2291</v>
      </c>
      <c r="D125" s="84">
        <v>7275</v>
      </c>
      <c r="E125" s="84"/>
      <c r="F125" s="84" t="s">
        <v>936</v>
      </c>
      <c r="G125" s="107">
        <v>43799</v>
      </c>
      <c r="H125" s="84"/>
      <c r="I125" s="94">
        <v>6.1199999999999992</v>
      </c>
      <c r="J125" s="97" t="s">
        <v>170</v>
      </c>
      <c r="K125" s="98">
        <v>3.6693999999999997E-2</v>
      </c>
      <c r="L125" s="98">
        <v>3.7099999999999994E-2</v>
      </c>
      <c r="M125" s="94">
        <v>68363.990000000005</v>
      </c>
      <c r="N125" s="96">
        <v>100.07</v>
      </c>
      <c r="O125" s="94">
        <v>311.93752000000001</v>
      </c>
      <c r="P125" s="95">
        <f t="shared" si="3"/>
        <v>1.14044996047915E-2</v>
      </c>
      <c r="Q125" s="95">
        <f>O125/'סכום נכסי הקרן'!$C$42</f>
        <v>3.2823017604148195E-4</v>
      </c>
    </row>
    <row r="126" spans="2:17">
      <c r="B126" s="87" t="s">
        <v>2448</v>
      </c>
      <c r="C126" s="97" t="s">
        <v>2291</v>
      </c>
      <c r="D126" s="84">
        <v>7088</v>
      </c>
      <c r="E126" s="84"/>
      <c r="F126" s="84" t="s">
        <v>936</v>
      </c>
      <c r="G126" s="107">
        <v>43684</v>
      </c>
      <c r="H126" s="84"/>
      <c r="I126" s="94">
        <v>8.6900000000000013</v>
      </c>
      <c r="J126" s="97" t="s">
        <v>167</v>
      </c>
      <c r="K126" s="98">
        <v>4.36E-2</v>
      </c>
      <c r="L126" s="98">
        <v>3.9299999999999995E-2</v>
      </c>
      <c r="M126" s="94">
        <v>326691.59000000003</v>
      </c>
      <c r="N126" s="96">
        <v>106.45</v>
      </c>
      <c r="O126" s="94">
        <v>1201.8696499999999</v>
      </c>
      <c r="P126" s="95">
        <f t="shared" si="3"/>
        <v>4.3940600503703103E-2</v>
      </c>
      <c r="Q126" s="95">
        <f>O126/'סכום נכסי הקרן'!$C$42</f>
        <v>1.2646439158662743E-3</v>
      </c>
    </row>
    <row r="127" spans="2:17">
      <c r="B127" s="87" t="s">
        <v>2449</v>
      </c>
      <c r="C127" s="97" t="s">
        <v>2291</v>
      </c>
      <c r="D127" s="84" t="s">
        <v>2355</v>
      </c>
      <c r="E127" s="84"/>
      <c r="F127" s="84" t="s">
        <v>936</v>
      </c>
      <c r="G127" s="107">
        <v>43797</v>
      </c>
      <c r="H127" s="84"/>
      <c r="I127" s="94">
        <v>6.06</v>
      </c>
      <c r="J127" s="97" t="s">
        <v>167</v>
      </c>
      <c r="K127" s="98">
        <v>4.7100000000000003E-2</v>
      </c>
      <c r="L127" s="98">
        <v>4.5899999999999996E-2</v>
      </c>
      <c r="M127" s="94">
        <v>6711.6</v>
      </c>
      <c r="N127" s="96">
        <v>103.01</v>
      </c>
      <c r="O127" s="94">
        <v>23.89348</v>
      </c>
      <c r="P127" s="95">
        <f t="shared" si="3"/>
        <v>8.7355052132585267E-4</v>
      </c>
      <c r="Q127" s="95">
        <f>O127/'סכום נכסי הקרן'!$C$42</f>
        <v>2.5141448667808952E-5</v>
      </c>
    </row>
    <row r="128" spans="2:17">
      <c r="B128" s="87" t="s">
        <v>2449</v>
      </c>
      <c r="C128" s="97" t="s">
        <v>2291</v>
      </c>
      <c r="D128" s="84">
        <v>7125</v>
      </c>
      <c r="E128" s="84"/>
      <c r="F128" s="84" t="s">
        <v>936</v>
      </c>
      <c r="G128" s="107">
        <v>43706</v>
      </c>
      <c r="H128" s="84"/>
      <c r="I128" s="94">
        <v>6.0600000000000005</v>
      </c>
      <c r="J128" s="97" t="s">
        <v>167</v>
      </c>
      <c r="K128" s="98">
        <v>4.7100000000000003E-2</v>
      </c>
      <c r="L128" s="98">
        <v>4.590000000000001E-2</v>
      </c>
      <c r="M128" s="94">
        <v>15670.43</v>
      </c>
      <c r="N128" s="96">
        <v>103.01</v>
      </c>
      <c r="O128" s="94">
        <v>55.787129999999998</v>
      </c>
      <c r="P128" s="95">
        <f t="shared" si="3"/>
        <v>2.0395888959989553E-3</v>
      </c>
      <c r="Q128" s="95">
        <f>O128/'סכום נכסי הקרן'!$C$42</f>
        <v>5.8700920302081772E-5</v>
      </c>
    </row>
    <row r="129" spans="2:17">
      <c r="B129" s="87" t="s">
        <v>2449</v>
      </c>
      <c r="C129" s="97" t="s">
        <v>2291</v>
      </c>
      <c r="D129" s="84">
        <v>7204</v>
      </c>
      <c r="E129" s="84"/>
      <c r="F129" s="84" t="s">
        <v>936</v>
      </c>
      <c r="G129" s="107">
        <v>43738</v>
      </c>
      <c r="H129" s="84"/>
      <c r="I129" s="94">
        <v>6.0600000000000005</v>
      </c>
      <c r="J129" s="97" t="s">
        <v>167</v>
      </c>
      <c r="K129" s="98">
        <v>4.7100000000000003E-2</v>
      </c>
      <c r="L129" s="98">
        <v>4.590000000000001E-2</v>
      </c>
      <c r="M129" s="94">
        <v>7715.02</v>
      </c>
      <c r="N129" s="96">
        <v>103.01</v>
      </c>
      <c r="O129" s="94">
        <v>27.46566</v>
      </c>
      <c r="P129" s="95">
        <f t="shared" si="3"/>
        <v>1.0041501535799147E-3</v>
      </c>
      <c r="Q129" s="95">
        <f>O129/'סכום נכסי הקרן'!$C$42</f>
        <v>2.8900205454270104E-5</v>
      </c>
    </row>
    <row r="130" spans="2:17">
      <c r="B130" s="87" t="s">
        <v>2449</v>
      </c>
      <c r="C130" s="97" t="s">
        <v>2291</v>
      </c>
      <c r="D130" s="84">
        <v>7246</v>
      </c>
      <c r="E130" s="84"/>
      <c r="F130" s="84" t="s">
        <v>936</v>
      </c>
      <c r="G130" s="107">
        <v>43769</v>
      </c>
      <c r="H130" s="84"/>
      <c r="I130" s="94">
        <v>6.0599999999999987</v>
      </c>
      <c r="J130" s="97" t="s">
        <v>167</v>
      </c>
      <c r="K130" s="98">
        <v>4.7100000000000003E-2</v>
      </c>
      <c r="L130" s="98">
        <v>4.5899999999999989E-2</v>
      </c>
      <c r="M130" s="94">
        <v>14603.87</v>
      </c>
      <c r="N130" s="96">
        <v>103.01</v>
      </c>
      <c r="O130" s="94">
        <v>51.990160000000003</v>
      </c>
      <c r="P130" s="95">
        <f t="shared" si="3"/>
        <v>1.9007708953159815E-3</v>
      </c>
      <c r="Q130" s="95">
        <f>O130/'סכום נכסי הקרן'!$C$42</f>
        <v>5.4705632619073248E-5</v>
      </c>
    </row>
    <row r="131" spans="2:17">
      <c r="B131" s="87" t="s">
        <v>2449</v>
      </c>
      <c r="C131" s="97" t="s">
        <v>2291</v>
      </c>
      <c r="D131" s="84">
        <v>7280</v>
      </c>
      <c r="E131" s="84"/>
      <c r="F131" s="84" t="s">
        <v>936</v>
      </c>
      <c r="G131" s="107">
        <v>43798</v>
      </c>
      <c r="H131" s="84"/>
      <c r="I131" s="94">
        <v>6.0600000000000014</v>
      </c>
      <c r="J131" s="97" t="s">
        <v>167</v>
      </c>
      <c r="K131" s="98">
        <v>4.7100000000000003E-2</v>
      </c>
      <c r="L131" s="98">
        <v>4.5899999999999996E-2</v>
      </c>
      <c r="M131" s="94">
        <v>2639.56</v>
      </c>
      <c r="N131" s="96">
        <v>103.01</v>
      </c>
      <c r="O131" s="94">
        <v>9.3969000000000005</v>
      </c>
      <c r="P131" s="95">
        <f t="shared" si="3"/>
        <v>3.4355258814734838E-4</v>
      </c>
      <c r="Q131" s="95">
        <f>O131/'סכום נכסי הקרן'!$C$42</f>
        <v>9.8877048879666728E-6</v>
      </c>
    </row>
    <row r="132" spans="2:17">
      <c r="B132" s="87" t="s">
        <v>2449</v>
      </c>
      <c r="C132" s="97" t="s">
        <v>2291</v>
      </c>
      <c r="D132" s="84">
        <v>7337</v>
      </c>
      <c r="E132" s="84"/>
      <c r="F132" s="84" t="s">
        <v>936</v>
      </c>
      <c r="G132" s="107">
        <v>43830</v>
      </c>
      <c r="H132" s="84"/>
      <c r="I132" s="94">
        <v>6.04</v>
      </c>
      <c r="J132" s="97" t="s">
        <v>167</v>
      </c>
      <c r="K132" s="98">
        <v>4.7994000000000002E-2</v>
      </c>
      <c r="L132" s="98">
        <v>5.1000000000000004E-2</v>
      </c>
      <c r="M132" s="94">
        <v>17711.36</v>
      </c>
      <c r="N132" s="96">
        <v>100</v>
      </c>
      <c r="O132" s="94">
        <v>61.210459999999998</v>
      </c>
      <c r="P132" s="95">
        <f t="shared" si="3"/>
        <v>2.2378669513019975E-3</v>
      </c>
      <c r="Q132" s="95">
        <f>O132/'סכום נכסי הקרן'!$C$42</f>
        <v>6.4407513598813281E-5</v>
      </c>
    </row>
    <row r="133" spans="2:17">
      <c r="B133" s="87" t="s">
        <v>2450</v>
      </c>
      <c r="C133" s="97" t="s">
        <v>2291</v>
      </c>
      <c r="D133" s="84">
        <v>6954</v>
      </c>
      <c r="E133" s="84"/>
      <c r="F133" s="84" t="s">
        <v>936</v>
      </c>
      <c r="G133" s="107">
        <v>43644</v>
      </c>
      <c r="H133" s="84"/>
      <c r="I133" s="94">
        <v>5.73</v>
      </c>
      <c r="J133" s="97" t="s">
        <v>167</v>
      </c>
      <c r="K133" s="98">
        <v>4.9446000000000004E-2</v>
      </c>
      <c r="L133" s="98">
        <v>4.6699999999999998E-2</v>
      </c>
      <c r="M133" s="94">
        <v>26864.84</v>
      </c>
      <c r="N133" s="96">
        <v>102.15</v>
      </c>
      <c r="O133" s="94">
        <v>94.841030000000003</v>
      </c>
      <c r="P133" s="95">
        <f t="shared" si="3"/>
        <v>3.4674074768338827E-3</v>
      </c>
      <c r="Q133" s="95">
        <f>O133/'סכום נכסי הקרן'!$C$42</f>
        <v>9.9794625452095253E-5</v>
      </c>
    </row>
    <row r="134" spans="2:17">
      <c r="B134" s="87" t="s">
        <v>2450</v>
      </c>
      <c r="C134" s="97" t="s">
        <v>2291</v>
      </c>
      <c r="D134" s="84">
        <v>7020</v>
      </c>
      <c r="E134" s="84"/>
      <c r="F134" s="84" t="s">
        <v>936</v>
      </c>
      <c r="G134" s="107">
        <v>43643</v>
      </c>
      <c r="H134" s="84"/>
      <c r="I134" s="94">
        <v>5.7399999999999993</v>
      </c>
      <c r="J134" s="97" t="s">
        <v>167</v>
      </c>
      <c r="K134" s="98">
        <v>4.9446000000000004E-2</v>
      </c>
      <c r="L134" s="98">
        <v>4.5200000000000004E-2</v>
      </c>
      <c r="M134" s="94">
        <v>2686.48</v>
      </c>
      <c r="N134" s="96">
        <v>102.15</v>
      </c>
      <c r="O134" s="94">
        <v>9.4840999999999998</v>
      </c>
      <c r="P134" s="95">
        <f t="shared" si="3"/>
        <v>3.4674063800277393E-4</v>
      </c>
      <c r="Q134" s="95">
        <f>O134/'סכום נכסי הקרן'!$C$42</f>
        <v>9.9794593885179915E-6</v>
      </c>
    </row>
    <row r="135" spans="2:17">
      <c r="B135" s="87" t="s">
        <v>2450</v>
      </c>
      <c r="C135" s="97" t="s">
        <v>2291</v>
      </c>
      <c r="D135" s="84">
        <v>7082</v>
      </c>
      <c r="E135" s="84"/>
      <c r="F135" s="84" t="s">
        <v>936</v>
      </c>
      <c r="G135" s="107">
        <v>43682</v>
      </c>
      <c r="H135" s="84"/>
      <c r="I135" s="94">
        <v>5.75</v>
      </c>
      <c r="J135" s="97" t="s">
        <v>167</v>
      </c>
      <c r="K135" s="98">
        <v>4.9446000000000004E-2</v>
      </c>
      <c r="L135" s="98">
        <v>4.5200000000000004E-2</v>
      </c>
      <c r="M135" s="94">
        <v>1790.99</v>
      </c>
      <c r="N135" s="96">
        <v>102.15</v>
      </c>
      <c r="O135" s="94">
        <v>6.3227500000000001</v>
      </c>
      <c r="P135" s="95">
        <f t="shared" si="3"/>
        <v>2.311610346719287E-4</v>
      </c>
      <c r="Q135" s="95">
        <f>O135/'סכום נכסי הקרן'!$C$42</f>
        <v>6.6529904628538439E-6</v>
      </c>
    </row>
    <row r="136" spans="2:17">
      <c r="B136" s="87" t="s">
        <v>2450</v>
      </c>
      <c r="C136" s="97" t="s">
        <v>2291</v>
      </c>
      <c r="D136" s="84">
        <v>7144</v>
      </c>
      <c r="E136" s="84"/>
      <c r="F136" s="84" t="s">
        <v>936</v>
      </c>
      <c r="G136" s="107">
        <v>43738</v>
      </c>
      <c r="H136" s="84"/>
      <c r="I136" s="94">
        <v>5.72</v>
      </c>
      <c r="J136" s="97" t="s">
        <v>167</v>
      </c>
      <c r="K136" s="98">
        <v>4.7994000000000002E-2</v>
      </c>
      <c r="L136" s="98">
        <v>4.5200000000000004E-2</v>
      </c>
      <c r="M136" s="94">
        <v>6178.91</v>
      </c>
      <c r="N136" s="96">
        <v>102.15</v>
      </c>
      <c r="O136" s="94">
        <v>21.813400000000001</v>
      </c>
      <c r="P136" s="95">
        <f t="shared" si="3"/>
        <v>7.9750237060023719E-4</v>
      </c>
      <c r="Q136" s="95">
        <f>O136/'סכום נכסי הקרן'!$C$42</f>
        <v>2.2952725026676056E-5</v>
      </c>
    </row>
    <row r="137" spans="2:17">
      <c r="B137" s="87" t="s">
        <v>2450</v>
      </c>
      <c r="C137" s="97" t="s">
        <v>2291</v>
      </c>
      <c r="D137" s="84">
        <v>7196</v>
      </c>
      <c r="E137" s="84"/>
      <c r="F137" s="84" t="s">
        <v>936</v>
      </c>
      <c r="G137" s="107">
        <v>43735</v>
      </c>
      <c r="H137" s="84"/>
      <c r="I137" s="94">
        <v>5.7499999999999991</v>
      </c>
      <c r="J137" s="97" t="s">
        <v>167</v>
      </c>
      <c r="K137" s="98">
        <v>4.9446000000000004E-2</v>
      </c>
      <c r="L137" s="98">
        <v>4.5200000000000004E-2</v>
      </c>
      <c r="M137" s="94">
        <v>10208.64</v>
      </c>
      <c r="N137" s="96">
        <v>102.15</v>
      </c>
      <c r="O137" s="94">
        <v>36.039580000000001</v>
      </c>
      <c r="P137" s="95">
        <f t="shared" si="3"/>
        <v>1.3176144244105412E-3</v>
      </c>
      <c r="Q137" s="95">
        <f>O137/'סכום נכסי הקרן'!$C$42</f>
        <v>3.7921945676368375E-5</v>
      </c>
    </row>
    <row r="138" spans="2:17">
      <c r="B138" s="87" t="s">
        <v>2450</v>
      </c>
      <c r="C138" s="97" t="s">
        <v>2291</v>
      </c>
      <c r="D138" s="84">
        <v>7257</v>
      </c>
      <c r="E138" s="84"/>
      <c r="F138" s="84" t="s">
        <v>936</v>
      </c>
      <c r="G138" s="107">
        <v>43774</v>
      </c>
      <c r="H138" s="84"/>
      <c r="I138" s="94">
        <v>5.7499999999999991</v>
      </c>
      <c r="J138" s="97" t="s">
        <v>167</v>
      </c>
      <c r="K138" s="98">
        <v>4.9446000000000004E-2</v>
      </c>
      <c r="L138" s="98">
        <v>4.5199999999999997E-2</v>
      </c>
      <c r="M138" s="94">
        <v>1970.09</v>
      </c>
      <c r="N138" s="96">
        <v>102.15</v>
      </c>
      <c r="O138" s="94">
        <v>6.9550200000000002</v>
      </c>
      <c r="P138" s="95">
        <f t="shared" si="3"/>
        <v>2.5427695533809775E-4</v>
      </c>
      <c r="Q138" s="95">
        <f>O138/'סכום נכסי הקרן'!$C$42</f>
        <v>7.3182842479866731E-6</v>
      </c>
    </row>
    <row r="139" spans="2:17">
      <c r="B139" s="87" t="s">
        <v>2450</v>
      </c>
      <c r="C139" s="97" t="s">
        <v>2291</v>
      </c>
      <c r="D139" s="84">
        <v>7301</v>
      </c>
      <c r="E139" s="84"/>
      <c r="F139" s="84" t="s">
        <v>936</v>
      </c>
      <c r="G139" s="107">
        <v>43804</v>
      </c>
      <c r="H139" s="84"/>
      <c r="I139" s="94">
        <v>5.7200000000000006</v>
      </c>
      <c r="J139" s="97" t="s">
        <v>167</v>
      </c>
      <c r="K139" s="98">
        <v>4.7994000000000002E-2</v>
      </c>
      <c r="L139" s="98">
        <v>4.5199999999999997E-2</v>
      </c>
      <c r="M139" s="94">
        <v>30446.81</v>
      </c>
      <c r="N139" s="96">
        <v>102.15</v>
      </c>
      <c r="O139" s="94">
        <v>107.48650000000001</v>
      </c>
      <c r="P139" s="95">
        <f t="shared" si="3"/>
        <v>3.9297284493715976E-3</v>
      </c>
      <c r="Q139" s="95">
        <f>O139/'סכום נכסי הקרן'!$C$42</f>
        <v>1.1310057481088762E-4</v>
      </c>
    </row>
    <row r="140" spans="2:17">
      <c r="B140" s="87" t="s">
        <v>2450</v>
      </c>
      <c r="C140" s="97" t="s">
        <v>2291</v>
      </c>
      <c r="D140" s="84">
        <v>7336</v>
      </c>
      <c r="E140" s="84"/>
      <c r="F140" s="84" t="s">
        <v>936</v>
      </c>
      <c r="G140" s="107">
        <v>43830</v>
      </c>
      <c r="H140" s="84"/>
      <c r="I140" s="94">
        <v>5.72</v>
      </c>
      <c r="J140" s="97" t="s">
        <v>167</v>
      </c>
      <c r="K140" s="98">
        <v>4.7994000000000002E-2</v>
      </c>
      <c r="L140" s="98">
        <v>4.9100000000000005E-2</v>
      </c>
      <c r="M140" s="94">
        <v>3761.08</v>
      </c>
      <c r="N140" s="96">
        <v>100</v>
      </c>
      <c r="O140" s="94">
        <v>12.998290000000001</v>
      </c>
      <c r="P140" s="95">
        <f t="shared" si="3"/>
        <v>4.7522014398256843E-4</v>
      </c>
      <c r="Q140" s="95">
        <f>O140/'סכום נכסי הקרן'!$C$42</f>
        <v>1.3677197327651496E-5</v>
      </c>
    </row>
    <row r="141" spans="2:17">
      <c r="B141" s="87" t="s">
        <v>2451</v>
      </c>
      <c r="C141" s="97" t="s">
        <v>2291</v>
      </c>
      <c r="D141" s="84">
        <v>7319</v>
      </c>
      <c r="E141" s="84"/>
      <c r="F141" s="84" t="s">
        <v>936</v>
      </c>
      <c r="G141" s="107">
        <v>43818</v>
      </c>
      <c r="H141" s="84"/>
      <c r="I141" s="94">
        <v>2.58</v>
      </c>
      <c r="J141" s="97" t="s">
        <v>167</v>
      </c>
      <c r="K141" s="98">
        <v>3.7089999999999998E-2</v>
      </c>
      <c r="L141" s="98">
        <v>3.6400000000000002E-2</v>
      </c>
      <c r="M141" s="94">
        <v>594683.39</v>
      </c>
      <c r="N141" s="96">
        <v>100.66</v>
      </c>
      <c r="O141" s="94">
        <v>2068.7902100000001</v>
      </c>
      <c r="P141" s="95">
        <f t="shared" si="3"/>
        <v>7.5635393691472333E-2</v>
      </c>
      <c r="Q141" s="95">
        <f>O141/'סכום נכסי הקרן'!$C$42</f>
        <v>2.1768441796331346E-3</v>
      </c>
    </row>
    <row r="142" spans="2:17">
      <c r="B142" s="87" t="s">
        <v>2451</v>
      </c>
      <c r="C142" s="97" t="s">
        <v>2291</v>
      </c>
      <c r="D142" s="84">
        <v>7320</v>
      </c>
      <c r="E142" s="84"/>
      <c r="F142" s="84" t="s">
        <v>936</v>
      </c>
      <c r="G142" s="107">
        <v>43819</v>
      </c>
      <c r="H142" s="84"/>
      <c r="I142" s="94">
        <v>2.58</v>
      </c>
      <c r="J142" s="97" t="s">
        <v>167</v>
      </c>
      <c r="K142" s="98">
        <v>3.7089999999999998E-2</v>
      </c>
      <c r="L142" s="98">
        <v>3.6400000000000002E-2</v>
      </c>
      <c r="M142" s="94">
        <v>18152.810000000001</v>
      </c>
      <c r="N142" s="96">
        <v>100.65</v>
      </c>
      <c r="O142" s="94">
        <v>63.143879999999996</v>
      </c>
      <c r="P142" s="95">
        <f t="shared" si="3"/>
        <v>2.3085531823969167E-3</v>
      </c>
      <c r="Q142" s="95">
        <f>O142/'סכום נכסי הקרן'!$C$42</f>
        <v>6.6441917113216163E-5</v>
      </c>
    </row>
    <row r="143" spans="2:17">
      <c r="B143" s="87" t="s">
        <v>2452</v>
      </c>
      <c r="C143" s="97" t="s">
        <v>2291</v>
      </c>
      <c r="D143" s="84">
        <v>7323</v>
      </c>
      <c r="E143" s="84"/>
      <c r="F143" s="84" t="s">
        <v>936</v>
      </c>
      <c r="G143" s="107">
        <v>43822</v>
      </c>
      <c r="H143" s="84"/>
      <c r="I143" s="94">
        <v>3.8100000000000005</v>
      </c>
      <c r="J143" s="97" t="s">
        <v>167</v>
      </c>
      <c r="K143" s="98">
        <v>5.7054000000000001E-2</v>
      </c>
      <c r="L143" s="98">
        <v>5.8099999999999999E-2</v>
      </c>
      <c r="M143" s="94">
        <v>48741.35</v>
      </c>
      <c r="N143" s="96">
        <v>100</v>
      </c>
      <c r="O143" s="94">
        <v>168.45007999999999</v>
      </c>
      <c r="P143" s="95">
        <f t="shared" si="3"/>
        <v>6.1585694173214439E-3</v>
      </c>
      <c r="Q143" s="95">
        <f>O143/'סכום נכסי הקרן'!$C$42</f>
        <v>1.7724831374116751E-4</v>
      </c>
    </row>
    <row r="144" spans="2:17">
      <c r="B144" s="87" t="s">
        <v>2452</v>
      </c>
      <c r="C144" s="97" t="s">
        <v>2291</v>
      </c>
      <c r="D144" s="84">
        <v>7324</v>
      </c>
      <c r="E144" s="84"/>
      <c r="F144" s="84" t="s">
        <v>936</v>
      </c>
      <c r="G144" s="107">
        <v>43822</v>
      </c>
      <c r="H144" s="84"/>
      <c r="I144" s="94">
        <v>3.8</v>
      </c>
      <c r="J144" s="97" t="s">
        <v>167</v>
      </c>
      <c r="K144" s="98">
        <v>5.9271000000000004E-2</v>
      </c>
      <c r="L144" s="98">
        <v>5.6100000000000004E-2</v>
      </c>
      <c r="M144" s="94">
        <v>49594.39</v>
      </c>
      <c r="N144" s="96">
        <v>100</v>
      </c>
      <c r="O144" s="94">
        <v>171.39821000000001</v>
      </c>
      <c r="P144" s="95">
        <f t="shared" si="3"/>
        <v>6.2663536537924981E-3</v>
      </c>
      <c r="Q144" s="95">
        <f>O144/'סכום נכסי הקרן'!$C$42</f>
        <v>1.8035042607729554E-4</v>
      </c>
    </row>
    <row r="145" spans="2:17">
      <c r="B145" s="87" t="s">
        <v>2452</v>
      </c>
      <c r="C145" s="97" t="s">
        <v>2291</v>
      </c>
      <c r="D145" s="84">
        <v>7325</v>
      </c>
      <c r="E145" s="84"/>
      <c r="F145" s="84" t="s">
        <v>936</v>
      </c>
      <c r="G145" s="107">
        <v>43822</v>
      </c>
      <c r="H145" s="84"/>
      <c r="I145" s="94">
        <v>3.8</v>
      </c>
      <c r="J145" s="97" t="s">
        <v>167</v>
      </c>
      <c r="K145" s="98">
        <v>5.9138000000000003E-2</v>
      </c>
      <c r="L145" s="98">
        <v>5.6799999999999996E-2</v>
      </c>
      <c r="M145" s="94">
        <v>49594.39</v>
      </c>
      <c r="N145" s="96">
        <v>100</v>
      </c>
      <c r="O145" s="94">
        <v>171.39821000000001</v>
      </c>
      <c r="P145" s="95">
        <f t="shared" si="3"/>
        <v>6.2663536537924981E-3</v>
      </c>
      <c r="Q145" s="95">
        <f>O145/'סכום נכסי הקרן'!$C$42</f>
        <v>1.8035042607729554E-4</v>
      </c>
    </row>
    <row r="146" spans="2:17">
      <c r="B146" s="87" t="s">
        <v>2453</v>
      </c>
      <c r="C146" s="97" t="s">
        <v>2291</v>
      </c>
      <c r="D146" s="84">
        <v>7056</v>
      </c>
      <c r="E146" s="84"/>
      <c r="F146" s="84" t="s">
        <v>936</v>
      </c>
      <c r="G146" s="107">
        <v>43664</v>
      </c>
      <c r="H146" s="84"/>
      <c r="I146" s="94">
        <v>1.1399999999999999</v>
      </c>
      <c r="J146" s="97" t="s">
        <v>167</v>
      </c>
      <c r="K146" s="98">
        <v>3.6840000000000005E-2</v>
      </c>
      <c r="L146" s="98">
        <v>3.4200000000000001E-2</v>
      </c>
      <c r="M146" s="94">
        <v>348769.95</v>
      </c>
      <c r="N146" s="96">
        <v>100.76</v>
      </c>
      <c r="O146" s="94">
        <v>1214.50962</v>
      </c>
      <c r="P146" s="95">
        <f t="shared" si="3"/>
        <v>4.4402720395114621E-2</v>
      </c>
      <c r="Q146" s="95">
        <f>O146/'סכום נכסי הקרן'!$C$42</f>
        <v>1.2779440779572568E-3</v>
      </c>
    </row>
    <row r="147" spans="2:17">
      <c r="B147" s="87" t="s">
        <v>2453</v>
      </c>
      <c r="C147" s="97" t="s">
        <v>2291</v>
      </c>
      <c r="D147" s="84">
        <v>7296</v>
      </c>
      <c r="E147" s="84"/>
      <c r="F147" s="84" t="s">
        <v>936</v>
      </c>
      <c r="G147" s="107">
        <v>43801</v>
      </c>
      <c r="H147" s="84"/>
      <c r="I147" s="94">
        <v>1.1399999999999999</v>
      </c>
      <c r="J147" s="97" t="s">
        <v>167</v>
      </c>
      <c r="K147" s="98">
        <v>3.6840000000000005E-2</v>
      </c>
      <c r="L147" s="98">
        <v>3.4099999999999998E-2</v>
      </c>
      <c r="M147" s="94">
        <v>1489.46</v>
      </c>
      <c r="N147" s="96">
        <v>100.76</v>
      </c>
      <c r="O147" s="94">
        <v>5.1867000000000001</v>
      </c>
      <c r="P147" s="95">
        <f t="shared" si="3"/>
        <v>1.8962681404972404E-4</v>
      </c>
      <c r="Q147" s="95">
        <f>O147/'סכום נכסי הקרן'!$C$42</f>
        <v>5.4576039909349621E-6</v>
      </c>
    </row>
    <row r="148" spans="2:17">
      <c r="B148" s="87" t="s">
        <v>2454</v>
      </c>
      <c r="C148" s="97" t="s">
        <v>2291</v>
      </c>
      <c r="D148" s="84">
        <v>7210</v>
      </c>
      <c r="E148" s="84"/>
      <c r="F148" s="84" t="s">
        <v>936</v>
      </c>
      <c r="G148" s="107">
        <v>43741</v>
      </c>
      <c r="H148" s="84"/>
      <c r="I148" s="94">
        <v>4.25</v>
      </c>
      <c r="J148" s="97" t="s">
        <v>167</v>
      </c>
      <c r="K148" s="98">
        <v>4.1147000000000003E-2</v>
      </c>
      <c r="L148" s="98">
        <v>3.95E-2</v>
      </c>
      <c r="M148" s="94">
        <v>8148.85</v>
      </c>
      <c r="N148" s="96">
        <v>101.38</v>
      </c>
      <c r="O148" s="94">
        <v>28.55105</v>
      </c>
      <c r="P148" s="95">
        <f t="shared" si="3"/>
        <v>1.0438322342287724E-3</v>
      </c>
      <c r="Q148" s="95">
        <f>O148/'סכום נכסי הקרן'!$C$42</f>
        <v>3.0042285928506303E-5</v>
      </c>
    </row>
    <row r="152" spans="2:17">
      <c r="B152" s="99" t="s">
        <v>259</v>
      </c>
    </row>
    <row r="153" spans="2:17">
      <c r="B153" s="99" t="s">
        <v>116</v>
      </c>
    </row>
    <row r="154" spans="2:17">
      <c r="B154" s="99" t="s">
        <v>241</v>
      </c>
    </row>
    <row r="155" spans="2:17">
      <c r="B155" s="99" t="s">
        <v>249</v>
      </c>
    </row>
  </sheetData>
  <sheetProtection sheet="1" objects="1" scenarios="1"/>
  <mergeCells count="1">
    <mergeCell ref="B6:Q6"/>
  </mergeCells>
  <phoneticPr fontId="3" type="noConversion"/>
  <conditionalFormatting sqref="B58:B148">
    <cfRule type="cellIs" dxfId="8" priority="7" operator="equal">
      <formula>2958465</formula>
    </cfRule>
    <cfRule type="cellIs" dxfId="7" priority="8" operator="equal">
      <formula>"NR3"</formula>
    </cfRule>
    <cfRule type="cellIs" dxfId="6" priority="9" operator="equal">
      <formula>"דירוג פנימי"</formula>
    </cfRule>
  </conditionalFormatting>
  <conditionalFormatting sqref="B58:B148">
    <cfRule type="cellIs" dxfId="5" priority="6" operator="equal">
      <formula>2958465</formula>
    </cfRule>
  </conditionalFormatting>
  <conditionalFormatting sqref="B11:B43">
    <cfRule type="cellIs" dxfId="4" priority="5" operator="equal">
      <formula>"NR3"</formula>
    </cfRule>
  </conditionalFormatting>
  <conditionalFormatting sqref="R12:R17">
    <cfRule type="cellIs" dxfId="3" priority="2" operator="equal">
      <formula>2958465</formula>
    </cfRule>
    <cfRule type="cellIs" dxfId="2" priority="3" operator="equal">
      <formula>"NR3"</formula>
    </cfRule>
    <cfRule type="cellIs" dxfId="1" priority="4" operator="equal">
      <formula>"דירוג פנימי"</formula>
    </cfRule>
  </conditionalFormatting>
  <conditionalFormatting sqref="R12:R17">
    <cfRule type="cellIs" dxfId="0" priority="1" operator="equal">
      <formula>2958465</formula>
    </cfRule>
  </conditionalFormatting>
  <dataValidations count="1">
    <dataValidation allowBlank="1" showInputMessage="1" showErrorMessage="1" sqref="D1:Q9 C5:C9 B1:B9 B149:Q1048576 R53:AF56 AH53:XFD56 R18:R52 R1:R11 T1:XFD52 S1:S18 S25:S52 A1:A1048576 R57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183</v>
      </c>
      <c r="C1" s="78" t="s" vm="1">
        <v>267</v>
      </c>
    </row>
    <row r="2" spans="2:64">
      <c r="B2" s="57" t="s">
        <v>182</v>
      </c>
      <c r="C2" s="78" t="s">
        <v>268</v>
      </c>
    </row>
    <row r="3" spans="2:64">
      <c r="B3" s="57" t="s">
        <v>184</v>
      </c>
      <c r="C3" s="78" t="s">
        <v>269</v>
      </c>
    </row>
    <row r="4" spans="2:64">
      <c r="B4" s="57" t="s">
        <v>185</v>
      </c>
      <c r="C4" s="78">
        <v>8803</v>
      </c>
    </row>
    <row r="6" spans="2:64" ht="26.25" customHeight="1">
      <c r="B6" s="153" t="s">
        <v>216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64" s="3" customFormat="1" ht="78.75">
      <c r="B7" s="60" t="s">
        <v>120</v>
      </c>
      <c r="C7" s="61" t="s">
        <v>47</v>
      </c>
      <c r="D7" s="61" t="s">
        <v>121</v>
      </c>
      <c r="E7" s="61" t="s">
        <v>15</v>
      </c>
      <c r="F7" s="61" t="s">
        <v>69</v>
      </c>
      <c r="G7" s="61" t="s">
        <v>18</v>
      </c>
      <c r="H7" s="61" t="s">
        <v>105</v>
      </c>
      <c r="I7" s="61" t="s">
        <v>55</v>
      </c>
      <c r="J7" s="61" t="s">
        <v>19</v>
      </c>
      <c r="K7" s="61" t="s">
        <v>243</v>
      </c>
      <c r="L7" s="61" t="s">
        <v>242</v>
      </c>
      <c r="M7" s="61" t="s">
        <v>114</v>
      </c>
      <c r="N7" s="61" t="s">
        <v>186</v>
      </c>
      <c r="O7" s="63" t="s">
        <v>188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250</v>
      </c>
      <c r="L8" s="33"/>
      <c r="M8" s="33" t="s">
        <v>246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"/>
      <c r="Q10" s="1"/>
      <c r="R10" s="1"/>
      <c r="S10" s="1"/>
      <c r="T10" s="1"/>
      <c r="U10" s="1"/>
      <c r="BL10" s="1"/>
    </row>
    <row r="11" spans="2:64" ht="20.25" customHeight="1">
      <c r="B11" s="99" t="s">
        <v>259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64">
      <c r="B12" s="99" t="s">
        <v>116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2:64">
      <c r="B13" s="99" t="s">
        <v>241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4">
      <c r="B14" s="99" t="s">
        <v>249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C13" sqref="C13:F21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58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183</v>
      </c>
      <c r="C1" s="78" t="s" vm="1">
        <v>267</v>
      </c>
    </row>
    <row r="2" spans="2:56">
      <c r="B2" s="57" t="s">
        <v>182</v>
      </c>
      <c r="C2" s="78" t="s">
        <v>268</v>
      </c>
    </row>
    <row r="3" spans="2:56">
      <c r="B3" s="57" t="s">
        <v>184</v>
      </c>
      <c r="C3" s="78" t="s">
        <v>269</v>
      </c>
    </row>
    <row r="4" spans="2:56">
      <c r="B4" s="57" t="s">
        <v>185</v>
      </c>
      <c r="C4" s="78">
        <v>8803</v>
      </c>
    </row>
    <row r="6" spans="2:56" ht="26.25" customHeight="1">
      <c r="B6" s="153" t="s">
        <v>217</v>
      </c>
      <c r="C6" s="154"/>
      <c r="D6" s="154"/>
      <c r="E6" s="154"/>
      <c r="F6" s="154"/>
      <c r="G6" s="154"/>
      <c r="H6" s="154"/>
      <c r="I6" s="154"/>
      <c r="J6" s="155"/>
    </row>
    <row r="7" spans="2:56" s="3" customFormat="1" ht="78.75">
      <c r="B7" s="60" t="s">
        <v>120</v>
      </c>
      <c r="C7" s="62" t="s">
        <v>57</v>
      </c>
      <c r="D7" s="62" t="s">
        <v>88</v>
      </c>
      <c r="E7" s="62" t="s">
        <v>58</v>
      </c>
      <c r="F7" s="62" t="s">
        <v>105</v>
      </c>
      <c r="G7" s="62" t="s">
        <v>228</v>
      </c>
      <c r="H7" s="62" t="s">
        <v>186</v>
      </c>
      <c r="I7" s="64" t="s">
        <v>187</v>
      </c>
      <c r="J7" s="77" t="s">
        <v>253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247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28" t="s">
        <v>43</v>
      </c>
      <c r="C10" s="128"/>
      <c r="D10" s="128"/>
      <c r="E10" s="136">
        <v>3.3499740639353563E-2</v>
      </c>
      <c r="F10" s="124"/>
      <c r="G10" s="125">
        <v>8003.9080400000003</v>
      </c>
      <c r="H10" s="126">
        <f>G10/$G$10</f>
        <v>1</v>
      </c>
      <c r="I10" s="126">
        <f>G10/'סכום נכסי הקרן'!$C$42</f>
        <v>8.4219562462028701E-3</v>
      </c>
      <c r="J10" s="12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s="100" customFormat="1" ht="22.5" customHeight="1">
      <c r="B11" s="129" t="s">
        <v>240</v>
      </c>
      <c r="C11" s="128"/>
      <c r="D11" s="128"/>
      <c r="E11" s="136">
        <v>3.3499740639353563E-2</v>
      </c>
      <c r="F11" s="135" t="s">
        <v>168</v>
      </c>
      <c r="G11" s="125">
        <v>8003.9080400000003</v>
      </c>
      <c r="H11" s="126">
        <f t="shared" ref="H11:H14" si="0">G11/$G$10</f>
        <v>1</v>
      </c>
      <c r="I11" s="126">
        <f>G11/'סכום נכסי הקרן'!$C$42</f>
        <v>8.4219562462028701E-3</v>
      </c>
      <c r="J11" s="12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2:56">
      <c r="B12" s="102" t="s">
        <v>89</v>
      </c>
      <c r="C12" s="106"/>
      <c r="D12" s="106"/>
      <c r="E12" s="136">
        <v>7.197522390146828E-2</v>
      </c>
      <c r="F12" s="122" t="s">
        <v>168</v>
      </c>
      <c r="G12" s="91">
        <v>3734.2107000000001</v>
      </c>
      <c r="H12" s="92">
        <f t="shared" si="0"/>
        <v>0.46654842626102933</v>
      </c>
      <c r="I12" s="92">
        <f>G12/'סכום נכסי הקרן'!$C$42</f>
        <v>3.9292504327051959E-3</v>
      </c>
      <c r="J12" s="82"/>
    </row>
    <row r="13" spans="2:56">
      <c r="B13" s="87" t="s">
        <v>2356</v>
      </c>
      <c r="C13" s="107">
        <v>43830</v>
      </c>
      <c r="D13" s="101" t="s">
        <v>2357</v>
      </c>
      <c r="E13" s="137">
        <v>7.1900000000000006E-2</v>
      </c>
      <c r="F13" s="97" t="s">
        <v>168</v>
      </c>
      <c r="G13" s="94">
        <v>975.00069999999994</v>
      </c>
      <c r="H13" s="95">
        <f t="shared" si="0"/>
        <v>0.12181557998010181</v>
      </c>
      <c r="I13" s="95">
        <f>G13/'סכום נכסי הקרן'!$C$42</f>
        <v>1.0259254846982438E-3</v>
      </c>
      <c r="J13" s="84" t="s">
        <v>2358</v>
      </c>
    </row>
    <row r="14" spans="2:56">
      <c r="B14" s="87" t="s">
        <v>2359</v>
      </c>
      <c r="C14" s="107">
        <v>43738</v>
      </c>
      <c r="D14" s="101" t="s">
        <v>2360</v>
      </c>
      <c r="E14" s="137">
        <v>7.1999999999999995E-2</v>
      </c>
      <c r="F14" s="97" t="s">
        <v>168</v>
      </c>
      <c r="G14" s="94">
        <v>2759.21</v>
      </c>
      <c r="H14" s="95">
        <f t="shared" si="0"/>
        <v>0.34473284628092754</v>
      </c>
      <c r="I14" s="95">
        <f>G14/'סכום נכסי הקרן'!$C$42</f>
        <v>2.9033249480069517E-3</v>
      </c>
      <c r="J14" s="84" t="s">
        <v>2361</v>
      </c>
    </row>
    <row r="15" spans="2:56">
      <c r="B15" s="105"/>
      <c r="C15" s="101"/>
      <c r="D15" s="101"/>
      <c r="E15" s="84"/>
      <c r="F15" s="84"/>
      <c r="G15" s="84"/>
      <c r="H15" s="95"/>
      <c r="I15" s="84"/>
      <c r="J15" s="84"/>
    </row>
    <row r="16" spans="2:56">
      <c r="B16" s="102" t="s">
        <v>90</v>
      </c>
      <c r="C16" s="106"/>
      <c r="D16" s="106"/>
      <c r="E16" s="136">
        <v>0</v>
      </c>
      <c r="F16" s="122" t="s">
        <v>168</v>
      </c>
      <c r="G16" s="91">
        <v>4269.6973399999997</v>
      </c>
      <c r="H16" s="92">
        <f t="shared" ref="H16:H19" si="1">G16/$G$10</f>
        <v>0.53345157373897056</v>
      </c>
      <c r="I16" s="92">
        <f>G16/'סכום נכסי הקרן'!$C$42</f>
        <v>4.4927058134976742E-3</v>
      </c>
      <c r="J16" s="82"/>
    </row>
    <row r="17" spans="2:10">
      <c r="B17" s="87" t="s">
        <v>2362</v>
      </c>
      <c r="C17" s="107">
        <v>43646</v>
      </c>
      <c r="D17" s="101" t="s">
        <v>30</v>
      </c>
      <c r="E17" s="137">
        <v>0</v>
      </c>
      <c r="F17" s="97" t="s">
        <v>168</v>
      </c>
      <c r="G17" s="94">
        <v>407.73599000000002</v>
      </c>
      <c r="H17" s="95">
        <f t="shared" si="1"/>
        <v>5.0942113272955593E-2</v>
      </c>
      <c r="I17" s="95">
        <f>G17/'סכום נכסי הקרן'!$C$42</f>
        <v>4.2903224907394255E-4</v>
      </c>
      <c r="J17" s="84" t="s">
        <v>2363</v>
      </c>
    </row>
    <row r="18" spans="2:10">
      <c r="B18" s="87" t="s">
        <v>2364</v>
      </c>
      <c r="C18" s="107">
        <v>43738</v>
      </c>
      <c r="D18" s="101" t="s">
        <v>30</v>
      </c>
      <c r="E18" s="137">
        <v>0</v>
      </c>
      <c r="F18" s="97" t="s">
        <v>168</v>
      </c>
      <c r="G18" s="94">
        <v>2782.93235</v>
      </c>
      <c r="H18" s="95">
        <f t="shared" si="1"/>
        <v>0.34769669217738786</v>
      </c>
      <c r="I18" s="95">
        <f>G18/'סכום נכסי הקרן'!$C$42</f>
        <v>2.9282863284674286E-3</v>
      </c>
      <c r="J18" s="84" t="s">
        <v>2365</v>
      </c>
    </row>
    <row r="19" spans="2:10">
      <c r="B19" s="87" t="s">
        <v>2366</v>
      </c>
      <c r="C19" s="107">
        <v>43738</v>
      </c>
      <c r="D19" s="101" t="s">
        <v>30</v>
      </c>
      <c r="E19" s="137">
        <v>0</v>
      </c>
      <c r="F19" s="97" t="s">
        <v>168</v>
      </c>
      <c r="G19" s="94">
        <v>1079.029</v>
      </c>
      <c r="H19" s="95">
        <f t="shared" si="1"/>
        <v>0.13481276828862715</v>
      </c>
      <c r="I19" s="95">
        <f>G19/'סכום נכסי הקרן'!$C$42</f>
        <v>1.1353872359563038E-3</v>
      </c>
      <c r="J19" s="84" t="s">
        <v>2367</v>
      </c>
    </row>
    <row r="20" spans="2:10">
      <c r="B20" s="105"/>
      <c r="C20" s="101"/>
      <c r="D20" s="101"/>
      <c r="E20" s="84"/>
      <c r="F20" s="84"/>
      <c r="G20" s="84"/>
      <c r="H20" s="95"/>
      <c r="I20" s="84"/>
      <c r="J20" s="84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17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17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B110" s="101"/>
      <c r="C110" s="101"/>
      <c r="D110" s="101"/>
      <c r="E110" s="101"/>
      <c r="F110" s="101"/>
      <c r="G110" s="101"/>
      <c r="H110" s="101"/>
      <c r="I110" s="101"/>
      <c r="J110" s="101"/>
    </row>
    <row r="111" spans="2:10">
      <c r="B111" s="101"/>
      <c r="C111" s="101"/>
      <c r="D111" s="101"/>
      <c r="E111" s="101"/>
      <c r="F111" s="101"/>
      <c r="G111" s="101"/>
      <c r="H111" s="101"/>
      <c r="I111" s="101"/>
      <c r="J111" s="101"/>
    </row>
    <row r="112" spans="2:10">
      <c r="B112" s="101"/>
      <c r="C112" s="101"/>
      <c r="D112" s="101"/>
      <c r="E112" s="101"/>
      <c r="F112" s="101"/>
      <c r="G112" s="101"/>
      <c r="H112" s="101"/>
      <c r="I112" s="101"/>
      <c r="J112" s="101"/>
    </row>
    <row r="113" spans="2:10">
      <c r="B113" s="101"/>
      <c r="C113" s="101"/>
      <c r="D113" s="101"/>
      <c r="E113" s="101"/>
      <c r="F113" s="101"/>
      <c r="G113" s="101"/>
      <c r="H113" s="101"/>
      <c r="I113" s="101"/>
      <c r="J113" s="101"/>
    </row>
    <row r="114" spans="2:10">
      <c r="B114" s="101"/>
      <c r="C114" s="101"/>
      <c r="D114" s="101"/>
      <c r="E114" s="101"/>
      <c r="F114" s="101"/>
      <c r="G114" s="101"/>
      <c r="H114" s="101"/>
      <c r="I114" s="101"/>
      <c r="J114" s="101"/>
    </row>
    <row r="115" spans="2:10">
      <c r="B115" s="101"/>
      <c r="C115" s="101"/>
      <c r="D115" s="101"/>
      <c r="E115" s="101"/>
      <c r="F115" s="101"/>
      <c r="G115" s="101"/>
      <c r="H115" s="101"/>
      <c r="I115" s="101"/>
      <c r="J115" s="101"/>
    </row>
    <row r="116" spans="2:10">
      <c r="B116" s="101"/>
      <c r="C116" s="101"/>
      <c r="D116" s="101"/>
      <c r="E116" s="101"/>
      <c r="F116" s="101"/>
      <c r="G116" s="101"/>
      <c r="H116" s="101"/>
      <c r="I116" s="101"/>
      <c r="J116" s="101"/>
    </row>
    <row r="117" spans="2:10">
      <c r="B117" s="101"/>
      <c r="C117" s="101"/>
      <c r="D117" s="101"/>
      <c r="E117" s="101"/>
      <c r="F117" s="101"/>
      <c r="G117" s="101"/>
      <c r="H117" s="101"/>
      <c r="I117" s="101"/>
      <c r="J117" s="101"/>
    </row>
    <row r="118" spans="2:10">
      <c r="B118" s="101"/>
      <c r="C118" s="101"/>
      <c r="D118" s="101"/>
      <c r="E118" s="101"/>
      <c r="F118" s="101"/>
      <c r="G118" s="101"/>
      <c r="H118" s="101"/>
      <c r="I118" s="101"/>
      <c r="J118" s="101"/>
    </row>
    <row r="119" spans="2:10">
      <c r="B119" s="101"/>
      <c r="C119" s="101"/>
      <c r="D119" s="101"/>
      <c r="E119" s="101"/>
      <c r="F119" s="101"/>
      <c r="G119" s="101"/>
      <c r="H119" s="101"/>
      <c r="I119" s="101"/>
      <c r="J119" s="101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K1:XFD27 K30:XFD1048576 K28:AF29 AH28:XFD29 E10:E12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183</v>
      </c>
      <c r="C1" s="78" t="s" vm="1">
        <v>267</v>
      </c>
    </row>
    <row r="2" spans="2:60">
      <c r="B2" s="57" t="s">
        <v>182</v>
      </c>
      <c r="C2" s="78" t="s">
        <v>268</v>
      </c>
    </row>
    <row r="3" spans="2:60">
      <c r="B3" s="57" t="s">
        <v>184</v>
      </c>
      <c r="C3" s="78" t="s">
        <v>269</v>
      </c>
    </row>
    <row r="4" spans="2:60">
      <c r="B4" s="57" t="s">
        <v>185</v>
      </c>
      <c r="C4" s="78">
        <v>8803</v>
      </c>
    </row>
    <row r="6" spans="2:60" ht="26.25" customHeight="1">
      <c r="B6" s="153" t="s">
        <v>218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60" s="3" customFormat="1" ht="66">
      <c r="B7" s="60" t="s">
        <v>120</v>
      </c>
      <c r="C7" s="60" t="s">
        <v>121</v>
      </c>
      <c r="D7" s="60" t="s">
        <v>15</v>
      </c>
      <c r="E7" s="60" t="s">
        <v>16</v>
      </c>
      <c r="F7" s="60" t="s">
        <v>60</v>
      </c>
      <c r="G7" s="60" t="s">
        <v>105</v>
      </c>
      <c r="H7" s="60" t="s">
        <v>56</v>
      </c>
      <c r="I7" s="60" t="s">
        <v>114</v>
      </c>
      <c r="J7" s="60" t="s">
        <v>186</v>
      </c>
      <c r="K7" s="60" t="s">
        <v>187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246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7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17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H10" sqref="H10:H12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58.140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183</v>
      </c>
      <c r="C1" s="78" t="s" vm="1">
        <v>267</v>
      </c>
    </row>
    <row r="2" spans="2:60">
      <c r="B2" s="57" t="s">
        <v>182</v>
      </c>
      <c r="C2" s="78" t="s">
        <v>268</v>
      </c>
    </row>
    <row r="3" spans="2:60">
      <c r="B3" s="57" t="s">
        <v>184</v>
      </c>
      <c r="C3" s="78" t="s">
        <v>269</v>
      </c>
    </row>
    <row r="4" spans="2:60">
      <c r="B4" s="57" t="s">
        <v>185</v>
      </c>
      <c r="C4" s="78">
        <v>8803</v>
      </c>
    </row>
    <row r="6" spans="2:60" ht="26.25" customHeight="1">
      <c r="B6" s="153" t="s">
        <v>219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60" s="3" customFormat="1" ht="63">
      <c r="B7" s="60" t="s">
        <v>120</v>
      </c>
      <c r="C7" s="62" t="s">
        <v>47</v>
      </c>
      <c r="D7" s="62" t="s">
        <v>15</v>
      </c>
      <c r="E7" s="62" t="s">
        <v>16</v>
      </c>
      <c r="F7" s="62" t="s">
        <v>60</v>
      </c>
      <c r="G7" s="62" t="s">
        <v>105</v>
      </c>
      <c r="H7" s="62" t="s">
        <v>56</v>
      </c>
      <c r="I7" s="62" t="s">
        <v>114</v>
      </c>
      <c r="J7" s="62" t="s">
        <v>186</v>
      </c>
      <c r="K7" s="64" t="s">
        <v>187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246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8" t="s">
        <v>59</v>
      </c>
      <c r="C10" s="124"/>
      <c r="D10" s="124"/>
      <c r="E10" s="124"/>
      <c r="F10" s="124"/>
      <c r="G10" s="124"/>
      <c r="H10" s="126">
        <v>0</v>
      </c>
      <c r="I10" s="125">
        <v>22.94179346</v>
      </c>
      <c r="J10" s="126">
        <v>1</v>
      </c>
      <c r="K10" s="126">
        <v>2.4140072708208353E-5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0"/>
    </row>
    <row r="11" spans="2:60" s="100" customFormat="1" ht="21" customHeight="1">
      <c r="B11" s="129" t="s">
        <v>238</v>
      </c>
      <c r="C11" s="124"/>
      <c r="D11" s="124"/>
      <c r="E11" s="124"/>
      <c r="F11" s="124"/>
      <c r="G11" s="124"/>
      <c r="H11" s="126">
        <v>0</v>
      </c>
      <c r="I11" s="125">
        <v>22.94179346</v>
      </c>
      <c r="J11" s="126">
        <v>1</v>
      </c>
      <c r="K11" s="126">
        <v>2.4140072708208353E-5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3" t="s">
        <v>2368</v>
      </c>
      <c r="C12" s="84" t="s">
        <v>2369</v>
      </c>
      <c r="D12" s="84" t="s">
        <v>710</v>
      </c>
      <c r="E12" s="84" t="s">
        <v>355</v>
      </c>
      <c r="F12" s="98">
        <v>0</v>
      </c>
      <c r="G12" s="97" t="s">
        <v>168</v>
      </c>
      <c r="H12" s="95">
        <v>0</v>
      </c>
      <c r="I12" s="94">
        <v>22.94179346</v>
      </c>
      <c r="J12" s="95">
        <v>1</v>
      </c>
      <c r="K12" s="95">
        <v>2.4140072708208353E-5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5"/>
      <c r="C13" s="84"/>
      <c r="D13" s="84"/>
      <c r="E13" s="84"/>
      <c r="F13" s="84"/>
      <c r="G13" s="84"/>
      <c r="H13" s="95"/>
      <c r="I13" s="84"/>
      <c r="J13" s="95"/>
      <c r="K13" s="8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7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7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topLeftCell="A49" workbookViewId="0">
      <selection activeCell="B26" sqref="B26:B94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183</v>
      </c>
      <c r="C1" s="78" t="s" vm="1">
        <v>267</v>
      </c>
    </row>
    <row r="2" spans="2:47">
      <c r="B2" s="57" t="s">
        <v>182</v>
      </c>
      <c r="C2" s="78" t="s">
        <v>268</v>
      </c>
    </row>
    <row r="3" spans="2:47">
      <c r="B3" s="57" t="s">
        <v>184</v>
      </c>
      <c r="C3" s="78" t="s">
        <v>269</v>
      </c>
    </row>
    <row r="4" spans="2:47">
      <c r="B4" s="57" t="s">
        <v>185</v>
      </c>
      <c r="C4" s="78">
        <v>8803</v>
      </c>
    </row>
    <row r="6" spans="2:47" ht="26.25" customHeight="1">
      <c r="B6" s="153" t="s">
        <v>220</v>
      </c>
      <c r="C6" s="154"/>
      <c r="D6" s="155"/>
    </row>
    <row r="7" spans="2:47" s="3" customFormat="1" ht="33">
      <c r="B7" s="60" t="s">
        <v>120</v>
      </c>
      <c r="C7" s="65" t="s">
        <v>111</v>
      </c>
      <c r="D7" s="66" t="s">
        <v>110</v>
      </c>
    </row>
    <row r="8" spans="2:47" s="3" customFormat="1">
      <c r="B8" s="16"/>
      <c r="C8" s="33" t="s">
        <v>246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6" t="s">
        <v>2371</v>
      </c>
      <c r="C10" s="132">
        <f>C11+C25</f>
        <v>58595.664335563124</v>
      </c>
      <c r="D10" s="10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6" t="s">
        <v>28</v>
      </c>
      <c r="C11" s="132">
        <f>SUM(C12:C23)</f>
        <v>9410.2803694230515</v>
      </c>
      <c r="D11" s="101"/>
    </row>
    <row r="12" spans="2:47">
      <c r="B12" s="101" t="s">
        <v>2411</v>
      </c>
      <c r="C12" s="134">
        <v>494.13298605274514</v>
      </c>
      <c r="D12" s="133">
        <v>44255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1" t="s">
        <v>1989</v>
      </c>
      <c r="C13" s="134">
        <v>781.74001152000005</v>
      </c>
      <c r="D13" s="133">
        <v>47209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1" t="s">
        <v>2412</v>
      </c>
      <c r="C14" s="134">
        <v>742.93342000000007</v>
      </c>
      <c r="D14" s="133">
        <v>44821</v>
      </c>
    </row>
    <row r="15" spans="2:47">
      <c r="B15" s="101" t="s">
        <v>2372</v>
      </c>
      <c r="C15" s="134">
        <v>213.31308771686543</v>
      </c>
      <c r="D15" s="133">
        <v>46631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1" t="s">
        <v>1997</v>
      </c>
      <c r="C16" s="134">
        <v>383.14480025039035</v>
      </c>
      <c r="D16" s="133">
        <v>48214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1" t="s">
        <v>1992</v>
      </c>
      <c r="C17" s="134">
        <v>1684.21524</v>
      </c>
      <c r="D17" s="133">
        <v>46661</v>
      </c>
    </row>
    <row r="18" spans="2:4">
      <c r="B18" s="101" t="s">
        <v>2413</v>
      </c>
      <c r="C18" s="134">
        <v>3274.1666430909499</v>
      </c>
      <c r="D18" s="133">
        <v>44545</v>
      </c>
    </row>
    <row r="19" spans="2:4">
      <c r="B19" s="101" t="s">
        <v>2414</v>
      </c>
      <c r="C19" s="134">
        <v>242.88232164119447</v>
      </c>
      <c r="D19" s="133">
        <v>44196</v>
      </c>
    </row>
    <row r="20" spans="2:4">
      <c r="B20" s="101" t="s">
        <v>2415</v>
      </c>
      <c r="C20" s="134">
        <v>839.16161205485128</v>
      </c>
      <c r="D20" s="133">
        <v>45107</v>
      </c>
    </row>
    <row r="21" spans="2:4">
      <c r="B21" s="101" t="s">
        <v>2416</v>
      </c>
      <c r="C21" s="134">
        <v>77.105500000000006</v>
      </c>
      <c r="D21" s="133">
        <v>44246</v>
      </c>
    </row>
    <row r="22" spans="2:4">
      <c r="B22" s="101" t="s">
        <v>2417</v>
      </c>
      <c r="C22" s="134">
        <v>529.08021709605669</v>
      </c>
      <c r="D22" s="133">
        <v>46100</v>
      </c>
    </row>
    <row r="23" spans="2:4">
      <c r="B23" s="101" t="s">
        <v>2418</v>
      </c>
      <c r="C23" s="134">
        <v>148.40452999999999</v>
      </c>
      <c r="D23" s="133">
        <v>44739</v>
      </c>
    </row>
    <row r="24" spans="2:4">
      <c r="B24" s="101"/>
      <c r="C24" s="101"/>
      <c r="D24" s="101"/>
    </row>
    <row r="25" spans="2:4">
      <c r="B25" s="106" t="s">
        <v>2370</v>
      </c>
      <c r="C25" s="125">
        <f>SUM(C26:C150)</f>
        <v>49185.383966140071</v>
      </c>
      <c r="D25" s="101"/>
    </row>
    <row r="26" spans="2:4">
      <c r="B26" s="101" t="s">
        <v>2373</v>
      </c>
      <c r="C26" s="134">
        <v>703.70042430388401</v>
      </c>
      <c r="D26" s="133">
        <v>45778</v>
      </c>
    </row>
    <row r="27" spans="2:4">
      <c r="B27" s="101" t="s">
        <v>2374</v>
      </c>
      <c r="C27" s="134">
        <v>1481.5565722223416</v>
      </c>
      <c r="D27" s="133">
        <v>46326</v>
      </c>
    </row>
    <row r="28" spans="2:4">
      <c r="B28" s="101" t="s">
        <v>2375</v>
      </c>
      <c r="C28" s="134">
        <v>813.39283949664105</v>
      </c>
      <c r="D28" s="133">
        <v>46326</v>
      </c>
    </row>
    <row r="29" spans="2:4">
      <c r="B29" s="101" t="s">
        <v>2007</v>
      </c>
      <c r="C29" s="134">
        <v>761.06812888399998</v>
      </c>
      <c r="D29" s="133">
        <v>47270</v>
      </c>
    </row>
    <row r="30" spans="2:4">
      <c r="B30" s="101" t="s">
        <v>2009</v>
      </c>
      <c r="C30" s="134">
        <v>472.90071524499575</v>
      </c>
      <c r="D30" s="133">
        <v>46601</v>
      </c>
    </row>
    <row r="31" spans="2:4">
      <c r="B31" s="101" t="s">
        <v>2376</v>
      </c>
      <c r="C31" s="134">
        <v>1007.4178828799999</v>
      </c>
      <c r="D31" s="133">
        <v>47209</v>
      </c>
    </row>
    <row r="32" spans="2:4">
      <c r="B32" s="101" t="s">
        <v>2377</v>
      </c>
      <c r="C32" s="134">
        <v>289.43370595486203</v>
      </c>
      <c r="D32" s="133">
        <v>45382</v>
      </c>
    </row>
    <row r="33" spans="2:4">
      <c r="B33" s="101" t="s">
        <v>2010</v>
      </c>
      <c r="C33" s="134">
        <v>1710.6590607180142</v>
      </c>
      <c r="D33" s="133">
        <v>47119</v>
      </c>
    </row>
    <row r="34" spans="2:4">
      <c r="B34" s="101" t="s">
        <v>1999</v>
      </c>
      <c r="C34" s="134">
        <v>1254.6183264656449</v>
      </c>
      <c r="D34" s="133">
        <v>47119</v>
      </c>
    </row>
    <row r="35" spans="2:4">
      <c r="B35" s="101" t="s">
        <v>2419</v>
      </c>
      <c r="C35" s="134">
        <v>440.68209000000002</v>
      </c>
      <c r="D35" s="133">
        <v>44332</v>
      </c>
    </row>
    <row r="36" spans="2:4">
      <c r="B36" s="101" t="s">
        <v>2011</v>
      </c>
      <c r="C36" s="134">
        <v>1885.2209572992447</v>
      </c>
      <c r="D36" s="133">
        <v>47119</v>
      </c>
    </row>
    <row r="37" spans="2:4">
      <c r="B37" s="101" t="s">
        <v>2378</v>
      </c>
      <c r="C37" s="134">
        <v>68.190405120000008</v>
      </c>
      <c r="D37" s="133">
        <v>47119</v>
      </c>
    </row>
    <row r="38" spans="2:4">
      <c r="B38" s="101" t="s">
        <v>2379</v>
      </c>
      <c r="C38" s="134">
        <v>1263.9721429389986</v>
      </c>
      <c r="D38" s="133">
        <v>46742</v>
      </c>
    </row>
    <row r="39" spans="2:4">
      <c r="B39" s="101" t="s">
        <v>2014</v>
      </c>
      <c r="C39" s="134">
        <v>652.54042908893962</v>
      </c>
      <c r="D39" s="133">
        <v>45557</v>
      </c>
    </row>
    <row r="40" spans="2:4">
      <c r="B40" s="101" t="s">
        <v>2016</v>
      </c>
      <c r="C40" s="134">
        <v>1552.5903453582723</v>
      </c>
      <c r="D40" s="133">
        <v>50041</v>
      </c>
    </row>
    <row r="41" spans="2:4">
      <c r="B41" s="101" t="s">
        <v>2017</v>
      </c>
      <c r="C41" s="134">
        <v>403.02248305362929</v>
      </c>
      <c r="D41" s="133">
        <v>46971</v>
      </c>
    </row>
    <row r="42" spans="2:4">
      <c r="B42" s="101" t="s">
        <v>2380</v>
      </c>
      <c r="C42" s="134">
        <v>236.06701233806166</v>
      </c>
      <c r="D42" s="133">
        <v>46012</v>
      </c>
    </row>
    <row r="43" spans="2:4">
      <c r="B43" s="101" t="s">
        <v>2381</v>
      </c>
      <c r="C43" s="134">
        <v>13.373738953965805</v>
      </c>
      <c r="D43" s="133">
        <v>46326</v>
      </c>
    </row>
    <row r="44" spans="2:4">
      <c r="B44" s="101" t="s">
        <v>2382</v>
      </c>
      <c r="C44" s="134">
        <v>8.4037690339658067</v>
      </c>
      <c r="D44" s="133">
        <v>46326</v>
      </c>
    </row>
    <row r="45" spans="2:4">
      <c r="B45" s="101" t="s">
        <v>2420</v>
      </c>
      <c r="C45" s="134">
        <v>1722.2531899999999</v>
      </c>
      <c r="D45" s="133">
        <v>45615</v>
      </c>
    </row>
    <row r="46" spans="2:4">
      <c r="B46" s="101" t="s">
        <v>2383</v>
      </c>
      <c r="C46" s="134">
        <v>1896.7336703999995</v>
      </c>
      <c r="D46" s="133">
        <v>47392</v>
      </c>
    </row>
    <row r="47" spans="2:4">
      <c r="B47" s="101" t="s">
        <v>2023</v>
      </c>
      <c r="C47" s="134">
        <v>24.929248723820244</v>
      </c>
      <c r="D47" s="133">
        <v>46199</v>
      </c>
    </row>
    <row r="48" spans="2:4">
      <c r="B48" s="101" t="s">
        <v>2421</v>
      </c>
      <c r="C48" s="134">
        <v>1321.53431</v>
      </c>
      <c r="D48" s="133">
        <v>46626</v>
      </c>
    </row>
    <row r="49" spans="2:4">
      <c r="B49" s="101" t="s">
        <v>2384</v>
      </c>
      <c r="C49" s="134">
        <v>69.365155279646913</v>
      </c>
      <c r="D49" s="133">
        <v>46201</v>
      </c>
    </row>
    <row r="50" spans="2:4">
      <c r="B50" s="101" t="s">
        <v>2025</v>
      </c>
      <c r="C50" s="134">
        <v>103.69853122654898</v>
      </c>
      <c r="D50" s="133">
        <v>46201</v>
      </c>
    </row>
    <row r="51" spans="2:4">
      <c r="B51" s="101" t="s">
        <v>1994</v>
      </c>
      <c r="C51" s="134">
        <v>205.81749867434903</v>
      </c>
      <c r="D51" s="133">
        <v>47262</v>
      </c>
    </row>
    <row r="52" spans="2:4">
      <c r="B52" s="101" t="s">
        <v>2385</v>
      </c>
      <c r="C52" s="134">
        <v>543.13345552400006</v>
      </c>
      <c r="D52" s="133">
        <v>45485</v>
      </c>
    </row>
    <row r="53" spans="2:4">
      <c r="B53" s="101" t="s">
        <v>2386</v>
      </c>
      <c r="C53" s="134">
        <v>1136.602443762936</v>
      </c>
      <c r="D53" s="133">
        <v>45777</v>
      </c>
    </row>
    <row r="54" spans="2:4">
      <c r="B54" s="101" t="s">
        <v>2028</v>
      </c>
      <c r="C54" s="134">
        <v>44.305817874324973</v>
      </c>
      <c r="D54" s="133">
        <v>46734</v>
      </c>
    </row>
    <row r="55" spans="2:4">
      <c r="B55" s="101" t="s">
        <v>2422</v>
      </c>
      <c r="C55" s="134">
        <v>1546.309258614426</v>
      </c>
      <c r="D55" s="133">
        <v>44819</v>
      </c>
    </row>
    <row r="56" spans="2:4">
      <c r="B56" s="101" t="s">
        <v>2387</v>
      </c>
      <c r="C56" s="134">
        <v>747.42940220464106</v>
      </c>
      <c r="D56" s="133">
        <v>47178</v>
      </c>
    </row>
    <row r="57" spans="2:4">
      <c r="B57" s="101" t="s">
        <v>2030</v>
      </c>
      <c r="C57" s="134">
        <v>19.737388800000002</v>
      </c>
      <c r="D57" s="133">
        <v>46201</v>
      </c>
    </row>
    <row r="58" spans="2:4">
      <c r="B58" s="101" t="s">
        <v>2031</v>
      </c>
      <c r="C58" s="134">
        <v>83.064916444000005</v>
      </c>
      <c r="D58" s="133">
        <v>47363</v>
      </c>
    </row>
    <row r="59" spans="2:4">
      <c r="B59" s="101" t="s">
        <v>2388</v>
      </c>
      <c r="C59" s="134">
        <v>101.89034496000008</v>
      </c>
      <c r="D59" s="133">
        <v>45047</v>
      </c>
    </row>
    <row r="60" spans="2:4">
      <c r="B60" s="101" t="s">
        <v>2389</v>
      </c>
      <c r="C60" s="134">
        <v>2363.3480745734332</v>
      </c>
      <c r="D60" s="133">
        <v>401768</v>
      </c>
    </row>
    <row r="61" spans="2:4">
      <c r="B61" s="101" t="s">
        <v>2390</v>
      </c>
      <c r="C61" s="134">
        <v>375.74181148400015</v>
      </c>
      <c r="D61" s="133">
        <v>45710</v>
      </c>
    </row>
    <row r="62" spans="2:4">
      <c r="B62" s="101" t="s">
        <v>2391</v>
      </c>
      <c r="C62" s="134">
        <v>1117.387720858</v>
      </c>
      <c r="D62" s="133">
        <v>46573</v>
      </c>
    </row>
    <row r="63" spans="2:4">
      <c r="B63" s="101" t="s">
        <v>2033</v>
      </c>
      <c r="C63" s="134">
        <v>664.13209328200003</v>
      </c>
      <c r="D63" s="133">
        <v>47255</v>
      </c>
    </row>
    <row r="64" spans="2:4">
      <c r="B64" s="101" t="s">
        <v>2392</v>
      </c>
      <c r="C64" s="134">
        <v>92.436733439999998</v>
      </c>
      <c r="D64" s="133">
        <v>46734</v>
      </c>
    </row>
    <row r="65" spans="2:4">
      <c r="B65" s="101" t="s">
        <v>2393</v>
      </c>
      <c r="C65" s="134">
        <v>615.00869</v>
      </c>
      <c r="D65" s="133">
        <v>46572</v>
      </c>
    </row>
    <row r="66" spans="2:4">
      <c r="B66" s="101" t="s">
        <v>2394</v>
      </c>
      <c r="C66" s="134">
        <v>1052.7121817000002</v>
      </c>
      <c r="D66" s="133">
        <v>46524</v>
      </c>
    </row>
    <row r="67" spans="2:4">
      <c r="B67" s="101" t="s">
        <v>2039</v>
      </c>
      <c r="C67" s="134">
        <v>1160.6483153649417</v>
      </c>
      <c r="D67" s="133">
        <v>46844</v>
      </c>
    </row>
    <row r="68" spans="2:4">
      <c r="B68" s="101" t="s">
        <v>2395</v>
      </c>
      <c r="C68" s="134">
        <v>152.06342343989385</v>
      </c>
      <c r="D68" s="133">
        <v>46201</v>
      </c>
    </row>
    <row r="69" spans="2:4">
      <c r="B69" s="101" t="s">
        <v>2041</v>
      </c>
      <c r="C69" s="134">
        <v>1077.9560644594994</v>
      </c>
      <c r="D69" s="133">
        <v>45869</v>
      </c>
    </row>
    <row r="70" spans="2:4">
      <c r="B70" s="101" t="s">
        <v>2423</v>
      </c>
      <c r="C70" s="134">
        <v>105.78702</v>
      </c>
      <c r="D70" s="133">
        <v>46059</v>
      </c>
    </row>
    <row r="71" spans="2:4">
      <c r="B71" s="101" t="s">
        <v>2424</v>
      </c>
      <c r="C71" s="134">
        <v>156.26318000000001</v>
      </c>
      <c r="D71" s="133">
        <v>44256</v>
      </c>
    </row>
    <row r="72" spans="2:4">
      <c r="B72" s="101" t="s">
        <v>2043</v>
      </c>
      <c r="C72" s="134">
        <v>435.26270591999997</v>
      </c>
      <c r="D72" s="133">
        <v>47992</v>
      </c>
    </row>
    <row r="73" spans="2:4">
      <c r="B73" s="101" t="s">
        <v>2044</v>
      </c>
      <c r="C73" s="134">
        <v>59.242297304000004</v>
      </c>
      <c r="D73" s="133">
        <v>47212</v>
      </c>
    </row>
    <row r="74" spans="2:4">
      <c r="B74" s="101" t="s">
        <v>2396</v>
      </c>
      <c r="C74" s="134">
        <v>893.92176132370628</v>
      </c>
      <c r="D74" s="133">
        <v>44044</v>
      </c>
    </row>
    <row r="75" spans="2:4">
      <c r="B75" s="101" t="s">
        <v>2397</v>
      </c>
      <c r="C75" s="134">
        <v>10.632400280152941</v>
      </c>
      <c r="D75" s="133">
        <v>46722</v>
      </c>
    </row>
    <row r="76" spans="2:4">
      <c r="B76" s="101" t="s">
        <v>2398</v>
      </c>
      <c r="C76" s="134">
        <v>804.67856888602853</v>
      </c>
      <c r="D76" s="133">
        <v>46794</v>
      </c>
    </row>
    <row r="77" spans="2:4">
      <c r="B77" s="101" t="s">
        <v>2399</v>
      </c>
      <c r="C77" s="134">
        <v>1485.3506</v>
      </c>
      <c r="D77" s="133">
        <v>47407</v>
      </c>
    </row>
    <row r="78" spans="2:4">
      <c r="B78" s="101" t="s">
        <v>2400</v>
      </c>
      <c r="C78" s="134">
        <v>247.20893177160681</v>
      </c>
      <c r="D78" s="133">
        <v>48213</v>
      </c>
    </row>
    <row r="79" spans="2:4">
      <c r="B79" s="101" t="s">
        <v>2002</v>
      </c>
      <c r="C79" s="134">
        <v>19.74060287999999</v>
      </c>
      <c r="D79" s="133">
        <v>45939</v>
      </c>
    </row>
    <row r="80" spans="2:4">
      <c r="B80" s="101" t="s">
        <v>2401</v>
      </c>
      <c r="C80" s="134">
        <v>2261.9793803213561</v>
      </c>
      <c r="D80" s="133">
        <v>46539</v>
      </c>
    </row>
    <row r="81" spans="2:4">
      <c r="B81" s="101" t="s">
        <v>2050</v>
      </c>
      <c r="C81" s="134">
        <v>86.550923520000012</v>
      </c>
      <c r="D81" s="133">
        <v>46827</v>
      </c>
    </row>
    <row r="82" spans="2:4">
      <c r="B82" s="101" t="s">
        <v>2402</v>
      </c>
      <c r="C82" s="134">
        <v>483.80972544000002</v>
      </c>
      <c r="D82" s="133">
        <v>48723</v>
      </c>
    </row>
    <row r="83" spans="2:4">
      <c r="B83" s="101" t="s">
        <v>2403</v>
      </c>
      <c r="C83" s="134">
        <v>18.154444944586995</v>
      </c>
      <c r="D83" s="133">
        <v>47031</v>
      </c>
    </row>
    <row r="84" spans="2:4">
      <c r="B84" s="101" t="s">
        <v>2404</v>
      </c>
      <c r="C84" s="134">
        <v>470.34776662749931</v>
      </c>
      <c r="D84" s="133">
        <v>45869</v>
      </c>
    </row>
    <row r="85" spans="2:4">
      <c r="B85" s="101" t="s">
        <v>2052</v>
      </c>
      <c r="C85" s="134">
        <v>1212.396639878187</v>
      </c>
      <c r="D85" s="133">
        <v>47107</v>
      </c>
    </row>
    <row r="86" spans="2:4">
      <c r="B86" s="101" t="s">
        <v>2053</v>
      </c>
      <c r="C86" s="134">
        <v>45.930309120000004</v>
      </c>
      <c r="D86" s="133">
        <v>46734</v>
      </c>
    </row>
    <row r="87" spans="2:4">
      <c r="B87" s="101" t="s">
        <v>2405</v>
      </c>
      <c r="C87" s="134">
        <v>725.95253376000005</v>
      </c>
      <c r="D87" s="133">
        <v>46637</v>
      </c>
    </row>
    <row r="88" spans="2:4">
      <c r="B88" s="101" t="s">
        <v>2425</v>
      </c>
      <c r="C88" s="134">
        <v>2028.6158400000002</v>
      </c>
      <c r="D88" s="133">
        <v>43889</v>
      </c>
    </row>
    <row r="89" spans="2:4">
      <c r="B89" s="101" t="s">
        <v>2406</v>
      </c>
      <c r="C89" s="134">
        <v>715.50976965010022</v>
      </c>
      <c r="D89" s="133">
        <v>48069</v>
      </c>
    </row>
    <row r="90" spans="2:4">
      <c r="B90" s="101" t="s">
        <v>2407</v>
      </c>
      <c r="C90" s="134">
        <v>304.84145663999999</v>
      </c>
      <c r="D90" s="133">
        <v>48214</v>
      </c>
    </row>
    <row r="91" spans="2:4">
      <c r="B91" s="101" t="s">
        <v>2408</v>
      </c>
      <c r="C91" s="134">
        <v>5.9162273469006115</v>
      </c>
      <c r="D91" s="133">
        <v>47102</v>
      </c>
    </row>
    <row r="92" spans="2:4">
      <c r="B92" s="101" t="s">
        <v>2055</v>
      </c>
      <c r="C92" s="134">
        <v>651.34005120000006</v>
      </c>
      <c r="D92" s="133">
        <v>48004</v>
      </c>
    </row>
    <row r="93" spans="2:4">
      <c r="B93" s="101" t="s">
        <v>2409</v>
      </c>
      <c r="C93" s="134">
        <v>166.17394943999994</v>
      </c>
      <c r="D93" s="133">
        <v>46482</v>
      </c>
    </row>
    <row r="94" spans="2:4">
      <c r="B94" s="101" t="s">
        <v>2410</v>
      </c>
      <c r="C94" s="134">
        <v>2532.7261094399996</v>
      </c>
      <c r="D94" s="133">
        <v>46643</v>
      </c>
    </row>
    <row r="95" spans="2:4">
      <c r="B95" s="101"/>
      <c r="C95" s="101"/>
      <c r="D95" s="101"/>
    </row>
    <row r="96" spans="2:4">
      <c r="B96" s="101"/>
      <c r="C96" s="101"/>
      <c r="D96" s="101"/>
    </row>
    <row r="97" spans="2:4">
      <c r="B97" s="101"/>
      <c r="C97" s="101"/>
      <c r="D97" s="101"/>
    </row>
    <row r="98" spans="2:4">
      <c r="B98" s="101"/>
      <c r="C98" s="101"/>
      <c r="D98" s="101"/>
    </row>
    <row r="99" spans="2:4">
      <c r="B99" s="101"/>
      <c r="C99" s="101"/>
      <c r="D99" s="101"/>
    </row>
    <row r="100" spans="2:4">
      <c r="B100" s="101"/>
      <c r="C100" s="101"/>
      <c r="D100" s="101"/>
    </row>
    <row r="101" spans="2:4">
      <c r="B101" s="101"/>
      <c r="C101" s="101"/>
      <c r="D101" s="101"/>
    </row>
    <row r="102" spans="2:4">
      <c r="B102" s="101"/>
      <c r="C102" s="101"/>
      <c r="D102" s="101"/>
    </row>
    <row r="103" spans="2:4">
      <c r="B103" s="101"/>
      <c r="C103" s="101"/>
      <c r="D103" s="101"/>
    </row>
    <row r="104" spans="2:4">
      <c r="B104" s="101"/>
      <c r="C104" s="101"/>
      <c r="D104" s="101"/>
    </row>
    <row r="105" spans="2:4">
      <c r="B105" s="101"/>
      <c r="C105" s="101"/>
      <c r="D105" s="101"/>
    </row>
    <row r="106" spans="2:4">
      <c r="B106" s="101"/>
      <c r="C106" s="101"/>
      <c r="D106" s="101"/>
    </row>
    <row r="107" spans="2:4">
      <c r="B107" s="101"/>
      <c r="C107" s="101"/>
      <c r="D107" s="101"/>
    </row>
    <row r="108" spans="2:4">
      <c r="B108" s="101"/>
      <c r="C108" s="101"/>
      <c r="D108" s="101"/>
    </row>
    <row r="109" spans="2:4">
      <c r="B109" s="101"/>
      <c r="C109" s="101"/>
      <c r="D109" s="10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AH28:XFD29 D1:XFD27 D30:XFD1048576 D28:AF29 A1:A1048576 C5:C9 B1:B9 B10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183</v>
      </c>
      <c r="C1" s="78" t="s" vm="1">
        <v>267</v>
      </c>
    </row>
    <row r="2" spans="2:18">
      <c r="B2" s="57" t="s">
        <v>182</v>
      </c>
      <c r="C2" s="78" t="s">
        <v>268</v>
      </c>
    </row>
    <row r="3" spans="2:18">
      <c r="B3" s="57" t="s">
        <v>184</v>
      </c>
      <c r="C3" s="78" t="s">
        <v>269</v>
      </c>
    </row>
    <row r="4" spans="2:18">
      <c r="B4" s="57" t="s">
        <v>185</v>
      </c>
      <c r="C4" s="78">
        <v>8803</v>
      </c>
    </row>
    <row r="6" spans="2:18" ht="26.25" customHeight="1">
      <c r="B6" s="153" t="s">
        <v>223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8" s="3" customFormat="1" ht="78.75">
      <c r="B7" s="23" t="s">
        <v>120</v>
      </c>
      <c r="C7" s="31" t="s">
        <v>47</v>
      </c>
      <c r="D7" s="31" t="s">
        <v>68</v>
      </c>
      <c r="E7" s="31" t="s">
        <v>15</v>
      </c>
      <c r="F7" s="31" t="s">
        <v>69</v>
      </c>
      <c r="G7" s="31" t="s">
        <v>106</v>
      </c>
      <c r="H7" s="31" t="s">
        <v>18</v>
      </c>
      <c r="I7" s="31" t="s">
        <v>105</v>
      </c>
      <c r="J7" s="31" t="s">
        <v>17</v>
      </c>
      <c r="K7" s="31" t="s">
        <v>221</v>
      </c>
      <c r="L7" s="31" t="s">
        <v>248</v>
      </c>
      <c r="M7" s="31" t="s">
        <v>222</v>
      </c>
      <c r="N7" s="31" t="s">
        <v>62</v>
      </c>
      <c r="O7" s="31" t="s">
        <v>186</v>
      </c>
      <c r="P7" s="32" t="s">
        <v>188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250</v>
      </c>
      <c r="M8" s="33" t="s">
        <v>246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259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249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3"/>
  <sheetViews>
    <sheetView rightToLeft="1" topLeftCell="A7" workbookViewId="0">
      <selection activeCell="J10" sqref="J10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8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183</v>
      </c>
      <c r="C1" s="78" t="s" vm="1">
        <v>267</v>
      </c>
    </row>
    <row r="2" spans="2:13">
      <c r="B2" s="57" t="s">
        <v>182</v>
      </c>
      <c r="C2" s="78" t="s">
        <v>268</v>
      </c>
    </row>
    <row r="3" spans="2:13">
      <c r="B3" s="57" t="s">
        <v>184</v>
      </c>
      <c r="C3" s="78" t="s">
        <v>269</v>
      </c>
    </row>
    <row r="4" spans="2:13">
      <c r="B4" s="57" t="s">
        <v>185</v>
      </c>
      <c r="C4" s="78">
        <v>8803</v>
      </c>
    </row>
    <row r="6" spans="2:13" ht="26.25" customHeight="1">
      <c r="B6" s="142" t="s">
        <v>212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2:13" s="3" customFormat="1" ht="63">
      <c r="B7" s="13" t="s">
        <v>119</v>
      </c>
      <c r="C7" s="14" t="s">
        <v>47</v>
      </c>
      <c r="D7" s="14" t="s">
        <v>121</v>
      </c>
      <c r="E7" s="14" t="s">
        <v>15</v>
      </c>
      <c r="F7" s="14" t="s">
        <v>69</v>
      </c>
      <c r="G7" s="14" t="s">
        <v>105</v>
      </c>
      <c r="H7" s="14" t="s">
        <v>17</v>
      </c>
      <c r="I7" s="14" t="s">
        <v>19</v>
      </c>
      <c r="J7" s="14" t="s">
        <v>65</v>
      </c>
      <c r="K7" s="14" t="s">
        <v>186</v>
      </c>
      <c r="L7" s="14" t="s">
        <v>187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246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79" t="s">
        <v>46</v>
      </c>
      <c r="C10" s="80"/>
      <c r="D10" s="80"/>
      <c r="E10" s="80"/>
      <c r="F10" s="80"/>
      <c r="G10" s="80"/>
      <c r="H10" s="80"/>
      <c r="I10" s="80"/>
      <c r="J10" s="88">
        <f>J11</f>
        <v>63673.910377096006</v>
      </c>
      <c r="K10" s="89">
        <f>J10/$J$10</f>
        <v>1</v>
      </c>
      <c r="L10" s="89">
        <f>J10/'סכום נכסי הקרן'!$C$42</f>
        <v>6.6999631247705527E-2</v>
      </c>
    </row>
    <row r="11" spans="2:13">
      <c r="B11" s="81" t="s">
        <v>238</v>
      </c>
      <c r="C11" s="82"/>
      <c r="D11" s="82"/>
      <c r="E11" s="82"/>
      <c r="F11" s="82"/>
      <c r="G11" s="82"/>
      <c r="H11" s="82"/>
      <c r="I11" s="82"/>
      <c r="J11" s="91">
        <f>J12+J20</f>
        <v>63673.910377096006</v>
      </c>
      <c r="K11" s="92">
        <f t="shared" ref="K11:K46" si="0">J11/$J$10</f>
        <v>1</v>
      </c>
      <c r="L11" s="92">
        <f>J11/'סכום נכסי הקרן'!$C$42</f>
        <v>6.6999631247705527E-2</v>
      </c>
    </row>
    <row r="12" spans="2:13">
      <c r="B12" s="102" t="s">
        <v>44</v>
      </c>
      <c r="C12" s="82"/>
      <c r="D12" s="82"/>
      <c r="E12" s="82"/>
      <c r="F12" s="82"/>
      <c r="G12" s="82"/>
      <c r="H12" s="82"/>
      <c r="I12" s="82"/>
      <c r="J12" s="91">
        <f>SUM(J13:J18)</f>
        <v>49562.067548067003</v>
      </c>
      <c r="K12" s="92">
        <f t="shared" si="0"/>
        <v>0.77837323410083603</v>
      </c>
      <c r="L12" s="92">
        <f>J12/'סכום נכסי הקרן'!$C$42</f>
        <v>5.2150719657839982E-2</v>
      </c>
    </row>
    <row r="13" spans="2:13">
      <c r="B13" s="87" t="s">
        <v>2252</v>
      </c>
      <c r="C13" s="84" t="s">
        <v>2253</v>
      </c>
      <c r="D13" s="84">
        <v>11</v>
      </c>
      <c r="E13" s="84" t="s">
        <v>354</v>
      </c>
      <c r="F13" s="84" t="s">
        <v>355</v>
      </c>
      <c r="G13" s="97" t="s">
        <v>168</v>
      </c>
      <c r="H13" s="98">
        <v>0</v>
      </c>
      <c r="I13" s="98">
        <v>0</v>
      </c>
      <c r="J13" s="94">
        <v>315.336244712</v>
      </c>
      <c r="K13" s="95">
        <f t="shared" si="0"/>
        <v>4.9523618518869678E-3</v>
      </c>
      <c r="L13" s="95">
        <f>J13/'סכום נכסי הקרן'!$C$42</f>
        <v>3.3180641788163091E-4</v>
      </c>
    </row>
    <row r="14" spans="2:13">
      <c r="B14" s="87" t="s">
        <v>2254</v>
      </c>
      <c r="C14" s="84" t="s">
        <v>2255</v>
      </c>
      <c r="D14" s="84">
        <v>12</v>
      </c>
      <c r="E14" s="84" t="s">
        <v>354</v>
      </c>
      <c r="F14" s="84" t="s">
        <v>355</v>
      </c>
      <c r="G14" s="97" t="s">
        <v>168</v>
      </c>
      <c r="H14" s="98">
        <v>0</v>
      </c>
      <c r="I14" s="98">
        <v>0</v>
      </c>
      <c r="J14" s="94">
        <v>71.764649999999989</v>
      </c>
      <c r="K14" s="95">
        <f t="shared" si="0"/>
        <v>1.1270652230244412E-3</v>
      </c>
      <c r="L14" s="95">
        <f>J14/'סכום נכסי הקרן'!$C$42</f>
        <v>7.5512954334750539E-5</v>
      </c>
    </row>
    <row r="15" spans="2:13">
      <c r="B15" s="87" t="s">
        <v>2254</v>
      </c>
      <c r="C15" s="84" t="s">
        <v>2256</v>
      </c>
      <c r="D15" s="84">
        <v>12</v>
      </c>
      <c r="E15" s="84" t="s">
        <v>354</v>
      </c>
      <c r="F15" s="84" t="s">
        <v>355</v>
      </c>
      <c r="G15" s="97" t="s">
        <v>168</v>
      </c>
      <c r="H15" s="98">
        <v>0</v>
      </c>
      <c r="I15" s="98">
        <v>0</v>
      </c>
      <c r="J15" s="94">
        <v>1327.8333313400001</v>
      </c>
      <c r="K15" s="95">
        <f t="shared" si="0"/>
        <v>2.0853648275662238E-2</v>
      </c>
      <c r="L15" s="95">
        <f>J15/'סכום נכסי הקרן'!$C$42</f>
        <v>1.3971867446387202E-3</v>
      </c>
    </row>
    <row r="16" spans="2:13">
      <c r="B16" s="87" t="s">
        <v>2257</v>
      </c>
      <c r="C16" s="84" t="s">
        <v>2258</v>
      </c>
      <c r="D16" s="84">
        <v>10</v>
      </c>
      <c r="E16" s="84" t="s">
        <v>354</v>
      </c>
      <c r="F16" s="84" t="s">
        <v>355</v>
      </c>
      <c r="G16" s="97" t="s">
        <v>168</v>
      </c>
      <c r="H16" s="98">
        <v>0</v>
      </c>
      <c r="I16" s="98">
        <v>0</v>
      </c>
      <c r="J16" s="94">
        <v>9168.0649650859996</v>
      </c>
      <c r="K16" s="95">
        <f t="shared" si="0"/>
        <v>0.14398463846165513</v>
      </c>
      <c r="L16" s="95">
        <f>J16/'סכום נכסי הקרן'!$C$42</f>
        <v>9.6469176822650913E-3</v>
      </c>
    </row>
    <row r="17" spans="2:12">
      <c r="B17" s="87" t="s">
        <v>2257</v>
      </c>
      <c r="C17" s="84" t="s">
        <v>2259</v>
      </c>
      <c r="D17" s="84">
        <v>10</v>
      </c>
      <c r="E17" s="84" t="s">
        <v>354</v>
      </c>
      <c r="F17" s="84" t="s">
        <v>355</v>
      </c>
      <c r="G17" s="97" t="s">
        <v>168</v>
      </c>
      <c r="H17" s="98">
        <v>0</v>
      </c>
      <c r="I17" s="98">
        <v>0</v>
      </c>
      <c r="J17" s="94">
        <v>37774.268280000004</v>
      </c>
      <c r="K17" s="95">
        <f t="shared" si="0"/>
        <v>0.59324561749528892</v>
      </c>
      <c r="L17" s="95">
        <f>J17/'סכום נכסי הקרן'!$C$42</f>
        <v>3.9747237611501715E-2</v>
      </c>
    </row>
    <row r="18" spans="2:12">
      <c r="B18" s="87" t="s">
        <v>2260</v>
      </c>
      <c r="C18" s="84" t="s">
        <v>2261</v>
      </c>
      <c r="D18" s="84">
        <v>20</v>
      </c>
      <c r="E18" s="84" t="s">
        <v>354</v>
      </c>
      <c r="F18" s="84" t="s">
        <v>355</v>
      </c>
      <c r="G18" s="97" t="s">
        <v>168</v>
      </c>
      <c r="H18" s="98">
        <v>0</v>
      </c>
      <c r="I18" s="98">
        <v>0</v>
      </c>
      <c r="J18" s="94">
        <v>904.80007692899994</v>
      </c>
      <c r="K18" s="95">
        <f t="shared" si="0"/>
        <v>1.4209902793318368E-2</v>
      </c>
      <c r="L18" s="95">
        <f>J18/'סכום נכסי הקרן'!$C$42</f>
        <v>9.520582472180713E-4</v>
      </c>
    </row>
    <row r="19" spans="2:12">
      <c r="B19" s="83"/>
      <c r="C19" s="84"/>
      <c r="D19" s="84"/>
      <c r="E19" s="84"/>
      <c r="F19" s="84"/>
      <c r="G19" s="84"/>
      <c r="H19" s="84"/>
      <c r="I19" s="84"/>
      <c r="J19" s="84"/>
      <c r="K19" s="95"/>
      <c r="L19" s="84"/>
    </row>
    <row r="20" spans="2:12">
      <c r="B20" s="102" t="s">
        <v>45</v>
      </c>
      <c r="C20" s="82"/>
      <c r="D20" s="82"/>
      <c r="E20" s="82"/>
      <c r="F20" s="82"/>
      <c r="G20" s="82"/>
      <c r="H20" s="82"/>
      <c r="I20" s="82"/>
      <c r="J20" s="91">
        <f>SUM(J21:J48)</f>
        <v>14111.842829028999</v>
      </c>
      <c r="K20" s="92">
        <f t="shared" si="0"/>
        <v>0.22162676589916389</v>
      </c>
      <c r="L20" s="92">
        <f>J20/'סכום נכסי הקרן'!$C$42</f>
        <v>1.4848911589865538E-2</v>
      </c>
    </row>
    <row r="21" spans="2:12">
      <c r="B21" s="87" t="s">
        <v>2254</v>
      </c>
      <c r="C21" s="84" t="s">
        <v>2262</v>
      </c>
      <c r="D21" s="84">
        <v>12</v>
      </c>
      <c r="E21" s="84" t="s">
        <v>354</v>
      </c>
      <c r="F21" s="84" t="s">
        <v>355</v>
      </c>
      <c r="G21" s="97" t="s">
        <v>167</v>
      </c>
      <c r="H21" s="98">
        <v>0</v>
      </c>
      <c r="I21" s="98">
        <v>0</v>
      </c>
      <c r="J21" s="94">
        <v>128.882852587</v>
      </c>
      <c r="K21" s="95">
        <f t="shared" si="0"/>
        <v>2.0241077047682019E-3</v>
      </c>
      <c r="L21" s="95">
        <f>J21/'סכום נכסי הקרן'!$C$42</f>
        <v>1.3561446982510915E-4</v>
      </c>
    </row>
    <row r="22" spans="2:12">
      <c r="B22" s="87" t="s">
        <v>2254</v>
      </c>
      <c r="C22" s="84" t="s">
        <v>2263</v>
      </c>
      <c r="D22" s="84">
        <v>12</v>
      </c>
      <c r="E22" s="84" t="s">
        <v>354</v>
      </c>
      <c r="F22" s="84" t="s">
        <v>355</v>
      </c>
      <c r="G22" s="97" t="s">
        <v>177</v>
      </c>
      <c r="H22" s="98">
        <v>0</v>
      </c>
      <c r="I22" s="98">
        <v>0</v>
      </c>
      <c r="J22" s="94">
        <v>7.2223600000000012E-4</v>
      </c>
      <c r="K22" s="95">
        <f t="shared" si="0"/>
        <v>1.1342730416943168E-8</v>
      </c>
      <c r="L22" s="95">
        <f>J22/'סכום נכסי הקרן'!$C$42</f>
        <v>7.599587552773254E-10</v>
      </c>
    </row>
    <row r="23" spans="2:12">
      <c r="B23" s="87" t="s">
        <v>2254</v>
      </c>
      <c r="C23" s="84" t="s">
        <v>2264</v>
      </c>
      <c r="D23" s="84">
        <v>12</v>
      </c>
      <c r="E23" s="84" t="s">
        <v>354</v>
      </c>
      <c r="F23" s="84" t="s">
        <v>355</v>
      </c>
      <c r="G23" s="97" t="s">
        <v>170</v>
      </c>
      <c r="H23" s="98">
        <v>0</v>
      </c>
      <c r="I23" s="98">
        <v>0</v>
      </c>
      <c r="J23" s="94">
        <v>0.19202687599999999</v>
      </c>
      <c r="K23" s="95">
        <f t="shared" si="0"/>
        <v>3.0157858196985107E-6</v>
      </c>
      <c r="L23" s="95">
        <f>J23/'סכום נכסי הקרן'!$C$42</f>
        <v>2.0205653784185954E-7</v>
      </c>
    </row>
    <row r="24" spans="2:12">
      <c r="B24" s="87" t="s">
        <v>2254</v>
      </c>
      <c r="C24" s="84" t="s">
        <v>2265</v>
      </c>
      <c r="D24" s="84">
        <v>12</v>
      </c>
      <c r="E24" s="84" t="s">
        <v>354</v>
      </c>
      <c r="F24" s="84" t="s">
        <v>355</v>
      </c>
      <c r="G24" s="97" t="s">
        <v>169</v>
      </c>
      <c r="H24" s="98">
        <v>0</v>
      </c>
      <c r="I24" s="98">
        <v>0</v>
      </c>
      <c r="J24" s="94">
        <v>0.13282892399999999</v>
      </c>
      <c r="K24" s="95">
        <f t="shared" si="0"/>
        <v>2.08608083300283E-6</v>
      </c>
      <c r="L24" s="95">
        <f>J24/'סכום נכסי הקרן'!$C$42</f>
        <v>1.3976664656409599E-7</v>
      </c>
    </row>
    <row r="25" spans="2:12">
      <c r="B25" s="87" t="s">
        <v>2257</v>
      </c>
      <c r="C25" s="84" t="s">
        <v>2266</v>
      </c>
      <c r="D25" s="84">
        <v>10</v>
      </c>
      <c r="E25" s="84" t="s">
        <v>354</v>
      </c>
      <c r="F25" s="84" t="s">
        <v>355</v>
      </c>
      <c r="G25" s="97" t="s">
        <v>1498</v>
      </c>
      <c r="H25" s="98">
        <v>0</v>
      </c>
      <c r="I25" s="98">
        <v>0</v>
      </c>
      <c r="J25" s="94">
        <v>0.57045313200000014</v>
      </c>
      <c r="K25" s="95">
        <f t="shared" si="0"/>
        <v>8.9589775250429173E-6</v>
      </c>
      <c r="L25" s="95">
        <f>J25/'סכום נכסי הקרן'!$C$42</f>
        <v>6.0024819053435697E-7</v>
      </c>
    </row>
    <row r="26" spans="2:12">
      <c r="B26" s="87" t="s">
        <v>2257</v>
      </c>
      <c r="C26" s="84" t="s">
        <v>2267</v>
      </c>
      <c r="D26" s="84">
        <v>10</v>
      </c>
      <c r="E26" s="84" t="s">
        <v>354</v>
      </c>
      <c r="F26" s="84" t="s">
        <v>355</v>
      </c>
      <c r="G26" s="97" t="s">
        <v>175</v>
      </c>
      <c r="H26" s="98">
        <v>0</v>
      </c>
      <c r="I26" s="98">
        <v>0</v>
      </c>
      <c r="J26" s="94">
        <v>0.3</v>
      </c>
      <c r="K26" s="95">
        <f t="shared" si="0"/>
        <v>4.7115058306190082E-6</v>
      </c>
      <c r="L26" s="95">
        <f>J26/'סכום נכסי הקרן'!$C$42</f>
        <v>3.1566915327288804E-7</v>
      </c>
    </row>
    <row r="27" spans="2:12">
      <c r="B27" s="87" t="s">
        <v>2257</v>
      </c>
      <c r="C27" s="84" t="s">
        <v>2268</v>
      </c>
      <c r="D27" s="84">
        <v>10</v>
      </c>
      <c r="E27" s="84" t="s">
        <v>354</v>
      </c>
      <c r="F27" s="84" t="s">
        <v>355</v>
      </c>
      <c r="G27" s="97" t="s">
        <v>169</v>
      </c>
      <c r="H27" s="98">
        <v>0</v>
      </c>
      <c r="I27" s="98">
        <v>0</v>
      </c>
      <c r="J27" s="94">
        <v>4.5524499999999994</v>
      </c>
      <c r="K27" s="95">
        <f t="shared" si="0"/>
        <v>7.1496315728671663E-5</v>
      </c>
      <c r="L27" s="95">
        <f>J27/'סכום נכסי הקרן'!$C$42</f>
        <v>4.7902267893905304E-6</v>
      </c>
    </row>
    <row r="28" spans="2:12">
      <c r="B28" s="87" t="s">
        <v>2257</v>
      </c>
      <c r="C28" s="84" t="s">
        <v>2269</v>
      </c>
      <c r="D28" s="84">
        <v>10</v>
      </c>
      <c r="E28" s="84" t="s">
        <v>354</v>
      </c>
      <c r="F28" s="84" t="s">
        <v>355</v>
      </c>
      <c r="G28" s="97" t="s">
        <v>171</v>
      </c>
      <c r="H28" s="98">
        <v>0</v>
      </c>
      <c r="I28" s="98">
        <v>0</v>
      </c>
      <c r="J28" s="94">
        <v>14.608376624</v>
      </c>
      <c r="K28" s="95">
        <f t="shared" si="0"/>
        <v>2.2942483879951473E-4</v>
      </c>
      <c r="L28" s="95">
        <f>J28/'סכום נכסי הקרן'!$C$42</f>
        <v>1.5371379598631769E-5</v>
      </c>
    </row>
    <row r="29" spans="2:12">
      <c r="B29" s="87" t="s">
        <v>2257</v>
      </c>
      <c r="C29" s="84" t="s">
        <v>2270</v>
      </c>
      <c r="D29" s="84">
        <v>10</v>
      </c>
      <c r="E29" s="84" t="s">
        <v>354</v>
      </c>
      <c r="F29" s="84" t="s">
        <v>355</v>
      </c>
      <c r="G29" s="97" t="s">
        <v>169</v>
      </c>
      <c r="H29" s="98">
        <v>0</v>
      </c>
      <c r="I29" s="98">
        <v>0</v>
      </c>
      <c r="J29" s="94">
        <v>1.5527134380000001</v>
      </c>
      <c r="K29" s="95">
        <f t="shared" si="0"/>
        <v>2.4385394721391621E-5</v>
      </c>
      <c r="L29" s="95">
        <f>J29/'סכום נכסי הקרן'!$C$42</f>
        <v>1.6338124541629833E-6</v>
      </c>
    </row>
    <row r="30" spans="2:12">
      <c r="B30" s="87" t="s">
        <v>2257</v>
      </c>
      <c r="C30" s="84" t="s">
        <v>2271</v>
      </c>
      <c r="D30" s="84">
        <v>10</v>
      </c>
      <c r="E30" s="84" t="s">
        <v>354</v>
      </c>
      <c r="F30" s="84" t="s">
        <v>355</v>
      </c>
      <c r="G30" s="97" t="s">
        <v>174</v>
      </c>
      <c r="H30" s="98">
        <v>0</v>
      </c>
      <c r="I30" s="98">
        <v>0</v>
      </c>
      <c r="J30" s="94">
        <v>-6.3084108999999999E-2</v>
      </c>
      <c r="K30" s="95">
        <f t="shared" si="0"/>
        <v>-9.9073715790968342E-7</v>
      </c>
      <c r="L30" s="95">
        <f>J30/'סכום נכסי הקרן'!$C$42</f>
        <v>-6.6379024243348591E-8</v>
      </c>
    </row>
    <row r="31" spans="2:12">
      <c r="B31" s="87" t="s">
        <v>2257</v>
      </c>
      <c r="C31" s="84" t="s">
        <v>2272</v>
      </c>
      <c r="D31" s="84">
        <v>10</v>
      </c>
      <c r="E31" s="84" t="s">
        <v>354</v>
      </c>
      <c r="F31" s="84" t="s">
        <v>355</v>
      </c>
      <c r="G31" s="97" t="s">
        <v>170</v>
      </c>
      <c r="H31" s="98">
        <v>0</v>
      </c>
      <c r="I31" s="98">
        <v>0</v>
      </c>
      <c r="J31" s="94">
        <v>9.9824611759999993</v>
      </c>
      <c r="K31" s="95">
        <f t="shared" si="0"/>
        <v>1.5677474678217292E-4</v>
      </c>
      <c r="L31" s="95">
        <f>J31/'סכום נכסי הקרן'!$C$42</f>
        <v>1.0503850223357993E-5</v>
      </c>
    </row>
    <row r="32" spans="2:12">
      <c r="B32" s="87" t="s">
        <v>2257</v>
      </c>
      <c r="C32" s="84" t="s">
        <v>2273</v>
      </c>
      <c r="D32" s="84">
        <v>10</v>
      </c>
      <c r="E32" s="84" t="s">
        <v>354</v>
      </c>
      <c r="F32" s="84" t="s">
        <v>355</v>
      </c>
      <c r="G32" s="97" t="s">
        <v>177</v>
      </c>
      <c r="H32" s="98">
        <v>0</v>
      </c>
      <c r="I32" s="98">
        <v>0</v>
      </c>
      <c r="J32" s="94">
        <v>-0.192850255</v>
      </c>
      <c r="K32" s="95">
        <f t="shared" si="0"/>
        <v>-3.0287170028962082E-6</v>
      </c>
      <c r="L32" s="95">
        <f>J32/'סכום נכסי הקרן'!$C$42</f>
        <v>-2.0292292234770182E-7</v>
      </c>
    </row>
    <row r="33" spans="2:12">
      <c r="B33" s="87" t="s">
        <v>2257</v>
      </c>
      <c r="C33" s="84" t="s">
        <v>2274</v>
      </c>
      <c r="D33" s="84">
        <v>10</v>
      </c>
      <c r="E33" s="84" t="s">
        <v>354</v>
      </c>
      <c r="F33" s="84" t="s">
        <v>355</v>
      </c>
      <c r="G33" s="97" t="s">
        <v>167</v>
      </c>
      <c r="H33" s="98">
        <v>0</v>
      </c>
      <c r="I33" s="98">
        <v>0</v>
      </c>
      <c r="J33" s="94">
        <v>9011.579310000001</v>
      </c>
      <c r="K33" s="95">
        <f t="shared" si="0"/>
        <v>0.14152702820716875</v>
      </c>
      <c r="L33" s="95">
        <f>J33/'סכום נכסי הקרן'!$C$42</f>
        <v>9.4822587014639238E-3</v>
      </c>
    </row>
    <row r="34" spans="2:12">
      <c r="B34" s="87" t="s">
        <v>2257</v>
      </c>
      <c r="C34" s="84" t="s">
        <v>2275</v>
      </c>
      <c r="D34" s="84">
        <v>10</v>
      </c>
      <c r="E34" s="84" t="s">
        <v>354</v>
      </c>
      <c r="F34" s="84" t="s">
        <v>355</v>
      </c>
      <c r="G34" s="97" t="s">
        <v>171</v>
      </c>
      <c r="H34" s="98">
        <v>0</v>
      </c>
      <c r="I34" s="98">
        <v>0</v>
      </c>
      <c r="J34" s="94">
        <v>7.1529999999999996E-2</v>
      </c>
      <c r="K34" s="95">
        <f t="shared" si="0"/>
        <v>1.1233800402139255E-6</v>
      </c>
      <c r="L34" s="95">
        <f>J34/'סכום נכסי הקרן'!$C$42</f>
        <v>7.5266048445365605E-8</v>
      </c>
    </row>
    <row r="35" spans="2:12">
      <c r="B35" s="87" t="s">
        <v>2257</v>
      </c>
      <c r="C35" s="84" t="s">
        <v>2276</v>
      </c>
      <c r="D35" s="84">
        <v>10</v>
      </c>
      <c r="E35" s="84" t="s">
        <v>354</v>
      </c>
      <c r="F35" s="84" t="s">
        <v>355</v>
      </c>
      <c r="G35" s="97" t="s">
        <v>176</v>
      </c>
      <c r="H35" s="98">
        <v>0</v>
      </c>
      <c r="I35" s="98">
        <v>0</v>
      </c>
      <c r="J35" s="94">
        <v>1.6610100000000001</v>
      </c>
      <c r="K35" s="95">
        <f t="shared" si="0"/>
        <v>2.6086194332388263E-5</v>
      </c>
      <c r="L35" s="95">
        <f>J35/'סכום נכסי הקרן'!$C$42</f>
        <v>1.7477654009259994E-6</v>
      </c>
    </row>
    <row r="36" spans="2:12">
      <c r="B36" s="87" t="s">
        <v>2257</v>
      </c>
      <c r="C36" s="84" t="s">
        <v>2277</v>
      </c>
      <c r="D36" s="84">
        <v>10</v>
      </c>
      <c r="E36" s="84" t="s">
        <v>354</v>
      </c>
      <c r="F36" s="84" t="s">
        <v>355</v>
      </c>
      <c r="G36" s="97" t="s">
        <v>170</v>
      </c>
      <c r="H36" s="98">
        <v>0</v>
      </c>
      <c r="I36" s="98">
        <v>0</v>
      </c>
      <c r="J36" s="94">
        <v>5.2205199999999996</v>
      </c>
      <c r="K36" s="95">
        <f t="shared" si="0"/>
        <v>8.1988368062877148E-5</v>
      </c>
      <c r="L36" s="95">
        <f>J36/'סכום נכסי הקרן'!$C$42</f>
        <v>5.493190426813925E-6</v>
      </c>
    </row>
    <row r="37" spans="2:12">
      <c r="B37" s="87" t="s">
        <v>2257</v>
      </c>
      <c r="C37" s="84" t="s">
        <v>2278</v>
      </c>
      <c r="D37" s="84">
        <v>10</v>
      </c>
      <c r="E37" s="84" t="s">
        <v>354</v>
      </c>
      <c r="F37" s="84" t="s">
        <v>355</v>
      </c>
      <c r="G37" s="97" t="s">
        <v>167</v>
      </c>
      <c r="H37" s="98">
        <v>0</v>
      </c>
      <c r="I37" s="98">
        <v>0</v>
      </c>
      <c r="J37" s="94">
        <v>4276.0759547450007</v>
      </c>
      <c r="K37" s="95">
        <f t="shared" si="0"/>
        <v>6.7155855976502712E-2</v>
      </c>
      <c r="L37" s="95">
        <f>J37/'סכום נכסי הקרן'!$C$42</f>
        <v>4.4994175865497024E-3</v>
      </c>
    </row>
    <row r="38" spans="2:12">
      <c r="B38" s="87" t="s">
        <v>2257</v>
      </c>
      <c r="C38" s="84" t="s">
        <v>2279</v>
      </c>
      <c r="D38" s="84">
        <v>10</v>
      </c>
      <c r="E38" s="84" t="s">
        <v>354</v>
      </c>
      <c r="F38" s="84" t="s">
        <v>355</v>
      </c>
      <c r="G38" s="97" t="s">
        <v>172</v>
      </c>
      <c r="H38" s="98">
        <v>0</v>
      </c>
      <c r="I38" s="98">
        <v>0</v>
      </c>
      <c r="J38" s="94">
        <v>19.331012527000002</v>
      </c>
      <c r="K38" s="95">
        <f t="shared" si="0"/>
        <v>3.0359392744243199E-4</v>
      </c>
      <c r="L38" s="95">
        <f>J38/'סכום נכסי הקרן'!$C$42</f>
        <v>2.0340681187685609E-5</v>
      </c>
    </row>
    <row r="39" spans="2:12">
      <c r="B39" s="87" t="s">
        <v>2260</v>
      </c>
      <c r="C39" s="84" t="s">
        <v>2280</v>
      </c>
      <c r="D39" s="84">
        <v>20</v>
      </c>
      <c r="E39" s="84" t="s">
        <v>354</v>
      </c>
      <c r="F39" s="84" t="s">
        <v>355</v>
      </c>
      <c r="G39" s="97" t="s">
        <v>169</v>
      </c>
      <c r="H39" s="98">
        <v>0</v>
      </c>
      <c r="I39" s="98">
        <v>0</v>
      </c>
      <c r="J39" s="94">
        <v>4.6445419999999994E-2</v>
      </c>
      <c r="K39" s="95">
        <f t="shared" si="0"/>
        <v>7.2942622378516216E-7</v>
      </c>
      <c r="L39" s="95">
        <f>J39/'סכום נכסי הקרן'!$C$42</f>
        <v>4.8871288016012199E-8</v>
      </c>
    </row>
    <row r="40" spans="2:12">
      <c r="B40" s="87" t="s">
        <v>2260</v>
      </c>
      <c r="C40" s="84" t="s">
        <v>2281</v>
      </c>
      <c r="D40" s="84">
        <v>20</v>
      </c>
      <c r="E40" s="84" t="s">
        <v>354</v>
      </c>
      <c r="F40" s="84" t="s">
        <v>355</v>
      </c>
      <c r="G40" s="97" t="s">
        <v>177</v>
      </c>
      <c r="H40" s="98">
        <v>0</v>
      </c>
      <c r="I40" s="98">
        <v>0</v>
      </c>
      <c r="J40" s="94">
        <v>8.1982759999999991E-3</v>
      </c>
      <c r="K40" s="95">
        <f t="shared" si="0"/>
        <v>1.2875408391674625E-7</v>
      </c>
      <c r="L40" s="95">
        <f>J40/'סכום נכסי הקרן'!$C$42</f>
        <v>8.6264761440581311E-9</v>
      </c>
    </row>
    <row r="41" spans="2:12">
      <c r="B41" s="87" t="s">
        <v>2260</v>
      </c>
      <c r="C41" s="84" t="s">
        <v>2282</v>
      </c>
      <c r="D41" s="84">
        <v>20</v>
      </c>
      <c r="E41" s="84" t="s">
        <v>354</v>
      </c>
      <c r="F41" s="84" t="s">
        <v>355</v>
      </c>
      <c r="G41" s="97" t="s">
        <v>171</v>
      </c>
      <c r="H41" s="98">
        <v>0</v>
      </c>
      <c r="I41" s="98">
        <v>0</v>
      </c>
      <c r="J41" s="94">
        <v>1.4277459999999999E-3</v>
      </c>
      <c r="K41" s="95">
        <f t="shared" si="0"/>
        <v>2.2422778678809888E-8</v>
      </c>
      <c r="L41" s="95">
        <f>J41/'סכום נכסי הקרן'!$C$42</f>
        <v>1.5023179030291761E-9</v>
      </c>
    </row>
    <row r="42" spans="2:12">
      <c r="B42" s="87" t="s">
        <v>2260</v>
      </c>
      <c r="C42" s="84" t="s">
        <v>2283</v>
      </c>
      <c r="D42" s="84">
        <v>20</v>
      </c>
      <c r="E42" s="84" t="s">
        <v>354</v>
      </c>
      <c r="F42" s="84" t="s">
        <v>355</v>
      </c>
      <c r="G42" s="97" t="s">
        <v>169</v>
      </c>
      <c r="H42" s="98">
        <v>0</v>
      </c>
      <c r="I42" s="98">
        <v>0</v>
      </c>
      <c r="J42" s="94">
        <v>6.057509E-3</v>
      </c>
      <c r="K42" s="95">
        <f t="shared" si="0"/>
        <v>9.5133296575090396E-8</v>
      </c>
      <c r="L42" s="95">
        <f>J42/'סכום נכסי הקרן'!$C$42</f>
        <v>6.3738957899096633E-9</v>
      </c>
    </row>
    <row r="43" spans="2:12">
      <c r="B43" s="87" t="s">
        <v>2260</v>
      </c>
      <c r="C43" s="84" t="s">
        <v>2284</v>
      </c>
      <c r="D43" s="84">
        <v>20</v>
      </c>
      <c r="E43" s="84" t="s">
        <v>354</v>
      </c>
      <c r="F43" s="84" t="s">
        <v>355</v>
      </c>
      <c r="G43" s="97" t="s">
        <v>167</v>
      </c>
      <c r="H43" s="98">
        <v>0</v>
      </c>
      <c r="I43" s="98">
        <v>0</v>
      </c>
      <c r="J43" s="94">
        <v>444.20980930300004</v>
      </c>
      <c r="K43" s="95">
        <f t="shared" si="0"/>
        <v>6.9763236884974747E-3</v>
      </c>
      <c r="L43" s="95">
        <f>J43/'סכום נכסי הקרן'!$C$42</f>
        <v>4.6741111459396365E-4</v>
      </c>
    </row>
    <row r="44" spans="2:12">
      <c r="B44" s="87" t="s">
        <v>2260</v>
      </c>
      <c r="C44" s="84">
        <v>33820000</v>
      </c>
      <c r="D44" s="84">
        <v>20</v>
      </c>
      <c r="E44" s="84" t="s">
        <v>354</v>
      </c>
      <c r="F44" s="84" t="s">
        <v>355</v>
      </c>
      <c r="G44" s="97" t="s">
        <v>170</v>
      </c>
      <c r="H44" s="98">
        <v>0</v>
      </c>
      <c r="I44" s="98">
        <v>0</v>
      </c>
      <c r="J44" s="94">
        <v>11.789789808</v>
      </c>
      <c r="K44" s="95">
        <f t="shared" si="0"/>
        <v>1.8515887807388185E-4</v>
      </c>
      <c r="L44" s="95">
        <f>J44/'סכום נכסי הקרן'!$C$42</f>
        <v>1.2405576553188952E-5</v>
      </c>
    </row>
    <row r="45" spans="2:12">
      <c r="B45" s="87" t="s">
        <v>2252</v>
      </c>
      <c r="C45" s="84" t="s">
        <v>2285</v>
      </c>
      <c r="D45" s="84">
        <v>11</v>
      </c>
      <c r="E45" s="84" t="s">
        <v>354</v>
      </c>
      <c r="F45" s="84" t="s">
        <v>355</v>
      </c>
      <c r="G45" s="97" t="s">
        <v>169</v>
      </c>
      <c r="H45" s="98">
        <v>0</v>
      </c>
      <c r="I45" s="98">
        <v>0</v>
      </c>
      <c r="J45" s="94">
        <v>23.207092683000003</v>
      </c>
      <c r="K45" s="95">
        <f t="shared" si="0"/>
        <v>3.6446784162556746E-4</v>
      </c>
      <c r="L45" s="95">
        <f>J45/'סכום נכסי הקרן'!$C$42</f>
        <v>2.4419210990560158E-5</v>
      </c>
    </row>
    <row r="46" spans="2:12">
      <c r="B46" s="87" t="s">
        <v>2252</v>
      </c>
      <c r="C46" s="84" t="s">
        <v>2286</v>
      </c>
      <c r="D46" s="84">
        <v>11</v>
      </c>
      <c r="E46" s="84" t="s">
        <v>354</v>
      </c>
      <c r="F46" s="84" t="s">
        <v>355</v>
      </c>
      <c r="G46" s="97" t="s">
        <v>167</v>
      </c>
      <c r="H46" s="98">
        <v>0</v>
      </c>
      <c r="I46" s="98">
        <v>0</v>
      </c>
      <c r="J46" s="94">
        <v>158.04585920899999</v>
      </c>
      <c r="K46" s="95">
        <f t="shared" si="0"/>
        <v>2.4821132905613144E-3</v>
      </c>
      <c r="L46" s="95">
        <f>J46/'סכום נכסי הקרן'!$C$42</f>
        <v>1.6630067518263702E-4</v>
      </c>
    </row>
    <row r="47" spans="2:12">
      <c r="B47" s="87" t="s">
        <v>2252</v>
      </c>
      <c r="C47" s="84" t="s">
        <v>2287</v>
      </c>
      <c r="D47" s="84">
        <v>11</v>
      </c>
      <c r="E47" s="84" t="s">
        <v>354</v>
      </c>
      <c r="F47" s="84" t="s">
        <v>355</v>
      </c>
      <c r="G47" s="97" t="s">
        <v>170</v>
      </c>
      <c r="H47" s="98">
        <v>0</v>
      </c>
      <c r="I47" s="98">
        <v>0</v>
      </c>
      <c r="J47" s="94">
        <v>6.9861174000000012E-2</v>
      </c>
      <c r="K47" s="95">
        <f t="shared" ref="K47" si="1">J47/$J$10</f>
        <v>1.0971710954496304E-6</v>
      </c>
      <c r="L47" s="95">
        <f>J47/'סכום נכסי הקרן'!$C$42</f>
        <v>7.3510058810766358E-8</v>
      </c>
    </row>
    <row r="48" spans="2:12">
      <c r="B48" s="83"/>
      <c r="C48" s="84"/>
      <c r="D48" s="84"/>
      <c r="E48" s="84"/>
      <c r="F48" s="84"/>
      <c r="G48" s="84"/>
      <c r="H48" s="84"/>
      <c r="I48" s="84"/>
      <c r="J48" s="84"/>
    </row>
    <row r="49" spans="2:4">
      <c r="D49" s="1"/>
    </row>
    <row r="50" spans="2:4">
      <c r="D50" s="1"/>
    </row>
    <row r="51" spans="2:4">
      <c r="B51" s="138" t="s">
        <v>259</v>
      </c>
      <c r="D51" s="1"/>
    </row>
    <row r="52" spans="2:4">
      <c r="B52" s="117"/>
      <c r="D52" s="1"/>
    </row>
    <row r="53" spans="2:4">
      <c r="D53" s="1"/>
    </row>
    <row r="54" spans="2:4">
      <c r="D54" s="1"/>
    </row>
    <row r="55" spans="2:4">
      <c r="D55" s="1"/>
    </row>
    <row r="56" spans="2:4">
      <c r="D56" s="1"/>
    </row>
    <row r="57" spans="2:4">
      <c r="D57" s="1"/>
    </row>
    <row r="58" spans="2:4">
      <c r="D58" s="1"/>
    </row>
    <row r="59" spans="2:4">
      <c r="D59" s="1"/>
    </row>
    <row r="60" spans="2:4">
      <c r="D60" s="1"/>
    </row>
    <row r="61" spans="2:4">
      <c r="D61" s="1"/>
    </row>
    <row r="62" spans="2:4">
      <c r="D62" s="1"/>
    </row>
    <row r="63" spans="2:4">
      <c r="D63" s="1"/>
    </row>
    <row r="64" spans="2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5:5">
      <c r="E513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183</v>
      </c>
      <c r="C1" s="78" t="s" vm="1">
        <v>267</v>
      </c>
    </row>
    <row r="2" spans="2:18">
      <c r="B2" s="57" t="s">
        <v>182</v>
      </c>
      <c r="C2" s="78" t="s">
        <v>268</v>
      </c>
    </row>
    <row r="3" spans="2:18">
      <c r="B3" s="57" t="s">
        <v>184</v>
      </c>
      <c r="C3" s="78" t="s">
        <v>269</v>
      </c>
    </row>
    <row r="4" spans="2:18">
      <c r="B4" s="57" t="s">
        <v>185</v>
      </c>
      <c r="C4" s="78">
        <v>8803</v>
      </c>
    </row>
    <row r="6" spans="2:18" ht="26.25" customHeight="1">
      <c r="B6" s="153" t="s">
        <v>224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8" s="3" customFormat="1" ht="78.75">
      <c r="B7" s="23" t="s">
        <v>120</v>
      </c>
      <c r="C7" s="31" t="s">
        <v>47</v>
      </c>
      <c r="D7" s="31" t="s">
        <v>68</v>
      </c>
      <c r="E7" s="31" t="s">
        <v>15</v>
      </c>
      <c r="F7" s="31" t="s">
        <v>69</v>
      </c>
      <c r="G7" s="31" t="s">
        <v>106</v>
      </c>
      <c r="H7" s="31" t="s">
        <v>18</v>
      </c>
      <c r="I7" s="31" t="s">
        <v>105</v>
      </c>
      <c r="J7" s="31" t="s">
        <v>17</v>
      </c>
      <c r="K7" s="31" t="s">
        <v>221</v>
      </c>
      <c r="L7" s="31" t="s">
        <v>243</v>
      </c>
      <c r="M7" s="31" t="s">
        <v>222</v>
      </c>
      <c r="N7" s="31" t="s">
        <v>62</v>
      </c>
      <c r="O7" s="31" t="s">
        <v>186</v>
      </c>
      <c r="P7" s="32" t="s">
        <v>188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250</v>
      </c>
      <c r="M8" s="33" t="s">
        <v>246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259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249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183</v>
      </c>
      <c r="C1" s="78" t="s" vm="1">
        <v>267</v>
      </c>
    </row>
    <row r="2" spans="2:18">
      <c r="B2" s="57" t="s">
        <v>182</v>
      </c>
      <c r="C2" s="78" t="s">
        <v>268</v>
      </c>
    </row>
    <row r="3" spans="2:18">
      <c r="B3" s="57" t="s">
        <v>184</v>
      </c>
      <c r="C3" s="78" t="s">
        <v>269</v>
      </c>
    </row>
    <row r="4" spans="2:18">
      <c r="B4" s="57" t="s">
        <v>185</v>
      </c>
      <c r="C4" s="78">
        <v>8803</v>
      </c>
    </row>
    <row r="6" spans="2:18" ht="26.25" customHeight="1">
      <c r="B6" s="153" t="s">
        <v>226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8" s="3" customFormat="1" ht="78.75">
      <c r="B7" s="23" t="s">
        <v>120</v>
      </c>
      <c r="C7" s="31" t="s">
        <v>47</v>
      </c>
      <c r="D7" s="31" t="s">
        <v>68</v>
      </c>
      <c r="E7" s="31" t="s">
        <v>15</v>
      </c>
      <c r="F7" s="31" t="s">
        <v>69</v>
      </c>
      <c r="G7" s="31" t="s">
        <v>106</v>
      </c>
      <c r="H7" s="31" t="s">
        <v>18</v>
      </c>
      <c r="I7" s="31" t="s">
        <v>105</v>
      </c>
      <c r="J7" s="31" t="s">
        <v>17</v>
      </c>
      <c r="K7" s="31" t="s">
        <v>221</v>
      </c>
      <c r="L7" s="31" t="s">
        <v>243</v>
      </c>
      <c r="M7" s="31" t="s">
        <v>222</v>
      </c>
      <c r="N7" s="31" t="s">
        <v>62</v>
      </c>
      <c r="O7" s="31" t="s">
        <v>186</v>
      </c>
      <c r="P7" s="32" t="s">
        <v>188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250</v>
      </c>
      <c r="M8" s="33" t="s">
        <v>246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259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249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9" workbookViewId="0">
      <selection activeCell="K31" sqref="K31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58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183</v>
      </c>
      <c r="C1" s="78" t="s" vm="1">
        <v>267</v>
      </c>
    </row>
    <row r="2" spans="2:53">
      <c r="B2" s="57" t="s">
        <v>182</v>
      </c>
      <c r="C2" s="78" t="s">
        <v>268</v>
      </c>
    </row>
    <row r="3" spans="2:53">
      <c r="B3" s="57" t="s">
        <v>184</v>
      </c>
      <c r="C3" s="78" t="s">
        <v>269</v>
      </c>
    </row>
    <row r="4" spans="2:53">
      <c r="B4" s="57" t="s">
        <v>185</v>
      </c>
      <c r="C4" s="78">
        <v>8803</v>
      </c>
    </row>
    <row r="6" spans="2:53" ht="21.75" customHeight="1">
      <c r="B6" s="144" t="s">
        <v>213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6"/>
    </row>
    <row r="7" spans="2:53" ht="27.75" customHeight="1">
      <c r="B7" s="147" t="s">
        <v>91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AU7" s="3"/>
      <c r="AV7" s="3"/>
    </row>
    <row r="8" spans="2:53" s="3" customFormat="1" ht="66" customHeight="1">
      <c r="B8" s="23" t="s">
        <v>119</v>
      </c>
      <c r="C8" s="31" t="s">
        <v>47</v>
      </c>
      <c r="D8" s="31" t="s">
        <v>123</v>
      </c>
      <c r="E8" s="31" t="s">
        <v>15</v>
      </c>
      <c r="F8" s="31" t="s">
        <v>69</v>
      </c>
      <c r="G8" s="31" t="s">
        <v>106</v>
      </c>
      <c r="H8" s="31" t="s">
        <v>18</v>
      </c>
      <c r="I8" s="31" t="s">
        <v>105</v>
      </c>
      <c r="J8" s="31" t="s">
        <v>17</v>
      </c>
      <c r="K8" s="31" t="s">
        <v>19</v>
      </c>
      <c r="L8" s="31" t="s">
        <v>243</v>
      </c>
      <c r="M8" s="31" t="s">
        <v>242</v>
      </c>
      <c r="N8" s="31" t="s">
        <v>258</v>
      </c>
      <c r="O8" s="31" t="s">
        <v>65</v>
      </c>
      <c r="P8" s="31" t="s">
        <v>245</v>
      </c>
      <c r="Q8" s="31" t="s">
        <v>186</v>
      </c>
      <c r="R8" s="72" t="s">
        <v>188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250</v>
      </c>
      <c r="M9" s="33"/>
      <c r="N9" s="17" t="s">
        <v>246</v>
      </c>
      <c r="O9" s="33" t="s">
        <v>251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117</v>
      </c>
      <c r="R10" s="21" t="s">
        <v>118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9" t="s">
        <v>29</v>
      </c>
      <c r="C11" s="80"/>
      <c r="D11" s="80"/>
      <c r="E11" s="80"/>
      <c r="F11" s="80"/>
      <c r="G11" s="80"/>
      <c r="H11" s="88">
        <v>5.1395453334659429</v>
      </c>
      <c r="I11" s="80"/>
      <c r="J11" s="80"/>
      <c r="K11" s="89">
        <v>1.1567013640369874E-3</v>
      </c>
      <c r="L11" s="88"/>
      <c r="M11" s="90"/>
      <c r="N11" s="80"/>
      <c r="O11" s="88">
        <v>131062.088460648</v>
      </c>
      <c r="P11" s="80"/>
      <c r="Q11" s="89">
        <f>O11/$O$11</f>
        <v>1</v>
      </c>
      <c r="R11" s="89">
        <f>O11/'סכום נכסי הקרן'!$C$42</f>
        <v>0.13790752830183037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1" t="s">
        <v>238</v>
      </c>
      <c r="C12" s="82"/>
      <c r="D12" s="82"/>
      <c r="E12" s="82"/>
      <c r="F12" s="82"/>
      <c r="G12" s="82"/>
      <c r="H12" s="91">
        <v>5.1395453334659429</v>
      </c>
      <c r="I12" s="82"/>
      <c r="J12" s="82"/>
      <c r="K12" s="92">
        <v>1.1567013640369874E-3</v>
      </c>
      <c r="L12" s="91"/>
      <c r="M12" s="93"/>
      <c r="N12" s="82"/>
      <c r="O12" s="91">
        <v>131062.08846064798</v>
      </c>
      <c r="P12" s="82"/>
      <c r="Q12" s="92">
        <f t="shared" ref="Q12:Q25" si="0">O12/$O$11</f>
        <v>0.99999999999999989</v>
      </c>
      <c r="R12" s="92">
        <f>O12/'סכום נכסי הקרן'!$C$42</f>
        <v>0.13790752830183034</v>
      </c>
      <c r="AW12" s="4"/>
    </row>
    <row r="13" spans="2:53" s="100" customFormat="1">
      <c r="B13" s="123" t="s">
        <v>27</v>
      </c>
      <c r="C13" s="124"/>
      <c r="D13" s="124"/>
      <c r="E13" s="124"/>
      <c r="F13" s="124"/>
      <c r="G13" s="124"/>
      <c r="H13" s="125">
        <v>6.4318367067023798</v>
      </c>
      <c r="I13" s="124"/>
      <c r="J13" s="124"/>
      <c r="K13" s="126">
        <v>-6.5391228295989621E-3</v>
      </c>
      <c r="L13" s="125"/>
      <c r="M13" s="127"/>
      <c r="N13" s="124"/>
      <c r="O13" s="125">
        <v>42984.58885588</v>
      </c>
      <c r="P13" s="124"/>
      <c r="Q13" s="126">
        <f t="shared" si="0"/>
        <v>0.32797118801281977</v>
      </c>
      <c r="R13" s="126">
        <f>O13/'סכום נכסי הקרן'!$C$42</f>
        <v>4.5229695893062867E-2</v>
      </c>
    </row>
    <row r="14" spans="2:53">
      <c r="B14" s="85" t="s">
        <v>26</v>
      </c>
      <c r="C14" s="82"/>
      <c r="D14" s="82"/>
      <c r="E14" s="82"/>
      <c r="F14" s="82"/>
      <c r="G14" s="82"/>
      <c r="H14" s="91">
        <v>6.4318367067023798</v>
      </c>
      <c r="I14" s="82"/>
      <c r="J14" s="82"/>
      <c r="K14" s="92">
        <v>-6.5391228295989621E-3</v>
      </c>
      <c r="L14" s="91"/>
      <c r="M14" s="93"/>
      <c r="N14" s="82"/>
      <c r="O14" s="91">
        <v>42984.58885588</v>
      </c>
      <c r="P14" s="82"/>
      <c r="Q14" s="92">
        <f t="shared" si="0"/>
        <v>0.32797118801281977</v>
      </c>
      <c r="R14" s="92">
        <f>O14/'סכום נכסי הקרן'!$C$42</f>
        <v>4.5229695893062867E-2</v>
      </c>
    </row>
    <row r="15" spans="2:53">
      <c r="B15" s="86" t="s">
        <v>270</v>
      </c>
      <c r="C15" s="84" t="s">
        <v>271</v>
      </c>
      <c r="D15" s="97" t="s">
        <v>124</v>
      </c>
      <c r="E15" s="84" t="s">
        <v>272</v>
      </c>
      <c r="F15" s="84"/>
      <c r="G15" s="84"/>
      <c r="H15" s="94">
        <v>1.5400000000001541</v>
      </c>
      <c r="I15" s="97" t="s">
        <v>168</v>
      </c>
      <c r="J15" s="98">
        <v>0.04</v>
      </c>
      <c r="K15" s="95">
        <v>-9.6000000000012794E-3</v>
      </c>
      <c r="L15" s="94">
        <v>3691126.6932839993</v>
      </c>
      <c r="M15" s="96">
        <v>143.96</v>
      </c>
      <c r="N15" s="84"/>
      <c r="O15" s="94">
        <v>5313.7459303670003</v>
      </c>
      <c r="P15" s="95">
        <v>2.3740497250088064E-4</v>
      </c>
      <c r="Q15" s="95">
        <f t="shared" si="0"/>
        <v>4.0543730019703426E-2</v>
      </c>
      <c r="R15" s="95">
        <f>O15/'סכום נכסי הקרן'!$C$42</f>
        <v>5.5912855951540195E-3</v>
      </c>
    </row>
    <row r="16" spans="2:53" ht="20.25">
      <c r="B16" s="86" t="s">
        <v>273</v>
      </c>
      <c r="C16" s="84" t="s">
        <v>274</v>
      </c>
      <c r="D16" s="97" t="s">
        <v>124</v>
      </c>
      <c r="E16" s="84" t="s">
        <v>272</v>
      </c>
      <c r="F16" s="84"/>
      <c r="G16" s="84"/>
      <c r="H16" s="94">
        <v>4.2599999999998461</v>
      </c>
      <c r="I16" s="97" t="s">
        <v>168</v>
      </c>
      <c r="J16" s="98">
        <v>0.04</v>
      </c>
      <c r="K16" s="95">
        <v>-8.6999999999999352E-3</v>
      </c>
      <c r="L16" s="94">
        <v>3865843.5439180001</v>
      </c>
      <c r="M16" s="96">
        <v>154.88</v>
      </c>
      <c r="N16" s="84"/>
      <c r="O16" s="94">
        <v>5987.4185323920001</v>
      </c>
      <c r="P16" s="95">
        <v>3.3274908033400889E-4</v>
      </c>
      <c r="Q16" s="95">
        <f t="shared" si="0"/>
        <v>4.5683832775103003E-2</v>
      </c>
      <c r="R16" s="95">
        <f>O16/'סכום נכסי הקרן'!$C$42</f>
        <v>6.3001444613686028E-3</v>
      </c>
      <c r="AU16" s="4"/>
    </row>
    <row r="17" spans="2:48" ht="20.25">
      <c r="B17" s="86" t="s">
        <v>275</v>
      </c>
      <c r="C17" s="84" t="s">
        <v>276</v>
      </c>
      <c r="D17" s="97" t="s">
        <v>124</v>
      </c>
      <c r="E17" s="84" t="s">
        <v>272</v>
      </c>
      <c r="F17" s="84"/>
      <c r="G17" s="84"/>
      <c r="H17" s="94">
        <v>7.219999999999402</v>
      </c>
      <c r="I17" s="97" t="s">
        <v>168</v>
      </c>
      <c r="J17" s="98">
        <v>7.4999999999999997E-3</v>
      </c>
      <c r="K17" s="95">
        <v>-6.6999999999965143E-3</v>
      </c>
      <c r="L17" s="94">
        <v>1418829.0456709999</v>
      </c>
      <c r="M17" s="96">
        <v>113.2</v>
      </c>
      <c r="N17" s="84"/>
      <c r="O17" s="94">
        <v>1606.1144710680001</v>
      </c>
      <c r="P17" s="95">
        <v>1.0008636290626848E-4</v>
      </c>
      <c r="Q17" s="95">
        <f t="shared" si="0"/>
        <v>1.2254607643843883E-2</v>
      </c>
      <c r="R17" s="95">
        <f>O17/'סכום נכסי הקרן'!$C$42</f>
        <v>1.6900026504712269E-3</v>
      </c>
      <c r="AV17" s="4"/>
    </row>
    <row r="18" spans="2:48">
      <c r="B18" s="86" t="s">
        <v>277</v>
      </c>
      <c r="C18" s="84" t="s">
        <v>278</v>
      </c>
      <c r="D18" s="97" t="s">
        <v>124</v>
      </c>
      <c r="E18" s="84" t="s">
        <v>272</v>
      </c>
      <c r="F18" s="84"/>
      <c r="G18" s="84"/>
      <c r="H18" s="94">
        <v>13.200000000000729</v>
      </c>
      <c r="I18" s="97" t="s">
        <v>168</v>
      </c>
      <c r="J18" s="98">
        <v>0.04</v>
      </c>
      <c r="K18" s="95">
        <v>-6.0000000000097356E-4</v>
      </c>
      <c r="L18" s="94">
        <v>2025505.4423140001</v>
      </c>
      <c r="M18" s="96">
        <v>202.83</v>
      </c>
      <c r="N18" s="84"/>
      <c r="O18" s="94">
        <v>4108.3326471600003</v>
      </c>
      <c r="P18" s="95">
        <v>1.2486469076539478E-4</v>
      </c>
      <c r="Q18" s="95">
        <f t="shared" si="0"/>
        <v>3.13464610202175E-2</v>
      </c>
      <c r="R18" s="95">
        <f>O18/'סכום נכסי הקרן'!$C$42</f>
        <v>4.322912960307867E-3</v>
      </c>
      <c r="AU18" s="3"/>
    </row>
    <row r="19" spans="2:48">
      <c r="B19" s="86" t="s">
        <v>279</v>
      </c>
      <c r="C19" s="84" t="s">
        <v>280</v>
      </c>
      <c r="D19" s="97" t="s">
        <v>124</v>
      </c>
      <c r="E19" s="84" t="s">
        <v>272</v>
      </c>
      <c r="F19" s="84"/>
      <c r="G19" s="84"/>
      <c r="H19" s="94">
        <v>17.590000000002068</v>
      </c>
      <c r="I19" s="97" t="s">
        <v>168</v>
      </c>
      <c r="J19" s="98">
        <v>2.75E-2</v>
      </c>
      <c r="K19" s="95">
        <v>2.9000000000004968E-3</v>
      </c>
      <c r="L19" s="94">
        <v>2083539.1686740003</v>
      </c>
      <c r="M19" s="96">
        <v>164.26</v>
      </c>
      <c r="N19" s="84"/>
      <c r="O19" s="94">
        <v>3422.4213666269998</v>
      </c>
      <c r="P19" s="95">
        <v>1.1788012846989492E-4</v>
      </c>
      <c r="Q19" s="95">
        <f t="shared" si="0"/>
        <v>2.6112977496574822E-2</v>
      </c>
      <c r="R19" s="95">
        <f>O19/'סכום נכסי הקרן'!$C$42</f>
        <v>3.6011761831539514E-3</v>
      </c>
      <c r="AV19" s="3"/>
    </row>
    <row r="20" spans="2:48">
      <c r="B20" s="86" t="s">
        <v>281</v>
      </c>
      <c r="C20" s="84" t="s">
        <v>282</v>
      </c>
      <c r="D20" s="97" t="s">
        <v>124</v>
      </c>
      <c r="E20" s="84" t="s">
        <v>272</v>
      </c>
      <c r="F20" s="84"/>
      <c r="G20" s="84"/>
      <c r="H20" s="94">
        <v>3.650000000000134</v>
      </c>
      <c r="I20" s="97" t="s">
        <v>168</v>
      </c>
      <c r="J20" s="98">
        <v>1.7500000000000002E-2</v>
      </c>
      <c r="K20" s="95">
        <v>-8.9999999999995778E-3</v>
      </c>
      <c r="L20" s="94">
        <v>6262956.073353</v>
      </c>
      <c r="M20" s="96">
        <v>113.25</v>
      </c>
      <c r="N20" s="84"/>
      <c r="O20" s="94">
        <v>7092.7982303170002</v>
      </c>
      <c r="P20" s="95">
        <v>3.7340554465828684E-4</v>
      </c>
      <c r="Q20" s="95">
        <f t="shared" si="0"/>
        <v>5.4117848369604198E-2</v>
      </c>
      <c r="R20" s="95">
        <f>O20/'סכום נכסי הקרן'!$C$42</f>
        <v>7.4632587056653547E-3</v>
      </c>
    </row>
    <row r="21" spans="2:48">
      <c r="B21" s="86" t="s">
        <v>283</v>
      </c>
      <c r="C21" s="84" t="s">
        <v>284</v>
      </c>
      <c r="D21" s="97" t="s">
        <v>124</v>
      </c>
      <c r="E21" s="84" t="s">
        <v>272</v>
      </c>
      <c r="F21" s="84"/>
      <c r="G21" s="84"/>
      <c r="H21" s="94">
        <v>0.83000000000008578</v>
      </c>
      <c r="I21" s="97" t="s">
        <v>168</v>
      </c>
      <c r="J21" s="98">
        <v>1E-3</v>
      </c>
      <c r="K21" s="95">
        <v>-8.1999999999995306E-3</v>
      </c>
      <c r="L21" s="94">
        <v>1252978.4143040001</v>
      </c>
      <c r="M21" s="96">
        <v>102.3</v>
      </c>
      <c r="N21" s="84"/>
      <c r="O21" s="94">
        <v>1281.7968760830001</v>
      </c>
      <c r="P21" s="95">
        <v>8.2675164625980156E-5</v>
      </c>
      <c r="Q21" s="95">
        <f t="shared" si="0"/>
        <v>9.7800736363808649E-3</v>
      </c>
      <c r="R21" s="95">
        <f>O21/'סכום נכסי הקרן'!$C$42</f>
        <v>1.348745781803179E-3</v>
      </c>
    </row>
    <row r="22" spans="2:48">
      <c r="B22" s="86" t="s">
        <v>285</v>
      </c>
      <c r="C22" s="84" t="s">
        <v>286</v>
      </c>
      <c r="D22" s="97" t="s">
        <v>124</v>
      </c>
      <c r="E22" s="84" t="s">
        <v>272</v>
      </c>
      <c r="F22" s="84"/>
      <c r="G22" s="84"/>
      <c r="H22" s="94">
        <v>5.7300000000005786</v>
      </c>
      <c r="I22" s="97" t="s">
        <v>168</v>
      </c>
      <c r="J22" s="98">
        <v>7.4999999999999997E-3</v>
      </c>
      <c r="K22" s="95">
        <v>-8.0000000000015354E-3</v>
      </c>
      <c r="L22" s="94">
        <v>3532720.1492400002</v>
      </c>
      <c r="M22" s="96">
        <v>110.65</v>
      </c>
      <c r="N22" s="84"/>
      <c r="O22" s="94">
        <v>3908.9549031379997</v>
      </c>
      <c r="P22" s="95">
        <v>2.585200342516931E-4</v>
      </c>
      <c r="Q22" s="95">
        <f t="shared" si="0"/>
        <v>2.9825214515116487E-2</v>
      </c>
      <c r="R22" s="95">
        <f>O22/'סכום נכסי הקרן'!$C$42</f>
        <v>4.1131216148515889E-3</v>
      </c>
    </row>
    <row r="23" spans="2:48">
      <c r="B23" s="86" t="s">
        <v>287</v>
      </c>
      <c r="C23" s="84" t="s">
        <v>288</v>
      </c>
      <c r="D23" s="97" t="s">
        <v>124</v>
      </c>
      <c r="E23" s="84" t="s">
        <v>272</v>
      </c>
      <c r="F23" s="84"/>
      <c r="G23" s="84"/>
      <c r="H23" s="94">
        <v>9.2100000000024433</v>
      </c>
      <c r="I23" s="97" t="s">
        <v>168</v>
      </c>
      <c r="J23" s="98">
        <v>5.0000000000000001E-3</v>
      </c>
      <c r="K23" s="95">
        <v>-5.3000000000017868E-3</v>
      </c>
      <c r="L23" s="94">
        <v>1512737.6093909999</v>
      </c>
      <c r="M23" s="96">
        <v>111</v>
      </c>
      <c r="N23" s="84"/>
      <c r="O23" s="94">
        <v>1679.1387579899999</v>
      </c>
      <c r="P23" s="95">
        <v>1.7657963574990959E-4</v>
      </c>
      <c r="Q23" s="95">
        <f t="shared" si="0"/>
        <v>1.2811780872041949E-2</v>
      </c>
      <c r="R23" s="95">
        <f>O23/'סכום נכסי הקרן'!$C$42</f>
        <v>1.766841033207974E-3</v>
      </c>
    </row>
    <row r="24" spans="2:48">
      <c r="B24" s="86" t="s">
        <v>289</v>
      </c>
      <c r="C24" s="84" t="s">
        <v>290</v>
      </c>
      <c r="D24" s="97" t="s">
        <v>124</v>
      </c>
      <c r="E24" s="84" t="s">
        <v>272</v>
      </c>
      <c r="F24" s="84"/>
      <c r="G24" s="84"/>
      <c r="H24" s="94">
        <v>22.629999999997342</v>
      </c>
      <c r="I24" s="97" t="s">
        <v>168</v>
      </c>
      <c r="J24" s="98">
        <v>0.01</v>
      </c>
      <c r="K24" s="95">
        <v>5.7000000000004825E-3</v>
      </c>
      <c r="L24" s="94">
        <v>1293469.781672</v>
      </c>
      <c r="M24" s="96">
        <v>112.4</v>
      </c>
      <c r="N24" s="84"/>
      <c r="O24" s="94">
        <v>1453.8600056489997</v>
      </c>
      <c r="P24" s="95">
        <v>8.7505847277452581E-5</v>
      </c>
      <c r="Q24" s="95">
        <f t="shared" si="0"/>
        <v>1.1092910411583499E-2</v>
      </c>
      <c r="R24" s="95">
        <f>O24/'סכום נכסי הקרן'!$C$42</f>
        <v>1.52979585653512E-3</v>
      </c>
    </row>
    <row r="25" spans="2:48">
      <c r="B25" s="86" t="s">
        <v>291</v>
      </c>
      <c r="C25" s="84" t="s">
        <v>292</v>
      </c>
      <c r="D25" s="97" t="s">
        <v>124</v>
      </c>
      <c r="E25" s="84" t="s">
        <v>272</v>
      </c>
      <c r="F25" s="84"/>
      <c r="G25" s="84"/>
      <c r="H25" s="94">
        <v>2.6700000000000523</v>
      </c>
      <c r="I25" s="97" t="s">
        <v>168</v>
      </c>
      <c r="J25" s="98">
        <v>2.75E-2</v>
      </c>
      <c r="K25" s="95">
        <v>-9.5999999999993851E-3</v>
      </c>
      <c r="L25" s="94">
        <v>6154516.2729179999</v>
      </c>
      <c r="M25" s="96">
        <v>115.85</v>
      </c>
      <c r="N25" s="84"/>
      <c r="O25" s="94">
        <v>7130.0071350889984</v>
      </c>
      <c r="P25" s="95">
        <v>3.7117346307742968E-4</v>
      </c>
      <c r="Q25" s="95">
        <f t="shared" si="0"/>
        <v>5.4401751252650121E-2</v>
      </c>
      <c r="R25" s="95">
        <f>O25/'סכום נכסי הקרן'!$C$42</f>
        <v>7.5024110505439818E-3</v>
      </c>
    </row>
    <row r="26" spans="2:48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48" s="100" customFormat="1">
      <c r="B27" s="123" t="s">
        <v>48</v>
      </c>
      <c r="C27" s="124"/>
      <c r="D27" s="124"/>
      <c r="E27" s="124"/>
      <c r="F27" s="124"/>
      <c r="G27" s="124"/>
      <c r="H27" s="125">
        <v>4.5088665152679548</v>
      </c>
      <c r="I27" s="124"/>
      <c r="J27" s="124"/>
      <c r="K27" s="126">
        <v>4.9198111838003981E-3</v>
      </c>
      <c r="L27" s="125"/>
      <c r="M27" s="127"/>
      <c r="N27" s="124"/>
      <c r="O27" s="125">
        <v>88077.499604768003</v>
      </c>
      <c r="P27" s="124"/>
      <c r="Q27" s="126">
        <f t="shared" ref="Q27:Q40" si="1">O27/$O$11</f>
        <v>0.67202881198718034</v>
      </c>
      <c r="R27" s="126">
        <f>O27/'סכום נכסי הקרן'!$C$42</f>
        <v>9.2677832408767494E-2</v>
      </c>
    </row>
    <row r="28" spans="2:48">
      <c r="B28" s="85" t="s">
        <v>23</v>
      </c>
      <c r="C28" s="82"/>
      <c r="D28" s="82"/>
      <c r="E28" s="82"/>
      <c r="F28" s="82"/>
      <c r="G28" s="82"/>
      <c r="H28" s="91">
        <v>0.44721731127518072</v>
      </c>
      <c r="I28" s="82"/>
      <c r="J28" s="82"/>
      <c r="K28" s="92">
        <v>1.7484510466790944E-3</v>
      </c>
      <c r="L28" s="91"/>
      <c r="M28" s="93"/>
      <c r="N28" s="82"/>
      <c r="O28" s="91">
        <v>23376.663849540008</v>
      </c>
      <c r="P28" s="82"/>
      <c r="Q28" s="92">
        <f t="shared" si="1"/>
        <v>0.17836327899321519</v>
      </c>
      <c r="R28" s="92">
        <f>O28/'סכום נכסי הקרן'!$C$42</f>
        <v>2.4597638945764087E-2</v>
      </c>
    </row>
    <row r="29" spans="2:48">
      <c r="B29" s="86" t="s">
        <v>293</v>
      </c>
      <c r="C29" s="84" t="s">
        <v>294</v>
      </c>
      <c r="D29" s="97" t="s">
        <v>124</v>
      </c>
      <c r="E29" s="84" t="s">
        <v>272</v>
      </c>
      <c r="F29" s="84"/>
      <c r="G29" s="84"/>
      <c r="H29" s="94">
        <v>0.78999999999961867</v>
      </c>
      <c r="I29" s="97" t="s">
        <v>168</v>
      </c>
      <c r="J29" s="98">
        <v>0</v>
      </c>
      <c r="K29" s="95">
        <v>1.3999999999980022E-3</v>
      </c>
      <c r="L29" s="94">
        <v>2205061.0950000002</v>
      </c>
      <c r="M29" s="96">
        <v>99.89</v>
      </c>
      <c r="N29" s="84"/>
      <c r="O29" s="94">
        <v>2202.6355277959997</v>
      </c>
      <c r="P29" s="95">
        <v>2.4500678833333338E-4</v>
      </c>
      <c r="Q29" s="95">
        <f t="shared" si="1"/>
        <v>1.680604630726109E-2</v>
      </c>
      <c r="R29" s="95">
        <f>O29/'סכום נכסי הקרן'!$C$42</f>
        <v>2.3176803067604802E-3</v>
      </c>
    </row>
    <row r="30" spans="2:48">
      <c r="B30" s="86" t="s">
        <v>295</v>
      </c>
      <c r="C30" s="84" t="s">
        <v>296</v>
      </c>
      <c r="D30" s="97" t="s">
        <v>124</v>
      </c>
      <c r="E30" s="84" t="s">
        <v>272</v>
      </c>
      <c r="F30" s="84"/>
      <c r="G30" s="84"/>
      <c r="H30" s="94">
        <v>0.83999999999982966</v>
      </c>
      <c r="I30" s="97" t="s">
        <v>168</v>
      </c>
      <c r="J30" s="98">
        <v>0</v>
      </c>
      <c r="K30" s="95">
        <v>1.39999999999769E-3</v>
      </c>
      <c r="L30" s="94">
        <v>1646965.986</v>
      </c>
      <c r="M30" s="96">
        <v>99.88</v>
      </c>
      <c r="N30" s="84"/>
      <c r="O30" s="94">
        <v>1644.989626817</v>
      </c>
      <c r="P30" s="95">
        <v>1.8299622066666668E-4</v>
      </c>
      <c r="Q30" s="95">
        <f t="shared" si="1"/>
        <v>1.2551223974360181E-2</v>
      </c>
      <c r="R30" s="95">
        <f>O30/'סכום נכסי הקרן'!$C$42</f>
        <v>1.7309082754666885E-3</v>
      </c>
    </row>
    <row r="31" spans="2:48">
      <c r="B31" s="86" t="s">
        <v>297</v>
      </c>
      <c r="C31" s="84" t="s">
        <v>298</v>
      </c>
      <c r="D31" s="97" t="s">
        <v>124</v>
      </c>
      <c r="E31" s="84" t="s">
        <v>272</v>
      </c>
      <c r="F31" s="84"/>
      <c r="G31" s="84"/>
      <c r="H31" s="94">
        <v>2.000000000245624E-2</v>
      </c>
      <c r="I31" s="97" t="s">
        <v>168</v>
      </c>
      <c r="J31" s="98">
        <v>0</v>
      </c>
      <c r="K31" s="95">
        <v>0</v>
      </c>
      <c r="L31" s="94">
        <v>170992.82857900002</v>
      </c>
      <c r="M31" s="96">
        <v>100</v>
      </c>
      <c r="N31" s="84"/>
      <c r="O31" s="94">
        <v>170.99282857900002</v>
      </c>
      <c r="P31" s="95">
        <v>1.4249402381583335E-5</v>
      </c>
      <c r="Q31" s="95">
        <f t="shared" si="1"/>
        <v>1.3046704091728358E-3</v>
      </c>
      <c r="R31" s="95">
        <f>O31/'סכום נכסי הקרן'!$C$42</f>
        <v>1.7992387137756344E-4</v>
      </c>
    </row>
    <row r="32" spans="2:48">
      <c r="B32" s="86" t="s">
        <v>299</v>
      </c>
      <c r="C32" s="84" t="s">
        <v>300</v>
      </c>
      <c r="D32" s="97" t="s">
        <v>124</v>
      </c>
      <c r="E32" s="84" t="s">
        <v>272</v>
      </c>
      <c r="F32" s="84"/>
      <c r="G32" s="84"/>
      <c r="H32" s="94">
        <v>0.91999999999846049</v>
      </c>
      <c r="I32" s="97" t="s">
        <v>168</v>
      </c>
      <c r="J32" s="98">
        <v>0</v>
      </c>
      <c r="K32" s="95">
        <v>1.499999999991447E-3</v>
      </c>
      <c r="L32" s="94">
        <v>234165.78</v>
      </c>
      <c r="M32" s="96">
        <v>99.86</v>
      </c>
      <c r="N32" s="84"/>
      <c r="O32" s="94">
        <v>233.83794790799999</v>
      </c>
      <c r="P32" s="95">
        <v>2.6018419999999999E-5</v>
      </c>
      <c r="Q32" s="95">
        <f t="shared" si="1"/>
        <v>1.7841768787181423E-3</v>
      </c>
      <c r="R32" s="95">
        <f>O32/'סכום נכסי הקרן'!$C$42</f>
        <v>2.4605142339729352E-4</v>
      </c>
    </row>
    <row r="33" spans="2:18">
      <c r="B33" s="86" t="s">
        <v>301</v>
      </c>
      <c r="C33" s="84" t="s">
        <v>302</v>
      </c>
      <c r="D33" s="97" t="s">
        <v>124</v>
      </c>
      <c r="E33" s="84" t="s">
        <v>272</v>
      </c>
      <c r="F33" s="84"/>
      <c r="G33" s="84"/>
      <c r="H33" s="94">
        <v>0.10000000000007589</v>
      </c>
      <c r="I33" s="97" t="s">
        <v>168</v>
      </c>
      <c r="J33" s="98">
        <v>0</v>
      </c>
      <c r="K33" s="95">
        <v>3.0999999999993168E-3</v>
      </c>
      <c r="L33" s="94">
        <v>2636316.4065</v>
      </c>
      <c r="M33" s="96">
        <v>99.97</v>
      </c>
      <c r="N33" s="84"/>
      <c r="O33" s="94">
        <v>2635.5255115780001</v>
      </c>
      <c r="P33" s="95">
        <v>2.19693033875E-4</v>
      </c>
      <c r="Q33" s="95">
        <f t="shared" si="1"/>
        <v>2.0108984547192905E-2</v>
      </c>
      <c r="R33" s="95">
        <f>O33/'סכום נכסי הקרן'!$C$42</f>
        <v>2.7731803555630747E-3</v>
      </c>
    </row>
    <row r="34" spans="2:18">
      <c r="B34" s="86" t="s">
        <v>303</v>
      </c>
      <c r="C34" s="84" t="s">
        <v>304</v>
      </c>
      <c r="D34" s="97" t="s">
        <v>124</v>
      </c>
      <c r="E34" s="84" t="s">
        <v>272</v>
      </c>
      <c r="F34" s="84"/>
      <c r="G34" s="84"/>
      <c r="H34" s="94">
        <v>0.17000000000017201</v>
      </c>
      <c r="I34" s="97" t="s">
        <v>168</v>
      </c>
      <c r="J34" s="98">
        <v>0</v>
      </c>
      <c r="K34" s="95">
        <v>1.7000000000017201E-3</v>
      </c>
      <c r="L34" s="94">
        <v>2849016.99</v>
      </c>
      <c r="M34" s="96">
        <v>99.97</v>
      </c>
      <c r="N34" s="84"/>
      <c r="O34" s="94">
        <v>2848.162284903</v>
      </c>
      <c r="P34" s="95">
        <v>2.3741808250000003E-4</v>
      </c>
      <c r="Q34" s="95">
        <f t="shared" si="1"/>
        <v>2.1731397068025314E-2</v>
      </c>
      <c r="R34" s="95">
        <f>O34/'סכום נכסי הקרן'!$C$42</f>
        <v>2.996923256197014E-3</v>
      </c>
    </row>
    <row r="35" spans="2:18">
      <c r="B35" s="86" t="s">
        <v>305</v>
      </c>
      <c r="C35" s="84" t="s">
        <v>306</v>
      </c>
      <c r="D35" s="97" t="s">
        <v>124</v>
      </c>
      <c r="E35" s="84" t="s">
        <v>272</v>
      </c>
      <c r="F35" s="84"/>
      <c r="G35" s="84"/>
      <c r="H35" s="94">
        <v>0.26999999999981222</v>
      </c>
      <c r="I35" s="97" t="s">
        <v>168</v>
      </c>
      <c r="J35" s="98">
        <v>0</v>
      </c>
      <c r="K35" s="95">
        <v>1.8999999999966919E-3</v>
      </c>
      <c r="L35" s="94">
        <v>1118928.396521</v>
      </c>
      <c r="M35" s="96">
        <v>99.95</v>
      </c>
      <c r="N35" s="84"/>
      <c r="O35" s="94">
        <v>1118.3689323229999</v>
      </c>
      <c r="P35" s="95">
        <v>1.118928396521E-4</v>
      </c>
      <c r="Q35" s="95">
        <f t="shared" si="1"/>
        <v>8.5331230827959473E-3</v>
      </c>
      <c r="R35" s="95">
        <f>O35/'סכום נכסי הקרן'!$C$42</f>
        <v>1.1767819130436841E-3</v>
      </c>
    </row>
    <row r="36" spans="2:18">
      <c r="B36" s="86" t="s">
        <v>307</v>
      </c>
      <c r="C36" s="84" t="s">
        <v>308</v>
      </c>
      <c r="D36" s="97" t="s">
        <v>124</v>
      </c>
      <c r="E36" s="84" t="s">
        <v>272</v>
      </c>
      <c r="F36" s="84"/>
      <c r="G36" s="84"/>
      <c r="H36" s="94">
        <v>0.35000000000009607</v>
      </c>
      <c r="I36" s="97" t="s">
        <v>168</v>
      </c>
      <c r="J36" s="98">
        <v>0</v>
      </c>
      <c r="K36" s="95">
        <v>1.7000000000004054E-3</v>
      </c>
      <c r="L36" s="94">
        <v>4687860.3675140003</v>
      </c>
      <c r="M36" s="96">
        <v>99.94</v>
      </c>
      <c r="N36" s="84"/>
      <c r="O36" s="94">
        <v>4685.0476512929999</v>
      </c>
      <c r="P36" s="95">
        <v>4.6878603675140005E-4</v>
      </c>
      <c r="Q36" s="95">
        <f t="shared" si="1"/>
        <v>3.5746780066759791E-2</v>
      </c>
      <c r="R36" s="95">
        <f>O36/'סכום נכסי הקרן'!$C$42</f>
        <v>4.9297500837559806E-3</v>
      </c>
    </row>
    <row r="37" spans="2:18">
      <c r="B37" s="86" t="s">
        <v>309</v>
      </c>
      <c r="C37" s="84" t="s">
        <v>310</v>
      </c>
      <c r="D37" s="97" t="s">
        <v>124</v>
      </c>
      <c r="E37" s="84" t="s">
        <v>272</v>
      </c>
      <c r="F37" s="84"/>
      <c r="G37" s="84"/>
      <c r="H37" s="94">
        <v>0.41999999999994969</v>
      </c>
      <c r="I37" s="97" t="s">
        <v>168</v>
      </c>
      <c r="J37" s="98">
        <v>0</v>
      </c>
      <c r="K37" s="95">
        <v>1.7000000000007554E-3</v>
      </c>
      <c r="L37" s="94">
        <v>1987354.7847460001</v>
      </c>
      <c r="M37" s="96">
        <v>99.93</v>
      </c>
      <c r="N37" s="84"/>
      <c r="O37" s="94">
        <v>1985.963636405</v>
      </c>
      <c r="P37" s="95">
        <v>1.9873547847460002E-4</v>
      </c>
      <c r="Q37" s="95">
        <f t="shared" si="1"/>
        <v>1.5152845950576279E-2</v>
      </c>
      <c r="R37" s="95">
        <f>O37/'סכום נכסי הקרן'!$C$42</f>
        <v>2.0896915317823736E-3</v>
      </c>
    </row>
    <row r="38" spans="2:18">
      <c r="B38" s="86" t="s">
        <v>311</v>
      </c>
      <c r="C38" s="84" t="s">
        <v>312</v>
      </c>
      <c r="D38" s="97" t="s">
        <v>124</v>
      </c>
      <c r="E38" s="84" t="s">
        <v>272</v>
      </c>
      <c r="F38" s="84"/>
      <c r="G38" s="84"/>
      <c r="H38" s="94">
        <v>0.51999999999988689</v>
      </c>
      <c r="I38" s="97" t="s">
        <v>168</v>
      </c>
      <c r="J38" s="98">
        <v>0</v>
      </c>
      <c r="K38" s="95">
        <v>1.7000000000045234E-3</v>
      </c>
      <c r="L38" s="94">
        <v>708008.18575800001</v>
      </c>
      <c r="M38" s="96">
        <v>99.91</v>
      </c>
      <c r="N38" s="84"/>
      <c r="O38" s="94">
        <v>707.37097840400008</v>
      </c>
      <c r="P38" s="95">
        <v>7.8667576195333333E-5</v>
      </c>
      <c r="Q38" s="95">
        <f t="shared" si="1"/>
        <v>5.3972204068485569E-3</v>
      </c>
      <c r="R38" s="95">
        <f>O38/'סכום נכסי הקרן'!$C$42</f>
        <v>7.4431732600868368E-4</v>
      </c>
    </row>
    <row r="39" spans="2:18">
      <c r="B39" s="86" t="s">
        <v>313</v>
      </c>
      <c r="C39" s="84" t="s">
        <v>314</v>
      </c>
      <c r="D39" s="97" t="s">
        <v>124</v>
      </c>
      <c r="E39" s="84" t="s">
        <v>272</v>
      </c>
      <c r="F39" s="84"/>
      <c r="G39" s="84"/>
      <c r="H39" s="94">
        <v>0.59000000000001773</v>
      </c>
      <c r="I39" s="97" t="s">
        <v>168</v>
      </c>
      <c r="J39" s="98">
        <v>0</v>
      </c>
      <c r="K39" s="95">
        <v>1.3000000000012515E-3</v>
      </c>
      <c r="L39" s="94">
        <v>2798546.4979119999</v>
      </c>
      <c r="M39" s="96">
        <v>99.92</v>
      </c>
      <c r="N39" s="84"/>
      <c r="O39" s="94">
        <v>2796.3076607050002</v>
      </c>
      <c r="P39" s="95">
        <v>3.1094961087911111E-4</v>
      </c>
      <c r="Q39" s="95">
        <f t="shared" si="1"/>
        <v>2.1335747763126821E-2</v>
      </c>
      <c r="R39" s="95">
        <f>O39/'סכום נכסי הקרן'!$C$42</f>
        <v>2.9423602384841259E-3</v>
      </c>
    </row>
    <row r="40" spans="2:18">
      <c r="B40" s="86" t="s">
        <v>315</v>
      </c>
      <c r="C40" s="84" t="s">
        <v>316</v>
      </c>
      <c r="D40" s="97" t="s">
        <v>124</v>
      </c>
      <c r="E40" s="84" t="s">
        <v>272</v>
      </c>
      <c r="F40" s="84"/>
      <c r="G40" s="84"/>
      <c r="H40" s="94">
        <v>0.67000000000024273</v>
      </c>
      <c r="I40" s="97" t="s">
        <v>168</v>
      </c>
      <c r="J40" s="98">
        <v>0</v>
      </c>
      <c r="K40" s="95">
        <v>1.4999999999985088E-3</v>
      </c>
      <c r="L40" s="94">
        <v>2349811.0738920001</v>
      </c>
      <c r="M40" s="96">
        <v>99.9</v>
      </c>
      <c r="N40" s="84"/>
      <c r="O40" s="94">
        <v>2347.4612628290001</v>
      </c>
      <c r="P40" s="95">
        <v>2.6109011932133337E-4</v>
      </c>
      <c r="Q40" s="95">
        <f t="shared" si="1"/>
        <v>1.7911062538377268E-2</v>
      </c>
      <c r="R40" s="95">
        <f>O40/'סכום נכסי הקרן'!$C$42</f>
        <v>2.4700703639271167E-3</v>
      </c>
    </row>
    <row r="41" spans="2:18">
      <c r="B41" s="87"/>
      <c r="C41" s="84"/>
      <c r="D41" s="84"/>
      <c r="E41" s="84"/>
      <c r="F41" s="84"/>
      <c r="G41" s="84"/>
      <c r="H41" s="84"/>
      <c r="I41" s="84"/>
      <c r="J41" s="84"/>
      <c r="K41" s="95"/>
      <c r="L41" s="94"/>
      <c r="M41" s="96"/>
      <c r="N41" s="84"/>
      <c r="O41" s="84"/>
      <c r="P41" s="84"/>
      <c r="Q41" s="95"/>
      <c r="R41" s="84"/>
    </row>
    <row r="42" spans="2:18">
      <c r="B42" s="85" t="s">
        <v>24</v>
      </c>
      <c r="C42" s="82"/>
      <c r="D42" s="82"/>
      <c r="E42" s="82"/>
      <c r="F42" s="82"/>
      <c r="G42" s="82"/>
      <c r="H42" s="91">
        <v>5.989047521354518</v>
      </c>
      <c r="I42" s="82"/>
      <c r="J42" s="82"/>
      <c r="K42" s="92">
        <v>6.0665051783527464E-3</v>
      </c>
      <c r="L42" s="91"/>
      <c r="M42" s="93"/>
      <c r="N42" s="82"/>
      <c r="O42" s="91">
        <v>64553.652917444015</v>
      </c>
      <c r="P42" s="82"/>
      <c r="Q42" s="92">
        <f t="shared" ref="Q42:Q57" si="2">O42/$O$11</f>
        <v>0.49254253213603072</v>
      </c>
      <c r="R42" s="92">
        <f>O42/'סכום נכסי הקרן'!$C$42</f>
        <v>6.792532319040484E-2</v>
      </c>
    </row>
    <row r="43" spans="2:18">
      <c r="B43" s="86" t="s">
        <v>317</v>
      </c>
      <c r="C43" s="84" t="s">
        <v>318</v>
      </c>
      <c r="D43" s="97" t="s">
        <v>124</v>
      </c>
      <c r="E43" s="84" t="s">
        <v>272</v>
      </c>
      <c r="F43" s="84"/>
      <c r="G43" s="84"/>
      <c r="H43" s="94">
        <v>5.900000000000472</v>
      </c>
      <c r="I43" s="97" t="s">
        <v>168</v>
      </c>
      <c r="J43" s="98">
        <v>6.25E-2</v>
      </c>
      <c r="K43" s="95">
        <v>6.5000000000007873E-3</v>
      </c>
      <c r="L43" s="94">
        <v>918735.37059299985</v>
      </c>
      <c r="M43" s="96">
        <v>138.36000000000001</v>
      </c>
      <c r="N43" s="84"/>
      <c r="O43" s="94">
        <v>1271.1622940460002</v>
      </c>
      <c r="P43" s="95">
        <v>5.5788011628634289E-5</v>
      </c>
      <c r="Q43" s="95">
        <f t="shared" si="2"/>
        <v>9.6989320784986004E-3</v>
      </c>
      <c r="R43" s="95">
        <f>O43/'סכום נכסי הקרן'!$C$42</f>
        <v>1.3375557501130761E-3</v>
      </c>
    </row>
    <row r="44" spans="2:18">
      <c r="B44" s="86" t="s">
        <v>319</v>
      </c>
      <c r="C44" s="84" t="s">
        <v>320</v>
      </c>
      <c r="D44" s="97" t="s">
        <v>124</v>
      </c>
      <c r="E44" s="84" t="s">
        <v>272</v>
      </c>
      <c r="F44" s="84"/>
      <c r="G44" s="84"/>
      <c r="H44" s="94">
        <v>3.9300000000004447</v>
      </c>
      <c r="I44" s="97" t="s">
        <v>168</v>
      </c>
      <c r="J44" s="98">
        <v>3.7499999999999999E-2</v>
      </c>
      <c r="K44" s="95">
        <v>3.9000000000007735E-3</v>
      </c>
      <c r="L44" s="94">
        <v>1768698.3283269999</v>
      </c>
      <c r="M44" s="96">
        <v>116.98</v>
      </c>
      <c r="N44" s="84"/>
      <c r="O44" s="94">
        <v>2069.023348056</v>
      </c>
      <c r="P44" s="95">
        <v>1.0899734111602734E-4</v>
      </c>
      <c r="Q44" s="95">
        <f t="shared" si="2"/>
        <v>1.5786589183471113E-2</v>
      </c>
      <c r="R44" s="95">
        <f>O44/'סכום נכסי הקרן'!$C$42</f>
        <v>2.1770894946089117E-3</v>
      </c>
    </row>
    <row r="45" spans="2:18">
      <c r="B45" s="86" t="s">
        <v>321</v>
      </c>
      <c r="C45" s="84" t="s">
        <v>322</v>
      </c>
      <c r="D45" s="97" t="s">
        <v>124</v>
      </c>
      <c r="E45" s="84" t="s">
        <v>272</v>
      </c>
      <c r="F45" s="84"/>
      <c r="G45" s="84"/>
      <c r="H45" s="94">
        <v>18.770000000000159</v>
      </c>
      <c r="I45" s="97" t="s">
        <v>168</v>
      </c>
      <c r="J45" s="98">
        <v>3.7499999999999999E-2</v>
      </c>
      <c r="K45" s="95">
        <v>1.8699999999999824E-2</v>
      </c>
      <c r="L45" s="94">
        <v>6020759.6592889996</v>
      </c>
      <c r="M45" s="96">
        <v>142.79</v>
      </c>
      <c r="N45" s="84"/>
      <c r="O45" s="94">
        <v>8597.0428659450008</v>
      </c>
      <c r="P45" s="95">
        <v>4.1273603426682167E-4</v>
      </c>
      <c r="Q45" s="95">
        <f t="shared" si="2"/>
        <v>6.5595192072086528E-2</v>
      </c>
      <c r="R45" s="95">
        <f>O45/'סכום נכסי הקרן'!$C$42</f>
        <v>9.0460708071452706E-3</v>
      </c>
    </row>
    <row r="46" spans="2:18">
      <c r="B46" s="86" t="s">
        <v>323</v>
      </c>
      <c r="C46" s="84" t="s">
        <v>324</v>
      </c>
      <c r="D46" s="97" t="s">
        <v>124</v>
      </c>
      <c r="E46" s="84" t="s">
        <v>272</v>
      </c>
      <c r="F46" s="84"/>
      <c r="G46" s="84"/>
      <c r="H46" s="94">
        <v>2.8799999999999257</v>
      </c>
      <c r="I46" s="97" t="s">
        <v>168</v>
      </c>
      <c r="J46" s="98">
        <v>1.2500000000000001E-2</v>
      </c>
      <c r="K46" s="95">
        <v>2.6999999999987672E-3</v>
      </c>
      <c r="L46" s="94">
        <v>4176448.163675</v>
      </c>
      <c r="M46" s="96">
        <v>102.96</v>
      </c>
      <c r="N46" s="84"/>
      <c r="O46" s="94">
        <v>4300.0709893389994</v>
      </c>
      <c r="P46" s="95">
        <v>3.5947395420892587E-4</v>
      </c>
      <c r="Q46" s="95">
        <f t="shared" si="2"/>
        <v>3.2809419106961016E-2</v>
      </c>
      <c r="R46" s="95">
        <f>O46/'סכום נכסי הקרן'!$C$42</f>
        <v>4.5246658940598398E-3</v>
      </c>
    </row>
    <row r="47" spans="2:18">
      <c r="B47" s="86" t="s">
        <v>325</v>
      </c>
      <c r="C47" s="84" t="s">
        <v>326</v>
      </c>
      <c r="D47" s="97" t="s">
        <v>124</v>
      </c>
      <c r="E47" s="84" t="s">
        <v>272</v>
      </c>
      <c r="F47" s="84"/>
      <c r="G47" s="84"/>
      <c r="H47" s="94">
        <v>3.829999999999866</v>
      </c>
      <c r="I47" s="97" t="s">
        <v>168</v>
      </c>
      <c r="J47" s="98">
        <v>1.4999999999999999E-2</v>
      </c>
      <c r="K47" s="95">
        <v>3.499999999999863E-3</v>
      </c>
      <c r="L47" s="94">
        <v>3489301.2509340001</v>
      </c>
      <c r="M47" s="96">
        <v>104.59</v>
      </c>
      <c r="N47" s="84"/>
      <c r="O47" s="94">
        <v>3649.4600684030002</v>
      </c>
      <c r="P47" s="95">
        <v>2.2149732921240408E-4</v>
      </c>
      <c r="Q47" s="95">
        <f t="shared" si="2"/>
        <v>2.784527632106799E-2</v>
      </c>
      <c r="R47" s="95">
        <f>O47/'סכום נכסי הקרן'!$C$42</f>
        <v>3.8400732323199708E-3</v>
      </c>
    </row>
    <row r="48" spans="2:18">
      <c r="B48" s="86" t="s">
        <v>327</v>
      </c>
      <c r="C48" s="84" t="s">
        <v>328</v>
      </c>
      <c r="D48" s="97" t="s">
        <v>124</v>
      </c>
      <c r="E48" s="84" t="s">
        <v>272</v>
      </c>
      <c r="F48" s="84"/>
      <c r="G48" s="84"/>
      <c r="H48" s="94">
        <v>1.079999999999921</v>
      </c>
      <c r="I48" s="97" t="s">
        <v>168</v>
      </c>
      <c r="J48" s="98">
        <v>5.0000000000000001E-3</v>
      </c>
      <c r="K48" s="95">
        <v>1.3999999999998519E-3</v>
      </c>
      <c r="L48" s="94">
        <v>8008414.0589740006</v>
      </c>
      <c r="M48" s="96">
        <v>100.85</v>
      </c>
      <c r="N48" s="84"/>
      <c r="O48" s="94">
        <v>8076.4859186079984</v>
      </c>
      <c r="P48" s="95">
        <v>5.1192170374267777E-4</v>
      </c>
      <c r="Q48" s="95">
        <f t="shared" si="2"/>
        <v>6.1623357398527957E-2</v>
      </c>
      <c r="R48" s="95">
        <f>O48/'סכום נכסי הקרן'!$C$42</f>
        <v>8.4983249044913011E-3</v>
      </c>
    </row>
    <row r="49" spans="2:18">
      <c r="B49" s="86" t="s">
        <v>329</v>
      </c>
      <c r="C49" s="84" t="s">
        <v>330</v>
      </c>
      <c r="D49" s="97" t="s">
        <v>124</v>
      </c>
      <c r="E49" s="84" t="s">
        <v>272</v>
      </c>
      <c r="F49" s="84"/>
      <c r="G49" s="84"/>
      <c r="H49" s="94">
        <v>1.9400000000001301</v>
      </c>
      <c r="I49" s="97" t="s">
        <v>168</v>
      </c>
      <c r="J49" s="98">
        <v>5.5E-2</v>
      </c>
      <c r="K49" s="95">
        <v>1.7999999999997122E-3</v>
      </c>
      <c r="L49" s="94">
        <v>7172700.5105969999</v>
      </c>
      <c r="M49" s="96">
        <v>116.1</v>
      </c>
      <c r="N49" s="84"/>
      <c r="O49" s="94">
        <v>8327.5050569680006</v>
      </c>
      <c r="P49" s="95">
        <v>4.0474485456575238E-4</v>
      </c>
      <c r="Q49" s="95">
        <f t="shared" si="2"/>
        <v>6.3538626270772211E-2</v>
      </c>
      <c r="R49" s="95">
        <f>O49/'סכום נכסי הקרן'!$C$42</f>
        <v>8.7624549006959408E-3</v>
      </c>
    </row>
    <row r="50" spans="2:18">
      <c r="B50" s="86" t="s">
        <v>331</v>
      </c>
      <c r="C50" s="84" t="s">
        <v>332</v>
      </c>
      <c r="D50" s="97" t="s">
        <v>124</v>
      </c>
      <c r="E50" s="84" t="s">
        <v>272</v>
      </c>
      <c r="F50" s="84"/>
      <c r="G50" s="84"/>
      <c r="H50" s="94">
        <v>15.029999999999687</v>
      </c>
      <c r="I50" s="97" t="s">
        <v>168</v>
      </c>
      <c r="J50" s="98">
        <v>5.5E-2</v>
      </c>
      <c r="K50" s="95">
        <v>1.6199999999999215E-2</v>
      </c>
      <c r="L50" s="94">
        <v>2888189.0156390001</v>
      </c>
      <c r="M50" s="96">
        <v>176.61</v>
      </c>
      <c r="N50" s="84"/>
      <c r="O50" s="94">
        <v>5100.8304820200001</v>
      </c>
      <c r="P50" s="95">
        <v>1.5796587698955339E-4</v>
      </c>
      <c r="Q50" s="95">
        <f t="shared" si="2"/>
        <v>3.8919191216394727E-2</v>
      </c>
      <c r="R50" s="95">
        <f>O50/'סכום נכסי הקרן'!$C$42</f>
        <v>5.3672494641593032E-3</v>
      </c>
    </row>
    <row r="51" spans="2:18">
      <c r="B51" s="86" t="s">
        <v>333</v>
      </c>
      <c r="C51" s="84" t="s">
        <v>334</v>
      </c>
      <c r="D51" s="97" t="s">
        <v>124</v>
      </c>
      <c r="E51" s="84" t="s">
        <v>272</v>
      </c>
      <c r="F51" s="84"/>
      <c r="G51" s="84"/>
      <c r="H51" s="94">
        <v>3.029999999999784</v>
      </c>
      <c r="I51" s="97" t="s">
        <v>168</v>
      </c>
      <c r="J51" s="98">
        <v>4.2500000000000003E-2</v>
      </c>
      <c r="K51" s="95">
        <v>3.000000000000746E-3</v>
      </c>
      <c r="L51" s="94">
        <v>4626740.9691329999</v>
      </c>
      <c r="M51" s="96">
        <v>115.95</v>
      </c>
      <c r="N51" s="84"/>
      <c r="O51" s="94">
        <v>5364.7063755720001</v>
      </c>
      <c r="P51" s="95">
        <v>2.7342884800937825E-4</v>
      </c>
      <c r="Q51" s="95">
        <f t="shared" si="2"/>
        <v>4.093255676436728E-2</v>
      </c>
      <c r="R51" s="95">
        <f>O51/'סכום נכסי הקרן'!$C$42</f>
        <v>5.6449077304482585E-3</v>
      </c>
    </row>
    <row r="52" spans="2:18">
      <c r="B52" s="86" t="s">
        <v>335</v>
      </c>
      <c r="C52" s="84" t="s">
        <v>336</v>
      </c>
      <c r="D52" s="97" t="s">
        <v>124</v>
      </c>
      <c r="E52" s="84" t="s">
        <v>272</v>
      </c>
      <c r="F52" s="84"/>
      <c r="G52" s="84"/>
      <c r="H52" s="94">
        <v>6.7500000000013136</v>
      </c>
      <c r="I52" s="97" t="s">
        <v>168</v>
      </c>
      <c r="J52" s="98">
        <v>0.02</v>
      </c>
      <c r="K52" s="95">
        <v>7.1999999999998099E-3</v>
      </c>
      <c r="L52" s="94">
        <v>1895003.681328</v>
      </c>
      <c r="M52" s="96">
        <v>110.52</v>
      </c>
      <c r="N52" s="84"/>
      <c r="O52" s="94">
        <v>2094.3580556070001</v>
      </c>
      <c r="P52" s="95">
        <v>1.1636087650564097E-4</v>
      </c>
      <c r="Q52" s="95">
        <f t="shared" si="2"/>
        <v>1.5979892280106926E-2</v>
      </c>
      <c r="R52" s="95">
        <f>O52/'סכום נכסי הקרן'!$C$42</f>
        <v>2.2037474468790466E-3</v>
      </c>
    </row>
    <row r="53" spans="2:18">
      <c r="B53" s="86" t="s">
        <v>337</v>
      </c>
      <c r="C53" s="84" t="s">
        <v>338</v>
      </c>
      <c r="D53" s="97" t="s">
        <v>124</v>
      </c>
      <c r="E53" s="84" t="s">
        <v>272</v>
      </c>
      <c r="F53" s="84"/>
      <c r="G53" s="84"/>
      <c r="H53" s="94">
        <v>1.3199999999998231</v>
      </c>
      <c r="I53" s="97" t="s">
        <v>168</v>
      </c>
      <c r="J53" s="98">
        <v>0.01</v>
      </c>
      <c r="K53" s="95">
        <v>1.2999999999998735E-3</v>
      </c>
      <c r="L53" s="94">
        <v>4662379.5375870001</v>
      </c>
      <c r="M53" s="96">
        <v>101.83</v>
      </c>
      <c r="N53" s="84"/>
      <c r="O53" s="94">
        <v>4747.7012903620007</v>
      </c>
      <c r="P53" s="95">
        <v>3.1563191362347893E-4</v>
      </c>
      <c r="Q53" s="95">
        <f t="shared" si="2"/>
        <v>3.6224825547378027E-2</v>
      </c>
      <c r="R53" s="95">
        <f>O53/'סכום נכסי הקרן'!$C$42</f>
        <v>4.995676154403903E-3</v>
      </c>
    </row>
    <row r="54" spans="2:18">
      <c r="B54" s="86" t="s">
        <v>339</v>
      </c>
      <c r="C54" s="84" t="s">
        <v>340</v>
      </c>
      <c r="D54" s="97" t="s">
        <v>124</v>
      </c>
      <c r="E54" s="84" t="s">
        <v>272</v>
      </c>
      <c r="F54" s="84"/>
      <c r="G54" s="84"/>
      <c r="H54" s="94">
        <v>2.5599999999998793</v>
      </c>
      <c r="I54" s="97" t="s">
        <v>168</v>
      </c>
      <c r="J54" s="98">
        <v>7.4999999999999997E-3</v>
      </c>
      <c r="K54" s="95">
        <v>2.2999999999991447E-3</v>
      </c>
      <c r="L54" s="94">
        <v>5866524.8085759999</v>
      </c>
      <c r="M54" s="96">
        <v>101.65</v>
      </c>
      <c r="N54" s="84"/>
      <c r="O54" s="94">
        <v>5963.3226769370003</v>
      </c>
      <c r="P54" s="95">
        <v>7.8125996244747672E-4</v>
      </c>
      <c r="Q54" s="95">
        <f t="shared" si="2"/>
        <v>4.5499982084655367E-2</v>
      </c>
      <c r="R54" s="95">
        <f>O54/'סכום נכסי הקרן'!$C$42</f>
        <v>6.2747900670723838E-3</v>
      </c>
    </row>
    <row r="55" spans="2:18">
      <c r="B55" s="86" t="s">
        <v>341</v>
      </c>
      <c r="C55" s="84" t="s">
        <v>342</v>
      </c>
      <c r="D55" s="97" t="s">
        <v>124</v>
      </c>
      <c r="E55" s="84" t="s">
        <v>272</v>
      </c>
      <c r="F55" s="84"/>
      <c r="G55" s="84"/>
      <c r="H55" s="94">
        <v>5.4300000000002955</v>
      </c>
      <c r="I55" s="97" t="s">
        <v>168</v>
      </c>
      <c r="J55" s="98">
        <v>1.7500000000000002E-2</v>
      </c>
      <c r="K55" s="95">
        <v>5.4000000000006551E-3</v>
      </c>
      <c r="L55" s="94">
        <v>3691912.2913390007</v>
      </c>
      <c r="M55" s="96">
        <v>107.33</v>
      </c>
      <c r="N55" s="84"/>
      <c r="O55" s="94">
        <v>3962.5294825809997</v>
      </c>
      <c r="P55" s="95">
        <v>1.8926607676341786E-4</v>
      </c>
      <c r="Q55" s="95">
        <f t="shared" si="2"/>
        <v>3.0233987029519734E-2</v>
      </c>
      <c r="R55" s="95">
        <f>O55/'סכום נכסי הקרן'!$C$42</f>
        <v>4.1694944219506647E-3</v>
      </c>
    </row>
    <row r="56" spans="2:18">
      <c r="B56" s="86" t="s">
        <v>343</v>
      </c>
      <c r="C56" s="84" t="s">
        <v>344</v>
      </c>
      <c r="D56" s="97" t="s">
        <v>124</v>
      </c>
      <c r="E56" s="84" t="s">
        <v>272</v>
      </c>
      <c r="F56" s="84"/>
      <c r="G56" s="84"/>
      <c r="H56" s="94">
        <v>8.0399999999961906</v>
      </c>
      <c r="I56" s="97" t="s">
        <v>168</v>
      </c>
      <c r="J56" s="98">
        <v>2.2499999999999999E-2</v>
      </c>
      <c r="K56" s="95">
        <v>8.4999999999970845E-3</v>
      </c>
      <c r="L56" s="94">
        <v>915436.13586899999</v>
      </c>
      <c r="M56" s="96">
        <v>112.37</v>
      </c>
      <c r="N56" s="84"/>
      <c r="O56" s="94">
        <v>1028.6755644979999</v>
      </c>
      <c r="P56" s="95">
        <v>5.8778603652271187E-5</v>
      </c>
      <c r="Q56" s="95">
        <f t="shared" si="2"/>
        <v>7.8487652423367606E-3</v>
      </c>
      <c r="R56" s="95">
        <f>O56/'סכום נכסי הקרן'!$C$42</f>
        <v>1.0824038147919793E-3</v>
      </c>
    </row>
    <row r="57" spans="2:18">
      <c r="B57" s="86" t="s">
        <v>345</v>
      </c>
      <c r="C57" s="84" t="s">
        <v>346</v>
      </c>
      <c r="D57" s="97" t="s">
        <v>124</v>
      </c>
      <c r="E57" s="84" t="s">
        <v>272</v>
      </c>
      <c r="F57" s="84"/>
      <c r="G57" s="84"/>
      <c r="H57" s="94">
        <v>7.999999979446297E-2</v>
      </c>
      <c r="I57" s="97" t="s">
        <v>168</v>
      </c>
      <c r="J57" s="98">
        <v>0.05</v>
      </c>
      <c r="K57" s="95">
        <v>3.5000000038538197E-3</v>
      </c>
      <c r="L57" s="94">
        <v>741.59134800000004</v>
      </c>
      <c r="M57" s="96">
        <v>104.97</v>
      </c>
      <c r="N57" s="84"/>
      <c r="O57" s="94">
        <v>0.77844850199999993</v>
      </c>
      <c r="P57" s="95">
        <v>1.002194586740547E-7</v>
      </c>
      <c r="Q57" s="95">
        <f t="shared" si="2"/>
        <v>5.9395398863473222E-6</v>
      </c>
      <c r="R57" s="95">
        <f>O57/'סכום נכסי הקרן'!$C$42</f>
        <v>8.1910726497629368E-7</v>
      </c>
    </row>
    <row r="58" spans="2:18">
      <c r="B58" s="87"/>
      <c r="C58" s="84"/>
      <c r="D58" s="84"/>
      <c r="E58" s="84"/>
      <c r="F58" s="84"/>
      <c r="G58" s="84"/>
      <c r="H58" s="84"/>
      <c r="I58" s="84"/>
      <c r="J58" s="84"/>
      <c r="K58" s="95"/>
      <c r="L58" s="94"/>
      <c r="M58" s="96"/>
      <c r="N58" s="84"/>
      <c r="O58" s="84"/>
      <c r="P58" s="84"/>
      <c r="Q58" s="95"/>
      <c r="R58" s="84"/>
    </row>
    <row r="59" spans="2:18">
      <c r="B59" s="85" t="s">
        <v>25</v>
      </c>
      <c r="C59" s="82"/>
      <c r="D59" s="82"/>
      <c r="E59" s="82"/>
      <c r="F59" s="82"/>
      <c r="G59" s="82"/>
      <c r="H59" s="91">
        <v>0.41000000000380482</v>
      </c>
      <c r="I59" s="82"/>
      <c r="J59" s="82"/>
      <c r="K59" s="92">
        <v>2.0000000000135881E-3</v>
      </c>
      <c r="L59" s="91"/>
      <c r="M59" s="93"/>
      <c r="N59" s="82"/>
      <c r="O59" s="91">
        <v>147.18283778400001</v>
      </c>
      <c r="P59" s="82"/>
      <c r="Q59" s="92">
        <f t="shared" ref="Q59:Q60" si="3">O59/$O$11</f>
        <v>1.1230008579345379E-3</v>
      </c>
      <c r="R59" s="92">
        <f>O59/'סכום נכסי הקרן'!$C$42</f>
        <v>1.5487027259858708E-4</v>
      </c>
    </row>
    <row r="60" spans="2:18">
      <c r="B60" s="86" t="s">
        <v>347</v>
      </c>
      <c r="C60" s="84" t="s">
        <v>348</v>
      </c>
      <c r="D60" s="97" t="s">
        <v>124</v>
      </c>
      <c r="E60" s="84" t="s">
        <v>272</v>
      </c>
      <c r="F60" s="84"/>
      <c r="G60" s="84"/>
      <c r="H60" s="94">
        <v>0.41000000000380482</v>
      </c>
      <c r="I60" s="97" t="s">
        <v>168</v>
      </c>
      <c r="J60" s="98">
        <v>1.2999999999999999E-3</v>
      </c>
      <c r="K60" s="95">
        <v>2.0000000000135881E-3</v>
      </c>
      <c r="L60" s="94">
        <v>147197.56158199999</v>
      </c>
      <c r="M60" s="96">
        <v>99.99</v>
      </c>
      <c r="N60" s="84"/>
      <c r="O60" s="94">
        <v>147.18283778400001</v>
      </c>
      <c r="P60" s="95">
        <v>9.2619070306676251E-6</v>
      </c>
      <c r="Q60" s="95">
        <f t="shared" si="3"/>
        <v>1.1230008579345379E-3</v>
      </c>
      <c r="R60" s="95">
        <f>O60/'סכום נכסי הקרן'!$C$42</f>
        <v>1.5487027259858708E-4</v>
      </c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B64" s="99" t="s">
        <v>116</v>
      </c>
      <c r="C64" s="100"/>
      <c r="D64" s="100"/>
    </row>
    <row r="65" spans="2:4">
      <c r="B65" s="99" t="s">
        <v>241</v>
      </c>
      <c r="C65" s="100"/>
      <c r="D65" s="100"/>
    </row>
    <row r="66" spans="2:4">
      <c r="B66" s="150" t="s">
        <v>249</v>
      </c>
      <c r="C66" s="150"/>
      <c r="D66" s="150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N32:N1048576 C5:C29 O1:Q9 O11:Q1048576 C67:D1048576 E1:I30 D1:D29 R1:AF1048576 AJ1:XFD1048576 AG1:AI27 AG31:AI1048576 A1:B1048576 E32:I1048576 C32:D65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topLeftCell="A19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183</v>
      </c>
      <c r="C1" s="78" t="s" vm="1">
        <v>267</v>
      </c>
    </row>
    <row r="2" spans="2:67">
      <c r="B2" s="57" t="s">
        <v>182</v>
      </c>
      <c r="C2" s="78" t="s">
        <v>268</v>
      </c>
    </row>
    <row r="3" spans="2:67">
      <c r="B3" s="57" t="s">
        <v>184</v>
      </c>
      <c r="C3" s="78" t="s">
        <v>269</v>
      </c>
    </row>
    <row r="4" spans="2:67">
      <c r="B4" s="57" t="s">
        <v>185</v>
      </c>
      <c r="C4" s="78">
        <v>8803</v>
      </c>
    </row>
    <row r="6" spans="2:67" ht="26.25" customHeight="1">
      <c r="B6" s="147" t="s">
        <v>213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2"/>
      <c r="BO6" s="3"/>
    </row>
    <row r="7" spans="2:67" ht="26.25" customHeight="1">
      <c r="B7" s="147" t="s">
        <v>92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AZ7" s="44"/>
      <c r="BJ7" s="3"/>
      <c r="BO7" s="3"/>
    </row>
    <row r="8" spans="2:67" s="3" customFormat="1" ht="78.75">
      <c r="B8" s="38" t="s">
        <v>119</v>
      </c>
      <c r="C8" s="14" t="s">
        <v>47</v>
      </c>
      <c r="D8" s="14" t="s">
        <v>123</v>
      </c>
      <c r="E8" s="14" t="s">
        <v>229</v>
      </c>
      <c r="F8" s="14" t="s">
        <v>121</v>
      </c>
      <c r="G8" s="14" t="s">
        <v>68</v>
      </c>
      <c r="H8" s="14" t="s">
        <v>15</v>
      </c>
      <c r="I8" s="14" t="s">
        <v>69</v>
      </c>
      <c r="J8" s="14" t="s">
        <v>106</v>
      </c>
      <c r="K8" s="14" t="s">
        <v>18</v>
      </c>
      <c r="L8" s="14" t="s">
        <v>105</v>
      </c>
      <c r="M8" s="14" t="s">
        <v>17</v>
      </c>
      <c r="N8" s="14" t="s">
        <v>19</v>
      </c>
      <c r="O8" s="14" t="s">
        <v>243</v>
      </c>
      <c r="P8" s="14" t="s">
        <v>242</v>
      </c>
      <c r="Q8" s="14" t="s">
        <v>65</v>
      </c>
      <c r="R8" s="14" t="s">
        <v>62</v>
      </c>
      <c r="S8" s="14" t="s">
        <v>186</v>
      </c>
      <c r="T8" s="39" t="s">
        <v>188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250</v>
      </c>
      <c r="P9" s="17"/>
      <c r="Q9" s="17" t="s">
        <v>246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117</v>
      </c>
      <c r="R10" s="20" t="s">
        <v>118</v>
      </c>
      <c r="S10" s="46" t="s">
        <v>189</v>
      </c>
      <c r="T10" s="73" t="s">
        <v>230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259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116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241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249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29"/>
  <sheetViews>
    <sheetView rightToLeft="1" topLeftCell="A325" zoomScale="80" zoomScaleNormal="80" workbookViewId="0">
      <selection activeCell="T338" sqref="T338"/>
    </sheetView>
  </sheetViews>
  <sheetFormatPr defaultColWidth="9.140625" defaultRowHeight="18"/>
  <cols>
    <col min="1" max="1" width="6.28515625" style="1" customWidth="1"/>
    <col min="2" max="2" width="49.7109375" style="2" bestFit="1" customWidth="1"/>
    <col min="3" max="3" width="58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3" style="1" bestFit="1" customWidth="1"/>
    <col min="17" max="17" width="8.28515625" style="1" bestFit="1" customWidth="1"/>
    <col min="18" max="18" width="12.28515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183</v>
      </c>
      <c r="C1" s="78" t="s" vm="1">
        <v>267</v>
      </c>
    </row>
    <row r="2" spans="2:66">
      <c r="B2" s="57" t="s">
        <v>182</v>
      </c>
      <c r="C2" s="78" t="s">
        <v>268</v>
      </c>
    </row>
    <row r="3" spans="2:66">
      <c r="B3" s="57" t="s">
        <v>184</v>
      </c>
      <c r="C3" s="78" t="s">
        <v>269</v>
      </c>
    </row>
    <row r="4" spans="2:66">
      <c r="B4" s="57" t="s">
        <v>185</v>
      </c>
      <c r="C4" s="78">
        <v>8803</v>
      </c>
    </row>
    <row r="6" spans="2:66" ht="26.25" customHeight="1">
      <c r="B6" s="153" t="s">
        <v>213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5"/>
    </row>
    <row r="7" spans="2:66" ht="26.25" customHeight="1">
      <c r="B7" s="153" t="s">
        <v>93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  <c r="BN7" s="3"/>
    </row>
    <row r="8" spans="2:66" s="3" customFormat="1" ht="78.75">
      <c r="B8" s="23" t="s">
        <v>119</v>
      </c>
      <c r="C8" s="31" t="s">
        <v>47</v>
      </c>
      <c r="D8" s="31" t="s">
        <v>123</v>
      </c>
      <c r="E8" s="31" t="s">
        <v>229</v>
      </c>
      <c r="F8" s="31" t="s">
        <v>121</v>
      </c>
      <c r="G8" s="31" t="s">
        <v>68</v>
      </c>
      <c r="H8" s="31" t="s">
        <v>15</v>
      </c>
      <c r="I8" s="31" t="s">
        <v>69</v>
      </c>
      <c r="J8" s="31" t="s">
        <v>106</v>
      </c>
      <c r="K8" s="31" t="s">
        <v>18</v>
      </c>
      <c r="L8" s="31" t="s">
        <v>105</v>
      </c>
      <c r="M8" s="31" t="s">
        <v>17</v>
      </c>
      <c r="N8" s="31" t="s">
        <v>19</v>
      </c>
      <c r="O8" s="14" t="s">
        <v>243</v>
      </c>
      <c r="P8" s="31" t="s">
        <v>242</v>
      </c>
      <c r="Q8" s="31" t="s">
        <v>258</v>
      </c>
      <c r="R8" s="31" t="s">
        <v>65</v>
      </c>
      <c r="S8" s="14" t="s">
        <v>62</v>
      </c>
      <c r="T8" s="31" t="s">
        <v>186</v>
      </c>
      <c r="U8" s="15" t="s">
        <v>188</v>
      </c>
      <c r="V8" s="1"/>
      <c r="W8" s="1"/>
      <c r="BJ8" s="1"/>
      <c r="BK8" s="1"/>
    </row>
    <row r="9" spans="2:6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250</v>
      </c>
      <c r="P9" s="33"/>
      <c r="Q9" s="17" t="s">
        <v>246</v>
      </c>
      <c r="R9" s="33" t="s">
        <v>246</v>
      </c>
      <c r="S9" s="17" t="s">
        <v>20</v>
      </c>
      <c r="T9" s="33" t="s">
        <v>246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117</v>
      </c>
      <c r="R10" s="20" t="s">
        <v>118</v>
      </c>
      <c r="S10" s="20" t="s">
        <v>189</v>
      </c>
      <c r="T10" s="21" t="s">
        <v>230</v>
      </c>
      <c r="U10" s="21" t="s">
        <v>252</v>
      </c>
      <c r="V10" s="5"/>
      <c r="BI10" s="1"/>
      <c r="BJ10" s="3"/>
      <c r="BK10" s="1"/>
    </row>
    <row r="11" spans="2:66" s="4" customFormat="1" ht="18" customHeight="1">
      <c r="B11" s="79" t="s">
        <v>35</v>
      </c>
      <c r="C11" s="80"/>
      <c r="D11" s="80"/>
      <c r="E11" s="80"/>
      <c r="F11" s="80"/>
      <c r="G11" s="80"/>
      <c r="H11" s="80"/>
      <c r="I11" s="80"/>
      <c r="J11" s="80"/>
      <c r="K11" s="88">
        <v>4.4443804791047299</v>
      </c>
      <c r="L11" s="80"/>
      <c r="M11" s="80"/>
      <c r="N11" s="103">
        <v>1.2728166033418302E-2</v>
      </c>
      <c r="O11" s="88"/>
      <c r="P11" s="90"/>
      <c r="Q11" s="88">
        <v>966.72358564499996</v>
      </c>
      <c r="R11" s="88">
        <f>R12+R249</f>
        <v>252340.77936437202</v>
      </c>
      <c r="S11" s="80"/>
      <c r="T11" s="89">
        <f>R11/$R$11</f>
        <v>1</v>
      </c>
      <c r="U11" s="89">
        <f>R11/'סכום נכסי הקרן'!$C$42</f>
        <v>0.2655206671939066</v>
      </c>
      <c r="V11" s="5"/>
      <c r="BI11" s="1"/>
      <c r="BJ11" s="3"/>
      <c r="BK11" s="1"/>
      <c r="BN11" s="1"/>
    </row>
    <row r="12" spans="2:66">
      <c r="B12" s="81" t="s">
        <v>238</v>
      </c>
      <c r="C12" s="82"/>
      <c r="D12" s="82"/>
      <c r="E12" s="82"/>
      <c r="F12" s="82"/>
      <c r="G12" s="82"/>
      <c r="H12" s="82"/>
      <c r="I12" s="82"/>
      <c r="J12" s="82"/>
      <c r="K12" s="91">
        <v>4.3115605903174306</v>
      </c>
      <c r="L12" s="82"/>
      <c r="M12" s="82"/>
      <c r="N12" s="104">
        <v>1.0930191451807786E-2</v>
      </c>
      <c r="O12" s="91"/>
      <c r="P12" s="93"/>
      <c r="Q12" s="91">
        <v>966.72358564500007</v>
      </c>
      <c r="R12" s="91">
        <f>R13+R160+R243</f>
        <v>234157.16244968903</v>
      </c>
      <c r="S12" s="82"/>
      <c r="T12" s="92">
        <f t="shared" ref="T12:T75" si="0">R12/$R$11</f>
        <v>0.92794023637207512</v>
      </c>
      <c r="U12" s="92">
        <f>R12/'סכום נכסי הקרן'!$C$42</f>
        <v>0.24638731067758479</v>
      </c>
      <c r="BJ12" s="3"/>
    </row>
    <row r="13" spans="2:66" ht="20.25">
      <c r="B13" s="102" t="s">
        <v>34</v>
      </c>
      <c r="C13" s="82"/>
      <c r="D13" s="82"/>
      <c r="E13" s="82"/>
      <c r="F13" s="82"/>
      <c r="G13" s="82"/>
      <c r="H13" s="82"/>
      <c r="I13" s="82"/>
      <c r="J13" s="82"/>
      <c r="K13" s="91">
        <v>4.2374007869929784</v>
      </c>
      <c r="L13" s="82"/>
      <c r="M13" s="82"/>
      <c r="N13" s="104">
        <v>7.1349376834222121E-3</v>
      </c>
      <c r="O13" s="91"/>
      <c r="P13" s="93"/>
      <c r="Q13" s="91">
        <v>880.93462538699998</v>
      </c>
      <c r="R13" s="91">
        <f>SUM(R14:R158)</f>
        <v>180705.02855741401</v>
      </c>
      <c r="S13" s="82"/>
      <c r="T13" s="92">
        <f t="shared" si="0"/>
        <v>0.71611504495070821</v>
      </c>
      <c r="U13" s="92">
        <f>R13/'סכום נכסי הקרן'!$C$42</f>
        <v>0.19014334452290646</v>
      </c>
      <c r="BJ13" s="4"/>
    </row>
    <row r="14" spans="2:66">
      <c r="B14" s="87" t="s">
        <v>349</v>
      </c>
      <c r="C14" s="84" t="s">
        <v>350</v>
      </c>
      <c r="D14" s="97" t="s">
        <v>124</v>
      </c>
      <c r="E14" s="97" t="s">
        <v>351</v>
      </c>
      <c r="F14" s="84" t="s">
        <v>352</v>
      </c>
      <c r="G14" s="97" t="s">
        <v>353</v>
      </c>
      <c r="H14" s="84" t="s">
        <v>354</v>
      </c>
      <c r="I14" s="84" t="s">
        <v>355</v>
      </c>
      <c r="J14" s="84"/>
      <c r="K14" s="94">
        <v>2.8199999999997414</v>
      </c>
      <c r="L14" s="97" t="s">
        <v>168</v>
      </c>
      <c r="M14" s="98">
        <v>6.1999999999999998E-3</v>
      </c>
      <c r="N14" s="98">
        <v>-2.4999999999987059E-3</v>
      </c>
      <c r="O14" s="94">
        <v>3710583.1084420001</v>
      </c>
      <c r="P14" s="96">
        <v>104.12</v>
      </c>
      <c r="Q14" s="84"/>
      <c r="R14" s="94">
        <v>3863.4590946499998</v>
      </c>
      <c r="S14" s="95">
        <v>7.4924841767689935E-4</v>
      </c>
      <c r="T14" s="95">
        <f t="shared" si="0"/>
        <v>1.5310482532319076E-2</v>
      </c>
      <c r="U14" s="95">
        <f>R14/'סכום נכסי הקרן'!$C$42</f>
        <v>4.0652495370420141E-3</v>
      </c>
    </row>
    <row r="15" spans="2:66">
      <c r="B15" s="87" t="s">
        <v>356</v>
      </c>
      <c r="C15" s="84" t="s">
        <v>357</v>
      </c>
      <c r="D15" s="97" t="s">
        <v>124</v>
      </c>
      <c r="E15" s="97" t="s">
        <v>351</v>
      </c>
      <c r="F15" s="84" t="s">
        <v>358</v>
      </c>
      <c r="G15" s="97" t="s">
        <v>359</v>
      </c>
      <c r="H15" s="84" t="s">
        <v>354</v>
      </c>
      <c r="I15" s="84" t="s">
        <v>355</v>
      </c>
      <c r="J15" s="84"/>
      <c r="K15" s="94">
        <v>2.0499999999981884</v>
      </c>
      <c r="L15" s="97" t="s">
        <v>168</v>
      </c>
      <c r="M15" s="98">
        <v>3.5499999999999997E-2</v>
      </c>
      <c r="N15" s="98">
        <v>-2.7000000000056922E-3</v>
      </c>
      <c r="O15" s="94">
        <v>325209.66854300001</v>
      </c>
      <c r="P15" s="96">
        <v>118.84</v>
      </c>
      <c r="Q15" s="84"/>
      <c r="R15" s="94">
        <v>386.47916721400003</v>
      </c>
      <c r="S15" s="95">
        <v>1.140712322599428E-3</v>
      </c>
      <c r="T15" s="95">
        <f t="shared" si="0"/>
        <v>1.5315763396923511E-3</v>
      </c>
      <c r="U15" s="95">
        <f>R15/'סכום נכסי הקרן'!$C$42</f>
        <v>4.0666517157351436E-4</v>
      </c>
    </row>
    <row r="16" spans="2:66">
      <c r="B16" s="87" t="s">
        <v>360</v>
      </c>
      <c r="C16" s="84" t="s">
        <v>361</v>
      </c>
      <c r="D16" s="97" t="s">
        <v>124</v>
      </c>
      <c r="E16" s="97" t="s">
        <v>351</v>
      </c>
      <c r="F16" s="84" t="s">
        <v>358</v>
      </c>
      <c r="G16" s="97" t="s">
        <v>359</v>
      </c>
      <c r="H16" s="84" t="s">
        <v>354</v>
      </c>
      <c r="I16" s="84" t="s">
        <v>355</v>
      </c>
      <c r="J16" s="84"/>
      <c r="K16" s="94">
        <v>0.94000000000329509</v>
      </c>
      <c r="L16" s="97" t="s">
        <v>168</v>
      </c>
      <c r="M16" s="98">
        <v>4.6500000000000007E-2</v>
      </c>
      <c r="N16" s="98">
        <v>-4.2999999999760348E-3</v>
      </c>
      <c r="O16" s="94">
        <v>104967.01927</v>
      </c>
      <c r="P16" s="96">
        <v>127.21</v>
      </c>
      <c r="Q16" s="84"/>
      <c r="R16" s="94">
        <v>133.52854462400001</v>
      </c>
      <c r="S16" s="95">
        <v>5.2847623684710936E-4</v>
      </c>
      <c r="T16" s="95">
        <f t="shared" si="0"/>
        <v>5.2915959505375493E-4</v>
      </c>
      <c r="U16" s="95">
        <f>R16/'סכום נכסי הקרן'!$C$42</f>
        <v>1.4050280873073045E-4</v>
      </c>
    </row>
    <row r="17" spans="2:61" ht="20.25">
      <c r="B17" s="87" t="s">
        <v>362</v>
      </c>
      <c r="C17" s="84" t="s">
        <v>363</v>
      </c>
      <c r="D17" s="97" t="s">
        <v>124</v>
      </c>
      <c r="E17" s="97" t="s">
        <v>351</v>
      </c>
      <c r="F17" s="84" t="s">
        <v>358</v>
      </c>
      <c r="G17" s="97" t="s">
        <v>359</v>
      </c>
      <c r="H17" s="84" t="s">
        <v>354</v>
      </c>
      <c r="I17" s="84" t="s">
        <v>355</v>
      </c>
      <c r="J17" s="84"/>
      <c r="K17" s="94">
        <v>4.9799999999991877</v>
      </c>
      <c r="L17" s="97" t="s">
        <v>168</v>
      </c>
      <c r="M17" s="98">
        <v>1.4999999999999999E-2</v>
      </c>
      <c r="N17" s="98">
        <v>-2.1999999999970429E-3</v>
      </c>
      <c r="O17" s="94">
        <v>975858.00203600002</v>
      </c>
      <c r="P17" s="96">
        <v>110.88</v>
      </c>
      <c r="Q17" s="84"/>
      <c r="R17" s="94">
        <v>1082.0313156059999</v>
      </c>
      <c r="S17" s="95">
        <v>1.9090444768483212E-3</v>
      </c>
      <c r="T17" s="95">
        <f t="shared" si="0"/>
        <v>4.2879764354043677E-3</v>
      </c>
      <c r="U17" s="95">
        <f>R17/'סכום נכסי הקרן'!$C$42</f>
        <v>1.138546364040317E-3</v>
      </c>
      <c r="BI17" s="4"/>
    </row>
    <row r="18" spans="2:61">
      <c r="B18" s="87" t="s">
        <v>364</v>
      </c>
      <c r="C18" s="84" t="s">
        <v>365</v>
      </c>
      <c r="D18" s="97" t="s">
        <v>124</v>
      </c>
      <c r="E18" s="97" t="s">
        <v>351</v>
      </c>
      <c r="F18" s="84" t="s">
        <v>366</v>
      </c>
      <c r="G18" s="97" t="s">
        <v>359</v>
      </c>
      <c r="H18" s="84" t="s">
        <v>367</v>
      </c>
      <c r="I18" s="84" t="s">
        <v>164</v>
      </c>
      <c r="J18" s="84"/>
      <c r="K18" s="94">
        <v>5.6799999999989215</v>
      </c>
      <c r="L18" s="97" t="s">
        <v>168</v>
      </c>
      <c r="M18" s="98">
        <v>1E-3</v>
      </c>
      <c r="N18" s="98">
        <v>-1.5000000000034948E-3</v>
      </c>
      <c r="O18" s="94">
        <v>987188.50282599998</v>
      </c>
      <c r="P18" s="96">
        <v>101.45</v>
      </c>
      <c r="Q18" s="84"/>
      <c r="R18" s="94">
        <v>1001.502769031</v>
      </c>
      <c r="S18" s="95">
        <v>1.4102692897514286E-3</v>
      </c>
      <c r="T18" s="95">
        <f t="shared" si="0"/>
        <v>3.9688502649223491E-3</v>
      </c>
      <c r="U18" s="95">
        <f>R18/'סכום נכסי הקרן'!$C$42</f>
        <v>1.0538117703348952E-3</v>
      </c>
    </row>
    <row r="19" spans="2:61">
      <c r="B19" s="87" t="s">
        <v>368</v>
      </c>
      <c r="C19" s="84" t="s">
        <v>369</v>
      </c>
      <c r="D19" s="97" t="s">
        <v>124</v>
      </c>
      <c r="E19" s="97" t="s">
        <v>351</v>
      </c>
      <c r="F19" s="84" t="s">
        <v>366</v>
      </c>
      <c r="G19" s="97" t="s">
        <v>359</v>
      </c>
      <c r="H19" s="84" t="s">
        <v>367</v>
      </c>
      <c r="I19" s="84" t="s">
        <v>164</v>
      </c>
      <c r="J19" s="84"/>
      <c r="K19" s="94">
        <v>0.73999999999922683</v>
      </c>
      <c r="L19" s="97" t="s">
        <v>168</v>
      </c>
      <c r="M19" s="98">
        <v>8.0000000000000002E-3</v>
      </c>
      <c r="N19" s="98">
        <v>5.200000000002993E-3</v>
      </c>
      <c r="O19" s="94">
        <v>778159.86193000001</v>
      </c>
      <c r="P19" s="96">
        <v>103.05</v>
      </c>
      <c r="Q19" s="84"/>
      <c r="R19" s="94">
        <v>801.89373836300001</v>
      </c>
      <c r="S19" s="95">
        <v>1.8109647341737606E-3</v>
      </c>
      <c r="T19" s="95">
        <f t="shared" si="0"/>
        <v>3.1778206454894519E-3</v>
      </c>
      <c r="U19" s="95">
        <f>R19/'סכום נכסי הקרן'!$C$42</f>
        <v>8.4377705801293016E-4</v>
      </c>
      <c r="BI19" s="3"/>
    </row>
    <row r="20" spans="2:61">
      <c r="B20" s="87" t="s">
        <v>370</v>
      </c>
      <c r="C20" s="84" t="s">
        <v>371</v>
      </c>
      <c r="D20" s="97" t="s">
        <v>124</v>
      </c>
      <c r="E20" s="97" t="s">
        <v>351</v>
      </c>
      <c r="F20" s="84" t="s">
        <v>372</v>
      </c>
      <c r="G20" s="97" t="s">
        <v>359</v>
      </c>
      <c r="H20" s="84" t="s">
        <v>367</v>
      </c>
      <c r="I20" s="84" t="s">
        <v>164</v>
      </c>
      <c r="J20" s="84"/>
      <c r="K20" s="94">
        <v>0.5</v>
      </c>
      <c r="L20" s="97" t="s">
        <v>168</v>
      </c>
      <c r="M20" s="98">
        <v>5.8999999999999999E-3</v>
      </c>
      <c r="N20" s="98">
        <v>-4.2999999999997996E-3</v>
      </c>
      <c r="O20" s="94">
        <v>3930272.3336629998</v>
      </c>
      <c r="P20" s="96">
        <v>101.3</v>
      </c>
      <c r="Q20" s="84"/>
      <c r="R20" s="94">
        <v>3981.3658588559997</v>
      </c>
      <c r="S20" s="95">
        <v>7.362609888073604E-4</v>
      </c>
      <c r="T20" s="95">
        <f t="shared" si="0"/>
        <v>1.5777734652658082E-2</v>
      </c>
      <c r="U20" s="95">
        <f>R20/'סכום נכסי הקרן'!$C$42</f>
        <v>4.1893146317821938E-3</v>
      </c>
    </row>
    <row r="21" spans="2:61">
      <c r="B21" s="87" t="s">
        <v>373</v>
      </c>
      <c r="C21" s="84" t="s">
        <v>374</v>
      </c>
      <c r="D21" s="97" t="s">
        <v>124</v>
      </c>
      <c r="E21" s="97" t="s">
        <v>351</v>
      </c>
      <c r="F21" s="84" t="s">
        <v>372</v>
      </c>
      <c r="G21" s="97" t="s">
        <v>359</v>
      </c>
      <c r="H21" s="84" t="s">
        <v>367</v>
      </c>
      <c r="I21" s="84" t="s">
        <v>164</v>
      </c>
      <c r="J21" s="84"/>
      <c r="K21" s="94">
        <v>5.3899999999997297</v>
      </c>
      <c r="L21" s="97" t="s">
        <v>168</v>
      </c>
      <c r="M21" s="98">
        <v>8.3000000000000001E-3</v>
      </c>
      <c r="N21" s="98">
        <v>-3.1000000000019757E-3</v>
      </c>
      <c r="O21" s="94">
        <v>1272212.8984650001</v>
      </c>
      <c r="P21" s="96">
        <v>107.42</v>
      </c>
      <c r="Q21" s="84"/>
      <c r="R21" s="94">
        <v>1366.6111395830001</v>
      </c>
      <c r="S21" s="95">
        <v>9.8930215982099114E-4</v>
      </c>
      <c r="T21" s="95">
        <f t="shared" si="0"/>
        <v>5.4157363824641966E-3</v>
      </c>
      <c r="U21" s="95">
        <f>R21/'סכום נכסי הקרן'!$C$42</f>
        <v>1.4379899376182077E-3</v>
      </c>
    </row>
    <row r="22" spans="2:61">
      <c r="B22" s="87" t="s">
        <v>375</v>
      </c>
      <c r="C22" s="84" t="s">
        <v>376</v>
      </c>
      <c r="D22" s="97" t="s">
        <v>124</v>
      </c>
      <c r="E22" s="97" t="s">
        <v>351</v>
      </c>
      <c r="F22" s="84" t="s">
        <v>377</v>
      </c>
      <c r="G22" s="97" t="s">
        <v>359</v>
      </c>
      <c r="H22" s="84" t="s">
        <v>367</v>
      </c>
      <c r="I22" s="84" t="s">
        <v>164</v>
      </c>
      <c r="J22" s="84"/>
      <c r="K22" s="94">
        <v>1.2000000000014708</v>
      </c>
      <c r="L22" s="97" t="s">
        <v>168</v>
      </c>
      <c r="M22" s="98">
        <v>4.0999999999999995E-3</v>
      </c>
      <c r="N22" s="98">
        <v>-2.6999999999867629E-3</v>
      </c>
      <c r="O22" s="94">
        <v>268637.59852599999</v>
      </c>
      <c r="P22" s="96">
        <v>101.24</v>
      </c>
      <c r="Q22" s="84"/>
      <c r="R22" s="94">
        <v>271.96871596800003</v>
      </c>
      <c r="S22" s="95">
        <v>3.2683386458383514E-4</v>
      </c>
      <c r="T22" s="95">
        <f t="shared" si="0"/>
        <v>1.0777834508281592E-3</v>
      </c>
      <c r="U22" s="95">
        <f>R22/'סכום נכסי הקרן'!$C$42</f>
        <v>2.8617378095444388E-4</v>
      </c>
    </row>
    <row r="23" spans="2:61">
      <c r="B23" s="87" t="s">
        <v>378</v>
      </c>
      <c r="C23" s="84" t="s">
        <v>379</v>
      </c>
      <c r="D23" s="97" t="s">
        <v>124</v>
      </c>
      <c r="E23" s="97" t="s">
        <v>351</v>
      </c>
      <c r="F23" s="84" t="s">
        <v>377</v>
      </c>
      <c r="G23" s="97" t="s">
        <v>359</v>
      </c>
      <c r="H23" s="84" t="s">
        <v>367</v>
      </c>
      <c r="I23" s="84" t="s">
        <v>164</v>
      </c>
      <c r="J23" s="84"/>
      <c r="K23" s="94">
        <v>8.9999999999978722E-2</v>
      </c>
      <c r="L23" s="97" t="s">
        <v>168</v>
      </c>
      <c r="M23" s="98">
        <v>6.4000000000000003E-3</v>
      </c>
      <c r="N23" s="98">
        <v>8.3000000000027652E-3</v>
      </c>
      <c r="O23" s="94">
        <v>2787624.4000849999</v>
      </c>
      <c r="P23" s="96">
        <v>101.16</v>
      </c>
      <c r="Q23" s="84"/>
      <c r="R23" s="94">
        <v>2819.9607065340001</v>
      </c>
      <c r="S23" s="95">
        <v>8.8493343854232959E-4</v>
      </c>
      <c r="T23" s="95">
        <f t="shared" si="0"/>
        <v>1.1175208040639626E-2</v>
      </c>
      <c r="U23" s="95">
        <f>R23/'סכום נכסי הקרן'!$C$42</f>
        <v>2.9672486949813433E-3</v>
      </c>
    </row>
    <row r="24" spans="2:61">
      <c r="B24" s="87" t="s">
        <v>380</v>
      </c>
      <c r="C24" s="84" t="s">
        <v>381</v>
      </c>
      <c r="D24" s="97" t="s">
        <v>124</v>
      </c>
      <c r="E24" s="97" t="s">
        <v>351</v>
      </c>
      <c r="F24" s="84" t="s">
        <v>377</v>
      </c>
      <c r="G24" s="97" t="s">
        <v>359</v>
      </c>
      <c r="H24" s="84" t="s">
        <v>367</v>
      </c>
      <c r="I24" s="84" t="s">
        <v>164</v>
      </c>
      <c r="J24" s="84"/>
      <c r="K24" s="94">
        <v>1.5500000000004686</v>
      </c>
      <c r="L24" s="97" t="s">
        <v>168</v>
      </c>
      <c r="M24" s="98">
        <v>0.04</v>
      </c>
      <c r="N24" s="98">
        <v>-5.2999999999988655E-3</v>
      </c>
      <c r="O24" s="94">
        <v>1822980.4293170003</v>
      </c>
      <c r="P24" s="96">
        <v>111.19</v>
      </c>
      <c r="Q24" s="84"/>
      <c r="R24" s="94">
        <v>2026.9719779910001</v>
      </c>
      <c r="S24" s="95">
        <v>8.79945913549575E-4</v>
      </c>
      <c r="T24" s="95">
        <f t="shared" si="0"/>
        <v>8.0326770135877145E-3</v>
      </c>
      <c r="U24" s="95">
        <f>R24/'סכום נכסי הקרן'!$C$42</f>
        <v>2.132841760000967E-3</v>
      </c>
    </row>
    <row r="25" spans="2:61">
      <c r="B25" s="87" t="s">
        <v>382</v>
      </c>
      <c r="C25" s="84" t="s">
        <v>383</v>
      </c>
      <c r="D25" s="97" t="s">
        <v>124</v>
      </c>
      <c r="E25" s="97" t="s">
        <v>351</v>
      </c>
      <c r="F25" s="84" t="s">
        <v>377</v>
      </c>
      <c r="G25" s="97" t="s">
        <v>359</v>
      </c>
      <c r="H25" s="84" t="s">
        <v>367</v>
      </c>
      <c r="I25" s="84" t="s">
        <v>164</v>
      </c>
      <c r="J25" s="84"/>
      <c r="K25" s="94">
        <v>2.7100000000004685</v>
      </c>
      <c r="L25" s="97" t="s">
        <v>168</v>
      </c>
      <c r="M25" s="98">
        <v>9.8999999999999991E-3</v>
      </c>
      <c r="N25" s="98">
        <v>-4.0000000000021806E-3</v>
      </c>
      <c r="O25" s="94">
        <v>2604882.7634160002</v>
      </c>
      <c r="P25" s="96">
        <v>105.64</v>
      </c>
      <c r="Q25" s="84"/>
      <c r="R25" s="94">
        <v>2751.7981550009999</v>
      </c>
      <c r="S25" s="95">
        <v>8.6429716816827779E-4</v>
      </c>
      <c r="T25" s="95">
        <f t="shared" si="0"/>
        <v>1.0905087009450387E-2</v>
      </c>
      <c r="U25" s="95">
        <f>R25/'סכום נכסי הקרן'!$C$42</f>
        <v>2.8955259785568709E-3</v>
      </c>
    </row>
    <row r="26" spans="2:61">
      <c r="B26" s="87" t="s">
        <v>384</v>
      </c>
      <c r="C26" s="84" t="s">
        <v>385</v>
      </c>
      <c r="D26" s="97" t="s">
        <v>124</v>
      </c>
      <c r="E26" s="97" t="s">
        <v>351</v>
      </c>
      <c r="F26" s="84" t="s">
        <v>377</v>
      </c>
      <c r="G26" s="97" t="s">
        <v>359</v>
      </c>
      <c r="H26" s="84" t="s">
        <v>367</v>
      </c>
      <c r="I26" s="84" t="s">
        <v>164</v>
      </c>
      <c r="J26" s="84"/>
      <c r="K26" s="94">
        <v>4.6699999999997193</v>
      </c>
      <c r="L26" s="97" t="s">
        <v>168</v>
      </c>
      <c r="M26" s="98">
        <v>8.6E-3</v>
      </c>
      <c r="N26" s="98">
        <v>-2.4999999999990091E-3</v>
      </c>
      <c r="O26" s="94">
        <v>2352915.4144199998</v>
      </c>
      <c r="P26" s="96">
        <v>107.21</v>
      </c>
      <c r="Q26" s="84"/>
      <c r="R26" s="94">
        <v>2522.5604928130001</v>
      </c>
      <c r="S26" s="95">
        <v>9.4065783427435806E-4</v>
      </c>
      <c r="T26" s="95">
        <f t="shared" si="0"/>
        <v>9.9966422358175547E-3</v>
      </c>
      <c r="U26" s="95">
        <f>R26/'סכום נכסי הקרן'!$C$42</f>
        <v>2.6543151161530633E-3</v>
      </c>
    </row>
    <row r="27" spans="2:61">
      <c r="B27" s="87" t="s">
        <v>386</v>
      </c>
      <c r="C27" s="84" t="s">
        <v>387</v>
      </c>
      <c r="D27" s="97" t="s">
        <v>124</v>
      </c>
      <c r="E27" s="97" t="s">
        <v>351</v>
      </c>
      <c r="F27" s="84" t="s">
        <v>377</v>
      </c>
      <c r="G27" s="97" t="s">
        <v>359</v>
      </c>
      <c r="H27" s="84" t="s">
        <v>367</v>
      </c>
      <c r="I27" s="84" t="s">
        <v>164</v>
      </c>
      <c r="J27" s="84"/>
      <c r="K27" s="94">
        <v>7.4299999999660775</v>
      </c>
      <c r="L27" s="97" t="s">
        <v>168</v>
      </c>
      <c r="M27" s="98">
        <v>1.2199999999999999E-2</v>
      </c>
      <c r="N27" s="98">
        <v>-1.0000000000216081E-4</v>
      </c>
      <c r="O27" s="94">
        <v>82938.25</v>
      </c>
      <c r="P27" s="96">
        <v>111.6</v>
      </c>
      <c r="Q27" s="84"/>
      <c r="R27" s="94">
        <v>92.559087497999982</v>
      </c>
      <c r="S27" s="95">
        <v>1.0346484815520804E-4</v>
      </c>
      <c r="T27" s="95">
        <f t="shared" si="0"/>
        <v>3.6680194034095304E-4</v>
      </c>
      <c r="U27" s="95">
        <f>R27/'סכום נכסי הקרן'!$C$42</f>
        <v>9.7393495927349379E-5</v>
      </c>
    </row>
    <row r="28" spans="2:61">
      <c r="B28" s="87" t="s">
        <v>388</v>
      </c>
      <c r="C28" s="84" t="s">
        <v>389</v>
      </c>
      <c r="D28" s="97" t="s">
        <v>124</v>
      </c>
      <c r="E28" s="97" t="s">
        <v>351</v>
      </c>
      <c r="F28" s="84" t="s">
        <v>377</v>
      </c>
      <c r="G28" s="97" t="s">
        <v>359</v>
      </c>
      <c r="H28" s="84" t="s">
        <v>367</v>
      </c>
      <c r="I28" s="84" t="s">
        <v>164</v>
      </c>
      <c r="J28" s="84"/>
      <c r="K28" s="94">
        <v>6.3999999999997632</v>
      </c>
      <c r="L28" s="97" t="s">
        <v>168</v>
      </c>
      <c r="M28" s="98">
        <v>3.8E-3</v>
      </c>
      <c r="N28" s="98">
        <v>-1.3000000000002654E-3</v>
      </c>
      <c r="O28" s="94">
        <v>3301686.0241119997</v>
      </c>
      <c r="P28" s="96">
        <v>102.63</v>
      </c>
      <c r="Q28" s="84"/>
      <c r="R28" s="94">
        <v>3388.5204277070002</v>
      </c>
      <c r="S28" s="95">
        <v>1.1005620080373332E-3</v>
      </c>
      <c r="T28" s="95">
        <f t="shared" si="0"/>
        <v>1.3428350487949017E-2</v>
      </c>
      <c r="U28" s="95">
        <f>R28/'סכום נכסי הקרן'!$C$42</f>
        <v>3.5655045808738444E-3</v>
      </c>
    </row>
    <row r="29" spans="2:61">
      <c r="B29" s="87" t="s">
        <v>390</v>
      </c>
      <c r="C29" s="84" t="s">
        <v>391</v>
      </c>
      <c r="D29" s="97" t="s">
        <v>124</v>
      </c>
      <c r="E29" s="97" t="s">
        <v>351</v>
      </c>
      <c r="F29" s="84" t="s">
        <v>377</v>
      </c>
      <c r="G29" s="97" t="s">
        <v>359</v>
      </c>
      <c r="H29" s="84" t="s">
        <v>367</v>
      </c>
      <c r="I29" s="84" t="s">
        <v>164</v>
      </c>
      <c r="J29" s="84"/>
      <c r="K29" s="94">
        <v>3.8199999999978744</v>
      </c>
      <c r="L29" s="97" t="s">
        <v>168</v>
      </c>
      <c r="M29" s="98">
        <v>1E-3</v>
      </c>
      <c r="N29" s="98">
        <v>-3.1999999999936424E-3</v>
      </c>
      <c r="O29" s="94">
        <v>990600.18432700005</v>
      </c>
      <c r="P29" s="96">
        <v>101.62</v>
      </c>
      <c r="Q29" s="84"/>
      <c r="R29" s="94">
        <v>1006.6479293770001</v>
      </c>
      <c r="S29" s="95">
        <v>3.8938196702203434E-4</v>
      </c>
      <c r="T29" s="95">
        <f t="shared" si="0"/>
        <v>3.9892399948699237E-3</v>
      </c>
      <c r="U29" s="95">
        <f>R29/'סכום נכסי הקרן'!$C$42</f>
        <v>1.0592256650344789E-3</v>
      </c>
    </row>
    <row r="30" spans="2:61">
      <c r="B30" s="87" t="s">
        <v>392</v>
      </c>
      <c r="C30" s="84" t="s">
        <v>393</v>
      </c>
      <c r="D30" s="97" t="s">
        <v>124</v>
      </c>
      <c r="E30" s="97" t="s">
        <v>351</v>
      </c>
      <c r="F30" s="84" t="s">
        <v>377</v>
      </c>
      <c r="G30" s="97" t="s">
        <v>359</v>
      </c>
      <c r="H30" s="84" t="s">
        <v>367</v>
      </c>
      <c r="I30" s="84" t="s">
        <v>164</v>
      </c>
      <c r="J30" s="84"/>
      <c r="K30" s="94">
        <v>10.259999999996506</v>
      </c>
      <c r="L30" s="97" t="s">
        <v>168</v>
      </c>
      <c r="M30" s="98">
        <v>3.0000000000000001E-3</v>
      </c>
      <c r="N30" s="98">
        <v>3.5000000000052294E-3</v>
      </c>
      <c r="O30" s="94">
        <v>661640.12160199997</v>
      </c>
      <c r="P30" s="96">
        <v>101.15</v>
      </c>
      <c r="Q30" s="84"/>
      <c r="R30" s="94">
        <v>669.24899525900003</v>
      </c>
      <c r="S30" s="95">
        <v>9.4260531594026159E-4</v>
      </c>
      <c r="T30" s="95">
        <f t="shared" si="0"/>
        <v>2.6521634630153291E-3</v>
      </c>
      <c r="U30" s="95">
        <f>R30/'סכום נכסי הקרן'!$C$42</f>
        <v>7.0420421220713202E-4</v>
      </c>
    </row>
    <row r="31" spans="2:61">
      <c r="B31" s="87" t="s">
        <v>394</v>
      </c>
      <c r="C31" s="84" t="s">
        <v>395</v>
      </c>
      <c r="D31" s="97" t="s">
        <v>124</v>
      </c>
      <c r="E31" s="97" t="s">
        <v>351</v>
      </c>
      <c r="F31" s="84" t="s">
        <v>396</v>
      </c>
      <c r="G31" s="97" t="s">
        <v>160</v>
      </c>
      <c r="H31" s="84" t="s">
        <v>354</v>
      </c>
      <c r="I31" s="84" t="s">
        <v>355</v>
      </c>
      <c r="J31" s="84"/>
      <c r="K31" s="94">
        <v>15.559999999992288</v>
      </c>
      <c r="L31" s="97" t="s">
        <v>168</v>
      </c>
      <c r="M31" s="98">
        <v>2.07E-2</v>
      </c>
      <c r="N31" s="98">
        <v>9.6999999999993983E-3</v>
      </c>
      <c r="O31" s="94">
        <v>710091.10281900002</v>
      </c>
      <c r="P31" s="96">
        <v>116.87</v>
      </c>
      <c r="Q31" s="84"/>
      <c r="R31" s="94">
        <v>829.88347186499993</v>
      </c>
      <c r="S31" s="95">
        <v>1.0598374668940298E-3</v>
      </c>
      <c r="T31" s="95">
        <f t="shared" si="0"/>
        <v>3.288741019011734E-3</v>
      </c>
      <c r="U31" s="95">
        <f>R31/'סכום נכסי הקרן'!$C$42</f>
        <v>8.7322870959596389E-4</v>
      </c>
    </row>
    <row r="32" spans="2:61">
      <c r="B32" s="87" t="s">
        <v>397</v>
      </c>
      <c r="C32" s="84" t="s">
        <v>398</v>
      </c>
      <c r="D32" s="97" t="s">
        <v>124</v>
      </c>
      <c r="E32" s="97" t="s">
        <v>351</v>
      </c>
      <c r="F32" s="84" t="s">
        <v>399</v>
      </c>
      <c r="G32" s="97" t="s">
        <v>359</v>
      </c>
      <c r="H32" s="84" t="s">
        <v>367</v>
      </c>
      <c r="I32" s="84" t="s">
        <v>164</v>
      </c>
      <c r="J32" s="84"/>
      <c r="K32" s="94">
        <v>2.4600000000002682</v>
      </c>
      <c r="L32" s="97" t="s">
        <v>168</v>
      </c>
      <c r="M32" s="98">
        <v>0.05</v>
      </c>
      <c r="N32" s="98">
        <v>-4.1000000000000481E-3</v>
      </c>
      <c r="O32" s="94">
        <v>3458641.9291170002</v>
      </c>
      <c r="P32" s="96">
        <v>120.68</v>
      </c>
      <c r="Q32" s="84"/>
      <c r="R32" s="94">
        <v>4173.8890861780001</v>
      </c>
      <c r="S32" s="95">
        <v>1.0974217055353033E-3</v>
      </c>
      <c r="T32" s="95">
        <f t="shared" si="0"/>
        <v>1.654068397780066E-2</v>
      </c>
      <c r="U32" s="95">
        <f>R32/'סכום נכסי הקרן'!$C$42</f>
        <v>4.3918934456291924E-3</v>
      </c>
    </row>
    <row r="33" spans="2:21">
      <c r="B33" s="87" t="s">
        <v>400</v>
      </c>
      <c r="C33" s="84" t="s">
        <v>401</v>
      </c>
      <c r="D33" s="97" t="s">
        <v>124</v>
      </c>
      <c r="E33" s="97" t="s">
        <v>351</v>
      </c>
      <c r="F33" s="84" t="s">
        <v>399</v>
      </c>
      <c r="G33" s="97" t="s">
        <v>359</v>
      </c>
      <c r="H33" s="84" t="s">
        <v>367</v>
      </c>
      <c r="I33" s="84" t="s">
        <v>164</v>
      </c>
      <c r="J33" s="84"/>
      <c r="K33" s="94">
        <v>0.71000000000320507</v>
      </c>
      <c r="L33" s="97" t="s">
        <v>168</v>
      </c>
      <c r="M33" s="98">
        <v>1.6E-2</v>
      </c>
      <c r="N33" s="98">
        <v>-1.3999999999524406E-3</v>
      </c>
      <c r="O33" s="94">
        <v>94825.172974999994</v>
      </c>
      <c r="P33" s="96">
        <v>102</v>
      </c>
      <c r="Q33" s="84"/>
      <c r="R33" s="94">
        <v>96.72167623899999</v>
      </c>
      <c r="S33" s="95">
        <v>9.0343543198665558E-5</v>
      </c>
      <c r="T33" s="95">
        <f t="shared" si="0"/>
        <v>3.8329784223792453E-4</v>
      </c>
      <c r="U33" s="95">
        <f>R33/'סכום נכסי הקרן'!$C$42</f>
        <v>1.0177349880499847E-4</v>
      </c>
    </row>
    <row r="34" spans="2:21">
      <c r="B34" s="87" t="s">
        <v>402</v>
      </c>
      <c r="C34" s="84" t="s">
        <v>403</v>
      </c>
      <c r="D34" s="97" t="s">
        <v>124</v>
      </c>
      <c r="E34" s="97" t="s">
        <v>351</v>
      </c>
      <c r="F34" s="84" t="s">
        <v>399</v>
      </c>
      <c r="G34" s="97" t="s">
        <v>359</v>
      </c>
      <c r="H34" s="84" t="s">
        <v>367</v>
      </c>
      <c r="I34" s="84" t="s">
        <v>164</v>
      </c>
      <c r="J34" s="84"/>
      <c r="K34" s="94">
        <v>1.730000000000202</v>
      </c>
      <c r="L34" s="97" t="s">
        <v>168</v>
      </c>
      <c r="M34" s="98">
        <v>6.9999999999999993E-3</v>
      </c>
      <c r="N34" s="98">
        <v>-2.8999999999993272E-3</v>
      </c>
      <c r="O34" s="94">
        <v>1421662.9567859999</v>
      </c>
      <c r="P34" s="96">
        <v>104.53</v>
      </c>
      <c r="Q34" s="84"/>
      <c r="R34" s="94">
        <v>1486.0643057899999</v>
      </c>
      <c r="S34" s="95">
        <v>4.9998976863026322E-4</v>
      </c>
      <c r="T34" s="95">
        <f t="shared" si="0"/>
        <v>5.889116731482273E-3</v>
      </c>
      <c r="U34" s="95">
        <f>R34/'סכום נכסי הקרן'!$C$42</f>
        <v>1.5636822037259717E-3</v>
      </c>
    </row>
    <row r="35" spans="2:21">
      <c r="B35" s="87" t="s">
        <v>404</v>
      </c>
      <c r="C35" s="84" t="s">
        <v>405</v>
      </c>
      <c r="D35" s="97" t="s">
        <v>124</v>
      </c>
      <c r="E35" s="97" t="s">
        <v>351</v>
      </c>
      <c r="F35" s="84" t="s">
        <v>399</v>
      </c>
      <c r="G35" s="97" t="s">
        <v>359</v>
      </c>
      <c r="H35" s="84" t="s">
        <v>367</v>
      </c>
      <c r="I35" s="84" t="s">
        <v>164</v>
      </c>
      <c r="J35" s="84"/>
      <c r="K35" s="94">
        <v>4.3099999999997891</v>
      </c>
      <c r="L35" s="97" t="s">
        <v>168</v>
      </c>
      <c r="M35" s="98">
        <v>6.0000000000000001E-3</v>
      </c>
      <c r="N35" s="98">
        <v>-2.9999999999994319E-3</v>
      </c>
      <c r="O35" s="94">
        <v>1663334.0101360001</v>
      </c>
      <c r="P35" s="96">
        <v>105.92</v>
      </c>
      <c r="Q35" s="84"/>
      <c r="R35" s="94">
        <v>1761.8033021270003</v>
      </c>
      <c r="S35" s="95">
        <v>8.3094802728738966E-4</v>
      </c>
      <c r="T35" s="95">
        <f t="shared" si="0"/>
        <v>6.9818414073415085E-3</v>
      </c>
      <c r="U35" s="95">
        <f>R35/'סכום נכסי הקרן'!$C$42</f>
        <v>1.8538231887193612E-3</v>
      </c>
    </row>
    <row r="36" spans="2:21">
      <c r="B36" s="87" t="s">
        <v>406</v>
      </c>
      <c r="C36" s="84" t="s">
        <v>407</v>
      </c>
      <c r="D36" s="97" t="s">
        <v>124</v>
      </c>
      <c r="E36" s="97" t="s">
        <v>351</v>
      </c>
      <c r="F36" s="84" t="s">
        <v>399</v>
      </c>
      <c r="G36" s="97" t="s">
        <v>359</v>
      </c>
      <c r="H36" s="84" t="s">
        <v>367</v>
      </c>
      <c r="I36" s="84" t="s">
        <v>164</v>
      </c>
      <c r="J36" s="84"/>
      <c r="K36" s="94">
        <v>5.7900000000000729</v>
      </c>
      <c r="L36" s="97" t="s">
        <v>168</v>
      </c>
      <c r="M36" s="98">
        <v>1.7500000000000002E-2</v>
      </c>
      <c r="N36" s="98">
        <v>-2.6000000000001833E-3</v>
      </c>
      <c r="O36" s="94">
        <v>3882559.0718840002</v>
      </c>
      <c r="P36" s="96">
        <v>112.19</v>
      </c>
      <c r="Q36" s="84"/>
      <c r="R36" s="94">
        <v>4355.8430781920006</v>
      </c>
      <c r="S36" s="95">
        <v>9.7911282111134501E-4</v>
      </c>
      <c r="T36" s="95">
        <f t="shared" si="0"/>
        <v>1.726174853372511E-2</v>
      </c>
      <c r="U36" s="95">
        <f>R36/'סכום נכסי הקרן'!$C$42</f>
        <v>4.5833509876081306E-3</v>
      </c>
    </row>
    <row r="37" spans="2:21">
      <c r="B37" s="87" t="s">
        <v>408</v>
      </c>
      <c r="C37" s="84" t="s">
        <v>409</v>
      </c>
      <c r="D37" s="97" t="s">
        <v>124</v>
      </c>
      <c r="E37" s="97" t="s">
        <v>351</v>
      </c>
      <c r="F37" s="84" t="s">
        <v>366</v>
      </c>
      <c r="G37" s="97" t="s">
        <v>359</v>
      </c>
      <c r="H37" s="84" t="s">
        <v>410</v>
      </c>
      <c r="I37" s="84" t="s">
        <v>164</v>
      </c>
      <c r="J37" s="84"/>
      <c r="K37" s="94">
        <v>0.56999999999974771</v>
      </c>
      <c r="L37" s="97" t="s">
        <v>168</v>
      </c>
      <c r="M37" s="98">
        <v>3.1E-2</v>
      </c>
      <c r="N37" s="98">
        <v>3.7999999999918464E-3</v>
      </c>
      <c r="O37" s="94">
        <v>463066.61545899999</v>
      </c>
      <c r="P37" s="96">
        <v>111.25</v>
      </c>
      <c r="Q37" s="84"/>
      <c r="R37" s="94">
        <v>515.16161910900007</v>
      </c>
      <c r="S37" s="95">
        <v>1.3459877182744303E-3</v>
      </c>
      <c r="T37" s="95">
        <f t="shared" si="0"/>
        <v>2.041531378347386E-3</v>
      </c>
      <c r="U37" s="95">
        <f>R37/'סכום נכסי הקרן'!$C$42</f>
        <v>5.4206877367609372E-4</v>
      </c>
    </row>
    <row r="38" spans="2:21">
      <c r="B38" s="87" t="s">
        <v>411</v>
      </c>
      <c r="C38" s="84" t="s">
        <v>412</v>
      </c>
      <c r="D38" s="97" t="s">
        <v>124</v>
      </c>
      <c r="E38" s="97" t="s">
        <v>351</v>
      </c>
      <c r="F38" s="84" t="s">
        <v>366</v>
      </c>
      <c r="G38" s="97" t="s">
        <v>359</v>
      </c>
      <c r="H38" s="84" t="s">
        <v>410</v>
      </c>
      <c r="I38" s="84" t="s">
        <v>164</v>
      </c>
      <c r="J38" s="84"/>
      <c r="K38" s="94">
        <v>0.71000000000647245</v>
      </c>
      <c r="L38" s="97" t="s">
        <v>168</v>
      </c>
      <c r="M38" s="98">
        <v>4.2000000000000003E-2</v>
      </c>
      <c r="N38" s="98">
        <v>6.4000000001412163E-3</v>
      </c>
      <c r="O38" s="94">
        <v>26844.304479999999</v>
      </c>
      <c r="P38" s="96">
        <v>126.62</v>
      </c>
      <c r="Q38" s="84"/>
      <c r="R38" s="94">
        <v>33.990256717999998</v>
      </c>
      <c r="S38" s="95">
        <v>5.1459388260552852E-4</v>
      </c>
      <c r="T38" s="95">
        <f t="shared" si="0"/>
        <v>1.3469981666704435E-4</v>
      </c>
      <c r="U38" s="95">
        <f>R38/'סכום נכסי הקרן'!$C$42</f>
        <v>3.5765585192330514E-5</v>
      </c>
    </row>
    <row r="39" spans="2:21">
      <c r="B39" s="87" t="s">
        <v>413</v>
      </c>
      <c r="C39" s="84" t="s">
        <v>414</v>
      </c>
      <c r="D39" s="97" t="s">
        <v>124</v>
      </c>
      <c r="E39" s="97" t="s">
        <v>351</v>
      </c>
      <c r="F39" s="84" t="s">
        <v>415</v>
      </c>
      <c r="G39" s="97" t="s">
        <v>359</v>
      </c>
      <c r="H39" s="84" t="s">
        <v>410</v>
      </c>
      <c r="I39" s="84" t="s">
        <v>164</v>
      </c>
      <c r="J39" s="84"/>
      <c r="K39" s="94">
        <v>1.4299999999988524</v>
      </c>
      <c r="L39" s="97" t="s">
        <v>168</v>
      </c>
      <c r="M39" s="98">
        <v>3.85E-2</v>
      </c>
      <c r="N39" s="98">
        <v>-1.5999999999972998E-3</v>
      </c>
      <c r="O39" s="94">
        <v>257428.83740299998</v>
      </c>
      <c r="P39" s="96">
        <v>115.08</v>
      </c>
      <c r="Q39" s="84"/>
      <c r="R39" s="94">
        <v>296.249116238</v>
      </c>
      <c r="S39" s="95">
        <v>8.0585080252214931E-4</v>
      </c>
      <c r="T39" s="95">
        <f t="shared" si="0"/>
        <v>1.1740041264207469E-3</v>
      </c>
      <c r="U39" s="95">
        <f>R39/'סכום נכסי הקרן'!$C$42</f>
        <v>3.1172235893563616E-4</v>
      </c>
    </row>
    <row r="40" spans="2:21">
      <c r="B40" s="87" t="s">
        <v>416</v>
      </c>
      <c r="C40" s="84" t="s">
        <v>417</v>
      </c>
      <c r="D40" s="97" t="s">
        <v>124</v>
      </c>
      <c r="E40" s="97" t="s">
        <v>351</v>
      </c>
      <c r="F40" s="84" t="s">
        <v>415</v>
      </c>
      <c r="G40" s="97" t="s">
        <v>359</v>
      </c>
      <c r="H40" s="84" t="s">
        <v>410</v>
      </c>
      <c r="I40" s="84" t="s">
        <v>164</v>
      </c>
      <c r="J40" s="84"/>
      <c r="K40" s="94">
        <v>1.8</v>
      </c>
      <c r="L40" s="97" t="s">
        <v>168</v>
      </c>
      <c r="M40" s="98">
        <v>4.7500000000000001E-2</v>
      </c>
      <c r="N40" s="98">
        <v>-4.699999999993266E-3</v>
      </c>
      <c r="O40" s="94">
        <v>169761.34164699996</v>
      </c>
      <c r="P40" s="96">
        <v>131.21</v>
      </c>
      <c r="Q40" s="84"/>
      <c r="R40" s="94">
        <v>222.74386004500002</v>
      </c>
      <c r="S40" s="95">
        <v>7.7986973323116446E-4</v>
      </c>
      <c r="T40" s="95">
        <f t="shared" si="0"/>
        <v>8.8271051791975719E-4</v>
      </c>
      <c r="U40" s="95">
        <f>R40/'סכום נכסי הקרן'!$C$42</f>
        <v>2.3437788565713281E-4</v>
      </c>
    </row>
    <row r="41" spans="2:21">
      <c r="B41" s="87" t="s">
        <v>418</v>
      </c>
      <c r="C41" s="84" t="s">
        <v>419</v>
      </c>
      <c r="D41" s="97" t="s">
        <v>124</v>
      </c>
      <c r="E41" s="97" t="s">
        <v>351</v>
      </c>
      <c r="F41" s="84" t="s">
        <v>420</v>
      </c>
      <c r="G41" s="97" t="s">
        <v>421</v>
      </c>
      <c r="H41" s="84" t="s">
        <v>422</v>
      </c>
      <c r="I41" s="84" t="s">
        <v>355</v>
      </c>
      <c r="J41" s="84"/>
      <c r="K41" s="94">
        <v>1.6400000000062196</v>
      </c>
      <c r="L41" s="97" t="s">
        <v>168</v>
      </c>
      <c r="M41" s="98">
        <v>3.6400000000000002E-2</v>
      </c>
      <c r="N41" s="98">
        <v>-6.0000000007601716E-4</v>
      </c>
      <c r="O41" s="94">
        <v>49135.508269999998</v>
      </c>
      <c r="P41" s="96">
        <v>117.8</v>
      </c>
      <c r="Q41" s="84"/>
      <c r="R41" s="94">
        <v>57.881629525999998</v>
      </c>
      <c r="S41" s="95">
        <v>8.9134708879818594E-4</v>
      </c>
      <c r="T41" s="95">
        <f t="shared" si="0"/>
        <v>2.2937881729540342E-4</v>
      </c>
      <c r="U41" s="95">
        <f>R41/'סכום נכסי הקרן'!$C$42</f>
        <v>6.0904816608424725E-5</v>
      </c>
    </row>
    <row r="42" spans="2:21">
      <c r="B42" s="87" t="s">
        <v>423</v>
      </c>
      <c r="C42" s="84" t="s">
        <v>424</v>
      </c>
      <c r="D42" s="97" t="s">
        <v>124</v>
      </c>
      <c r="E42" s="97" t="s">
        <v>351</v>
      </c>
      <c r="F42" s="84" t="s">
        <v>372</v>
      </c>
      <c r="G42" s="97" t="s">
        <v>359</v>
      </c>
      <c r="H42" s="84" t="s">
        <v>410</v>
      </c>
      <c r="I42" s="84" t="s">
        <v>164</v>
      </c>
      <c r="J42" s="84"/>
      <c r="K42" s="94">
        <v>0.86000000000131838</v>
      </c>
      <c r="L42" s="97" t="s">
        <v>168</v>
      </c>
      <c r="M42" s="98">
        <v>3.4000000000000002E-2</v>
      </c>
      <c r="N42" s="98">
        <v>-3.4000000000010684E-3</v>
      </c>
      <c r="O42" s="94">
        <v>520964.34607999993</v>
      </c>
      <c r="P42" s="96">
        <v>107.73</v>
      </c>
      <c r="Q42" s="84"/>
      <c r="R42" s="94">
        <v>561.23486499099999</v>
      </c>
      <c r="S42" s="95">
        <v>5.8283593598390049E-4</v>
      </c>
      <c r="T42" s="95">
        <f t="shared" si="0"/>
        <v>2.224114811742714E-3</v>
      </c>
      <c r="U42" s="95">
        <f>R42/'סכום נכסי הקרן'!$C$42</f>
        <v>5.9054844872977544E-4</v>
      </c>
    </row>
    <row r="43" spans="2:21">
      <c r="B43" s="87" t="s">
        <v>425</v>
      </c>
      <c r="C43" s="84" t="s">
        <v>426</v>
      </c>
      <c r="D43" s="97" t="s">
        <v>124</v>
      </c>
      <c r="E43" s="97" t="s">
        <v>351</v>
      </c>
      <c r="F43" s="84" t="s">
        <v>427</v>
      </c>
      <c r="G43" s="97" t="s">
        <v>421</v>
      </c>
      <c r="H43" s="84" t="s">
        <v>410</v>
      </c>
      <c r="I43" s="84" t="s">
        <v>164</v>
      </c>
      <c r="J43" s="84"/>
      <c r="K43" s="94">
        <v>5.5300000000004541</v>
      </c>
      <c r="L43" s="97" t="s">
        <v>168</v>
      </c>
      <c r="M43" s="98">
        <v>8.3000000000000001E-3</v>
      </c>
      <c r="N43" s="98">
        <v>-3.8000000000000659E-3</v>
      </c>
      <c r="O43" s="94">
        <v>2781940.6343569998</v>
      </c>
      <c r="P43" s="96">
        <v>108.51</v>
      </c>
      <c r="Q43" s="84"/>
      <c r="R43" s="94">
        <v>3018.6837842710001</v>
      </c>
      <c r="S43" s="95">
        <v>1.8165735077313764E-3</v>
      </c>
      <c r="T43" s="95">
        <f t="shared" si="0"/>
        <v>1.1962726721677107E-2</v>
      </c>
      <c r="U43" s="95">
        <f>R43/'סכום נכסי הקרן'!$C$42</f>
        <v>3.1763511805980803E-3</v>
      </c>
    </row>
    <row r="44" spans="2:21">
      <c r="B44" s="87" t="s">
        <v>428</v>
      </c>
      <c r="C44" s="84" t="s">
        <v>429</v>
      </c>
      <c r="D44" s="97" t="s">
        <v>124</v>
      </c>
      <c r="E44" s="97" t="s">
        <v>351</v>
      </c>
      <c r="F44" s="84" t="s">
        <v>427</v>
      </c>
      <c r="G44" s="97" t="s">
        <v>421</v>
      </c>
      <c r="H44" s="84" t="s">
        <v>410</v>
      </c>
      <c r="I44" s="84" t="s">
        <v>164</v>
      </c>
      <c r="J44" s="84"/>
      <c r="K44" s="94">
        <v>9.3200000000026808</v>
      </c>
      <c r="L44" s="97" t="s">
        <v>168</v>
      </c>
      <c r="M44" s="98">
        <v>1.6500000000000001E-2</v>
      </c>
      <c r="N44" s="98">
        <v>3.7000000000015983E-3</v>
      </c>
      <c r="O44" s="94">
        <v>1424409.3567570001</v>
      </c>
      <c r="P44" s="96">
        <v>114.26</v>
      </c>
      <c r="Q44" s="84"/>
      <c r="R44" s="94">
        <v>1627.5301241019999</v>
      </c>
      <c r="S44" s="95">
        <v>9.7560280046094948E-4</v>
      </c>
      <c r="T44" s="95">
        <f t="shared" si="0"/>
        <v>6.4497309083439841E-3</v>
      </c>
      <c r="U44" s="95">
        <f>R44/'סכום נכסי הקרן'!$C$42</f>
        <v>1.7125368540046558E-3</v>
      </c>
    </row>
    <row r="45" spans="2:21">
      <c r="B45" s="87" t="s">
        <v>430</v>
      </c>
      <c r="C45" s="84" t="s">
        <v>431</v>
      </c>
      <c r="D45" s="97" t="s">
        <v>124</v>
      </c>
      <c r="E45" s="97" t="s">
        <v>351</v>
      </c>
      <c r="F45" s="84" t="s">
        <v>432</v>
      </c>
      <c r="G45" s="97" t="s">
        <v>160</v>
      </c>
      <c r="H45" s="84" t="s">
        <v>410</v>
      </c>
      <c r="I45" s="84" t="s">
        <v>164</v>
      </c>
      <c r="J45" s="84"/>
      <c r="K45" s="94">
        <v>9.2300000000161155</v>
      </c>
      <c r="L45" s="97" t="s">
        <v>168</v>
      </c>
      <c r="M45" s="98">
        <v>2.6499999999999999E-2</v>
      </c>
      <c r="N45" s="98">
        <v>3.1999999999840554E-3</v>
      </c>
      <c r="O45" s="94">
        <v>140739.806564</v>
      </c>
      <c r="P45" s="96">
        <v>124.78</v>
      </c>
      <c r="Q45" s="84"/>
      <c r="R45" s="94">
        <v>175.61513007899998</v>
      </c>
      <c r="S45" s="95">
        <v>1.2103665185087948E-4</v>
      </c>
      <c r="T45" s="95">
        <f t="shared" si="0"/>
        <v>6.959443119790692E-4</v>
      </c>
      <c r="U45" s="95">
        <f>R45/'סכום נכסי הקרן'!$C$42</f>
        <v>1.8478759804648674E-4</v>
      </c>
    </row>
    <row r="46" spans="2:21">
      <c r="B46" s="87" t="s">
        <v>433</v>
      </c>
      <c r="C46" s="84" t="s">
        <v>434</v>
      </c>
      <c r="D46" s="97" t="s">
        <v>124</v>
      </c>
      <c r="E46" s="97" t="s">
        <v>351</v>
      </c>
      <c r="F46" s="84" t="s">
        <v>435</v>
      </c>
      <c r="G46" s="97" t="s">
        <v>421</v>
      </c>
      <c r="H46" s="84" t="s">
        <v>422</v>
      </c>
      <c r="I46" s="84" t="s">
        <v>355</v>
      </c>
      <c r="J46" s="84"/>
      <c r="K46" s="94">
        <v>2.7399999999996751</v>
      </c>
      <c r="L46" s="97" t="s">
        <v>168</v>
      </c>
      <c r="M46" s="98">
        <v>6.5000000000000006E-3</v>
      </c>
      <c r="N46" s="98">
        <v>-2.7999999999995945E-3</v>
      </c>
      <c r="O46" s="94">
        <v>955445.52254699985</v>
      </c>
      <c r="P46" s="96">
        <v>103.35</v>
      </c>
      <c r="Q46" s="84"/>
      <c r="R46" s="94">
        <v>987.452931068</v>
      </c>
      <c r="S46" s="95">
        <v>1.0548295594634866E-3</v>
      </c>
      <c r="T46" s="95">
        <f t="shared" si="0"/>
        <v>3.9131722330228262E-3</v>
      </c>
      <c r="U46" s="95">
        <f>R46/'סכום נכסי הקרן'!$C$42</f>
        <v>1.0390281021568902E-3</v>
      </c>
    </row>
    <row r="47" spans="2:21">
      <c r="B47" s="87" t="s">
        <v>436</v>
      </c>
      <c r="C47" s="84" t="s">
        <v>437</v>
      </c>
      <c r="D47" s="97" t="s">
        <v>124</v>
      </c>
      <c r="E47" s="97" t="s">
        <v>351</v>
      </c>
      <c r="F47" s="84" t="s">
        <v>435</v>
      </c>
      <c r="G47" s="97" t="s">
        <v>421</v>
      </c>
      <c r="H47" s="84" t="s">
        <v>410</v>
      </c>
      <c r="I47" s="84" t="s">
        <v>164</v>
      </c>
      <c r="J47" s="84"/>
      <c r="K47" s="94">
        <v>5.3999999999998343</v>
      </c>
      <c r="L47" s="97" t="s">
        <v>168</v>
      </c>
      <c r="M47" s="98">
        <v>1.34E-2</v>
      </c>
      <c r="N47" s="98">
        <v>1.0000000000016524E-4</v>
      </c>
      <c r="O47" s="94">
        <v>6317063.6754250005</v>
      </c>
      <c r="P47" s="96">
        <v>109.39</v>
      </c>
      <c r="Q47" s="94">
        <v>351.74842625100001</v>
      </c>
      <c r="R47" s="94">
        <v>7261.9843807880015</v>
      </c>
      <c r="S47" s="95">
        <v>1.7335288568733529E-3</v>
      </c>
      <c r="T47" s="95">
        <f t="shared" si="0"/>
        <v>2.8778481223210965E-2</v>
      </c>
      <c r="U47" s="95">
        <f>R47/'סכום נכסי הקרן'!$C$42</f>
        <v>7.6412815352142893E-3</v>
      </c>
    </row>
    <row r="48" spans="2:21">
      <c r="B48" s="87" t="s">
        <v>438</v>
      </c>
      <c r="C48" s="84" t="s">
        <v>439</v>
      </c>
      <c r="D48" s="97" t="s">
        <v>124</v>
      </c>
      <c r="E48" s="97" t="s">
        <v>351</v>
      </c>
      <c r="F48" s="84" t="s">
        <v>435</v>
      </c>
      <c r="G48" s="97" t="s">
        <v>421</v>
      </c>
      <c r="H48" s="84" t="s">
        <v>410</v>
      </c>
      <c r="I48" s="84" t="s">
        <v>164</v>
      </c>
      <c r="J48" s="84"/>
      <c r="K48" s="94">
        <v>6.2700000000008584</v>
      </c>
      <c r="L48" s="97" t="s">
        <v>168</v>
      </c>
      <c r="M48" s="98">
        <v>1.77E-2</v>
      </c>
      <c r="N48" s="98">
        <v>2.6999999999992529E-3</v>
      </c>
      <c r="O48" s="94">
        <v>2908457.158793</v>
      </c>
      <c r="P48" s="96">
        <v>110.45</v>
      </c>
      <c r="Q48" s="84"/>
      <c r="R48" s="94">
        <v>3212.3909172120002</v>
      </c>
      <c r="S48" s="95">
        <v>1.1955817941649324E-3</v>
      </c>
      <c r="T48" s="95">
        <f t="shared" si="0"/>
        <v>1.2730367740417454E-2</v>
      </c>
      <c r="U48" s="95">
        <f>R48/'סכום נכסי הקרן'!$C$42</f>
        <v>3.3801757360594278E-3</v>
      </c>
    </row>
    <row r="49" spans="2:21">
      <c r="B49" s="87" t="s">
        <v>440</v>
      </c>
      <c r="C49" s="84" t="s">
        <v>441</v>
      </c>
      <c r="D49" s="97" t="s">
        <v>124</v>
      </c>
      <c r="E49" s="97" t="s">
        <v>351</v>
      </c>
      <c r="F49" s="84" t="s">
        <v>435</v>
      </c>
      <c r="G49" s="97" t="s">
        <v>421</v>
      </c>
      <c r="H49" s="84" t="s">
        <v>410</v>
      </c>
      <c r="I49" s="84" t="s">
        <v>164</v>
      </c>
      <c r="J49" s="84"/>
      <c r="K49" s="94">
        <v>9.6000000000004704</v>
      </c>
      <c r="L49" s="97" t="s">
        <v>168</v>
      </c>
      <c r="M49" s="98">
        <v>2.4799999999999999E-2</v>
      </c>
      <c r="N49" s="98">
        <v>7.9000000000015898E-3</v>
      </c>
      <c r="O49" s="94">
        <v>1440098.1319330002</v>
      </c>
      <c r="P49" s="96">
        <v>117.95</v>
      </c>
      <c r="Q49" s="84"/>
      <c r="R49" s="94">
        <v>1698.5957494870001</v>
      </c>
      <c r="S49" s="95">
        <v>1.2040330116106022E-3</v>
      </c>
      <c r="T49" s="95">
        <f t="shared" si="0"/>
        <v>6.7313565162382344E-3</v>
      </c>
      <c r="U49" s="95">
        <f>R49/'סכום נכסי הקרן'!$C$42</f>
        <v>1.7873142733116267E-3</v>
      </c>
    </row>
    <row r="50" spans="2:21">
      <c r="B50" s="87" t="s">
        <v>442</v>
      </c>
      <c r="C50" s="84" t="s">
        <v>443</v>
      </c>
      <c r="D50" s="97" t="s">
        <v>124</v>
      </c>
      <c r="E50" s="97" t="s">
        <v>351</v>
      </c>
      <c r="F50" s="84" t="s">
        <v>399</v>
      </c>
      <c r="G50" s="97" t="s">
        <v>359</v>
      </c>
      <c r="H50" s="84" t="s">
        <v>410</v>
      </c>
      <c r="I50" s="84" t="s">
        <v>164</v>
      </c>
      <c r="J50" s="84"/>
      <c r="K50" s="94">
        <v>2.3200000000010195</v>
      </c>
      <c r="L50" s="97" t="s">
        <v>168</v>
      </c>
      <c r="M50" s="98">
        <v>4.2000000000000003E-2</v>
      </c>
      <c r="N50" s="98">
        <v>-4.6999999999963868E-3</v>
      </c>
      <c r="O50" s="94">
        <v>402881.22471600003</v>
      </c>
      <c r="P50" s="96">
        <v>116.79</v>
      </c>
      <c r="Q50" s="84"/>
      <c r="R50" s="94">
        <v>470.52497311100007</v>
      </c>
      <c r="S50" s="95">
        <v>4.0379622696630566E-4</v>
      </c>
      <c r="T50" s="95">
        <f t="shared" si="0"/>
        <v>1.8646410393762677E-3</v>
      </c>
      <c r="U50" s="95">
        <f>R50/'סכום נכסי הקרן'!$C$42</f>
        <v>4.9510073285232608E-4</v>
      </c>
    </row>
    <row r="51" spans="2:21">
      <c r="B51" s="87" t="s">
        <v>444</v>
      </c>
      <c r="C51" s="84" t="s">
        <v>445</v>
      </c>
      <c r="D51" s="97" t="s">
        <v>124</v>
      </c>
      <c r="E51" s="97" t="s">
        <v>351</v>
      </c>
      <c r="F51" s="84" t="s">
        <v>399</v>
      </c>
      <c r="G51" s="97" t="s">
        <v>359</v>
      </c>
      <c r="H51" s="84" t="s">
        <v>410</v>
      </c>
      <c r="I51" s="84" t="s">
        <v>164</v>
      </c>
      <c r="J51" s="84"/>
      <c r="K51" s="94">
        <v>0.72999999999998322</v>
      </c>
      <c r="L51" s="97" t="s">
        <v>168</v>
      </c>
      <c r="M51" s="98">
        <v>4.0999999999999995E-2</v>
      </c>
      <c r="N51" s="98">
        <v>7.2000000000018308E-3</v>
      </c>
      <c r="O51" s="94">
        <v>1864570.604517</v>
      </c>
      <c r="P51" s="96">
        <v>128.9</v>
      </c>
      <c r="Q51" s="84"/>
      <c r="R51" s="94">
        <v>2403.4314188479998</v>
      </c>
      <c r="S51" s="95">
        <v>1.1966007714153586E-3</v>
      </c>
      <c r="T51" s="95">
        <f t="shared" si="0"/>
        <v>9.5245462303083471E-3</v>
      </c>
      <c r="U51" s="95">
        <f>R51/'סכום נכסי הקרן'!$C$42</f>
        <v>2.5289638697906804E-3</v>
      </c>
    </row>
    <row r="52" spans="2:21">
      <c r="B52" s="87" t="s">
        <v>446</v>
      </c>
      <c r="C52" s="84" t="s">
        <v>447</v>
      </c>
      <c r="D52" s="97" t="s">
        <v>124</v>
      </c>
      <c r="E52" s="97" t="s">
        <v>351</v>
      </c>
      <c r="F52" s="84" t="s">
        <v>399</v>
      </c>
      <c r="G52" s="97" t="s">
        <v>359</v>
      </c>
      <c r="H52" s="84" t="s">
        <v>410</v>
      </c>
      <c r="I52" s="84" t="s">
        <v>164</v>
      </c>
      <c r="J52" s="84"/>
      <c r="K52" s="94">
        <v>1.8899999999996053</v>
      </c>
      <c r="L52" s="97" t="s">
        <v>168</v>
      </c>
      <c r="M52" s="98">
        <v>0.04</v>
      </c>
      <c r="N52" s="98">
        <v>-4.9999999999971387E-3</v>
      </c>
      <c r="O52" s="94">
        <v>1502785.003091</v>
      </c>
      <c r="P52" s="96">
        <v>116.27</v>
      </c>
      <c r="Q52" s="84"/>
      <c r="R52" s="94">
        <v>1747.2881160210002</v>
      </c>
      <c r="S52" s="95">
        <v>6.8982596528503856E-4</v>
      </c>
      <c r="T52" s="95">
        <f t="shared" si="0"/>
        <v>6.9243192496365085E-3</v>
      </c>
      <c r="U52" s="95">
        <f>R52/'סכום נכסי הקרן'!$C$42</f>
        <v>1.8385498670270965E-3</v>
      </c>
    </row>
    <row r="53" spans="2:21">
      <c r="B53" s="87" t="s">
        <v>448</v>
      </c>
      <c r="C53" s="84" t="s">
        <v>449</v>
      </c>
      <c r="D53" s="97" t="s">
        <v>124</v>
      </c>
      <c r="E53" s="97" t="s">
        <v>351</v>
      </c>
      <c r="F53" s="84" t="s">
        <v>450</v>
      </c>
      <c r="G53" s="97" t="s">
        <v>421</v>
      </c>
      <c r="H53" s="84" t="s">
        <v>451</v>
      </c>
      <c r="I53" s="84" t="s">
        <v>355</v>
      </c>
      <c r="J53" s="84"/>
      <c r="K53" s="94">
        <v>4.5400000000002807</v>
      </c>
      <c r="L53" s="97" t="s">
        <v>168</v>
      </c>
      <c r="M53" s="98">
        <v>2.3399999999999997E-2</v>
      </c>
      <c r="N53" s="98">
        <v>1.9999999999990806E-3</v>
      </c>
      <c r="O53" s="94">
        <v>3868880.3389420002</v>
      </c>
      <c r="P53" s="96">
        <v>112.48</v>
      </c>
      <c r="Q53" s="84"/>
      <c r="R53" s="94">
        <v>4351.716865507</v>
      </c>
      <c r="S53" s="95">
        <v>1.1698342220470002E-3</v>
      </c>
      <c r="T53" s="95">
        <f t="shared" si="0"/>
        <v>1.724539678631673E-2</v>
      </c>
      <c r="U53" s="95">
        <f>R53/'סכום נכסי הקרן'!$C$42</f>
        <v>4.579009260726471E-3</v>
      </c>
    </row>
    <row r="54" spans="2:21">
      <c r="B54" s="87" t="s">
        <v>452</v>
      </c>
      <c r="C54" s="84" t="s">
        <v>453</v>
      </c>
      <c r="D54" s="97" t="s">
        <v>124</v>
      </c>
      <c r="E54" s="97" t="s">
        <v>351</v>
      </c>
      <c r="F54" s="84" t="s">
        <v>450</v>
      </c>
      <c r="G54" s="97" t="s">
        <v>421</v>
      </c>
      <c r="H54" s="84" t="s">
        <v>451</v>
      </c>
      <c r="I54" s="84" t="s">
        <v>355</v>
      </c>
      <c r="J54" s="84"/>
      <c r="K54" s="94">
        <v>1.5900000000009122</v>
      </c>
      <c r="L54" s="97" t="s">
        <v>168</v>
      </c>
      <c r="M54" s="98">
        <v>0.03</v>
      </c>
      <c r="N54" s="98">
        <v>-4.7000000000001936E-3</v>
      </c>
      <c r="O54" s="94">
        <v>947744.82456099999</v>
      </c>
      <c r="P54" s="96">
        <v>108.72</v>
      </c>
      <c r="Q54" s="84"/>
      <c r="R54" s="94">
        <v>1030.3882160340002</v>
      </c>
      <c r="S54" s="95">
        <v>2.2509227707065709E-3</v>
      </c>
      <c r="T54" s="95">
        <f t="shared" si="0"/>
        <v>4.0833202569536039E-3</v>
      </c>
      <c r="U54" s="95">
        <f>R54/'סכום נכסי הקרן'!$C$42</f>
        <v>1.084205918992715E-3</v>
      </c>
    </row>
    <row r="55" spans="2:21">
      <c r="B55" s="87" t="s">
        <v>454</v>
      </c>
      <c r="C55" s="84" t="s">
        <v>455</v>
      </c>
      <c r="D55" s="97" t="s">
        <v>124</v>
      </c>
      <c r="E55" s="97" t="s">
        <v>351</v>
      </c>
      <c r="F55" s="84" t="s">
        <v>450</v>
      </c>
      <c r="G55" s="97" t="s">
        <v>421</v>
      </c>
      <c r="H55" s="84" t="s">
        <v>451</v>
      </c>
      <c r="I55" s="84" t="s">
        <v>355</v>
      </c>
      <c r="J55" s="84"/>
      <c r="K55" s="94">
        <v>8.4699999999954017</v>
      </c>
      <c r="L55" s="97" t="s">
        <v>168</v>
      </c>
      <c r="M55" s="98">
        <v>6.5000000000000006E-3</v>
      </c>
      <c r="N55" s="98">
        <v>6.7999999999959282E-3</v>
      </c>
      <c r="O55" s="94">
        <v>590033.98659600003</v>
      </c>
      <c r="P55" s="96">
        <v>99.89</v>
      </c>
      <c r="Q55" s="84"/>
      <c r="R55" s="94">
        <v>589.38496939300001</v>
      </c>
      <c r="S55" s="95">
        <v>1.9667799553200003E-3</v>
      </c>
      <c r="T55" s="95">
        <f t="shared" si="0"/>
        <v>2.3356707182945924E-3</v>
      </c>
      <c r="U55" s="95">
        <f>R55/'סכום נכסי הקרן'!$C$42</f>
        <v>6.2016884746685119E-4</v>
      </c>
    </row>
    <row r="56" spans="2:21">
      <c r="B56" s="87" t="s">
        <v>456</v>
      </c>
      <c r="C56" s="84" t="s">
        <v>457</v>
      </c>
      <c r="D56" s="97" t="s">
        <v>124</v>
      </c>
      <c r="E56" s="97" t="s">
        <v>351</v>
      </c>
      <c r="F56" s="84" t="s">
        <v>458</v>
      </c>
      <c r="G56" s="97" t="s">
        <v>421</v>
      </c>
      <c r="H56" s="84" t="s">
        <v>459</v>
      </c>
      <c r="I56" s="84" t="s">
        <v>164</v>
      </c>
      <c r="J56" s="84"/>
      <c r="K56" s="94">
        <v>1.4800000000000979</v>
      </c>
      <c r="L56" s="97" t="s">
        <v>168</v>
      </c>
      <c r="M56" s="98">
        <v>4.8000000000000001E-2</v>
      </c>
      <c r="N56" s="98">
        <v>-5.1999999999990162E-3</v>
      </c>
      <c r="O56" s="94">
        <v>2875019.797725</v>
      </c>
      <c r="P56" s="96">
        <v>113.33</v>
      </c>
      <c r="Q56" s="84"/>
      <c r="R56" s="94">
        <v>3258.2601680660005</v>
      </c>
      <c r="S56" s="95">
        <v>2.3496567544729393E-3</v>
      </c>
      <c r="T56" s="95">
        <f t="shared" si="0"/>
        <v>1.2912142762946678E-2</v>
      </c>
      <c r="U56" s="95">
        <f>R56/'סכום נכסי הקרן'!$C$42</f>
        <v>3.4284407613205743E-3</v>
      </c>
    </row>
    <row r="57" spans="2:21">
      <c r="B57" s="87" t="s">
        <v>460</v>
      </c>
      <c r="C57" s="84" t="s">
        <v>461</v>
      </c>
      <c r="D57" s="97" t="s">
        <v>124</v>
      </c>
      <c r="E57" s="97" t="s">
        <v>351</v>
      </c>
      <c r="F57" s="84" t="s">
        <v>458</v>
      </c>
      <c r="G57" s="97" t="s">
        <v>421</v>
      </c>
      <c r="H57" s="84" t="s">
        <v>459</v>
      </c>
      <c r="I57" s="84" t="s">
        <v>164</v>
      </c>
      <c r="J57" s="84"/>
      <c r="K57" s="94">
        <v>1</v>
      </c>
      <c r="L57" s="97" t="s">
        <v>168</v>
      </c>
      <c r="M57" s="98">
        <v>4.9000000000000002E-2</v>
      </c>
      <c r="N57" s="98">
        <v>-1.6999999999981106E-3</v>
      </c>
      <c r="O57" s="94">
        <v>184888.190222</v>
      </c>
      <c r="P57" s="96">
        <v>114.5</v>
      </c>
      <c r="Q57" s="84"/>
      <c r="R57" s="94">
        <v>211.696978312</v>
      </c>
      <c r="S57" s="95">
        <v>1.8665795778345054E-3</v>
      </c>
      <c r="T57" s="95">
        <f t="shared" si="0"/>
        <v>8.3893288609652875E-4</v>
      </c>
      <c r="U57" s="95">
        <f>R57/'סכום נכסי הקרן'!$C$42</f>
        <v>2.2275401964725995E-4</v>
      </c>
    </row>
    <row r="58" spans="2:21">
      <c r="B58" s="87" t="s">
        <v>462</v>
      </c>
      <c r="C58" s="84" t="s">
        <v>463</v>
      </c>
      <c r="D58" s="97" t="s">
        <v>124</v>
      </c>
      <c r="E58" s="97" t="s">
        <v>351</v>
      </c>
      <c r="F58" s="84" t="s">
        <v>458</v>
      </c>
      <c r="G58" s="97" t="s">
        <v>421</v>
      </c>
      <c r="H58" s="84" t="s">
        <v>459</v>
      </c>
      <c r="I58" s="84" t="s">
        <v>164</v>
      </c>
      <c r="J58" s="84"/>
      <c r="K58" s="94">
        <v>5.3900000000005601</v>
      </c>
      <c r="L58" s="97" t="s">
        <v>168</v>
      </c>
      <c r="M58" s="98">
        <v>3.2000000000000001E-2</v>
      </c>
      <c r="N58" s="98">
        <v>1.0999999999997843E-3</v>
      </c>
      <c r="O58" s="94">
        <v>3094769.75807</v>
      </c>
      <c r="P58" s="96">
        <v>119.9</v>
      </c>
      <c r="Q58" s="84"/>
      <c r="R58" s="94">
        <v>3710.6291302280001</v>
      </c>
      <c r="S58" s="95">
        <v>1.8760546442747887E-3</v>
      </c>
      <c r="T58" s="95">
        <f t="shared" si="0"/>
        <v>1.4704833438236989E-2</v>
      </c>
      <c r="U58" s="95">
        <f>R58/'סכום נכסי הקרן'!$C$42</f>
        <v>3.904437185495953E-3</v>
      </c>
    </row>
    <row r="59" spans="2:21">
      <c r="B59" s="87" t="s">
        <v>464</v>
      </c>
      <c r="C59" s="84" t="s">
        <v>465</v>
      </c>
      <c r="D59" s="97" t="s">
        <v>124</v>
      </c>
      <c r="E59" s="97" t="s">
        <v>351</v>
      </c>
      <c r="F59" s="84" t="s">
        <v>458</v>
      </c>
      <c r="G59" s="97" t="s">
        <v>421</v>
      </c>
      <c r="H59" s="84" t="s">
        <v>459</v>
      </c>
      <c r="I59" s="84" t="s">
        <v>164</v>
      </c>
      <c r="J59" s="84"/>
      <c r="K59" s="94">
        <v>7.8299999999985266</v>
      </c>
      <c r="L59" s="97" t="s">
        <v>168</v>
      </c>
      <c r="M59" s="98">
        <v>1.1399999999999999E-2</v>
      </c>
      <c r="N59" s="98">
        <v>6.3999999999980132E-3</v>
      </c>
      <c r="O59" s="94">
        <v>1754100.3653879999</v>
      </c>
      <c r="P59" s="96">
        <v>103.28</v>
      </c>
      <c r="Q59" s="84"/>
      <c r="R59" s="94">
        <v>1811.634857349</v>
      </c>
      <c r="S59" s="95">
        <v>1.7490560876312713E-3</v>
      </c>
      <c r="T59" s="95">
        <f t="shared" si="0"/>
        <v>7.1793186258375507E-3</v>
      </c>
      <c r="U59" s="95">
        <f>R59/'סכום נכסי הקרן'!$C$42</f>
        <v>1.9062574715300272E-3</v>
      </c>
    </row>
    <row r="60" spans="2:21">
      <c r="B60" s="87" t="s">
        <v>466</v>
      </c>
      <c r="C60" s="84" t="s">
        <v>467</v>
      </c>
      <c r="D60" s="97" t="s">
        <v>124</v>
      </c>
      <c r="E60" s="97" t="s">
        <v>351</v>
      </c>
      <c r="F60" s="84" t="s">
        <v>468</v>
      </c>
      <c r="G60" s="97" t="s">
        <v>421</v>
      </c>
      <c r="H60" s="84" t="s">
        <v>451</v>
      </c>
      <c r="I60" s="84" t="s">
        <v>355</v>
      </c>
      <c r="J60" s="84"/>
      <c r="K60" s="94">
        <v>6.2700000000029776</v>
      </c>
      <c r="L60" s="97" t="s">
        <v>168</v>
      </c>
      <c r="M60" s="98">
        <v>1.8200000000000001E-2</v>
      </c>
      <c r="N60" s="98">
        <v>2.9000000000030152E-3</v>
      </c>
      <c r="O60" s="94">
        <v>957534.27800199995</v>
      </c>
      <c r="P60" s="96">
        <v>110.86</v>
      </c>
      <c r="Q60" s="84"/>
      <c r="R60" s="94">
        <v>1061.522531392</v>
      </c>
      <c r="S60" s="95">
        <v>2.1309319639523754E-3</v>
      </c>
      <c r="T60" s="95">
        <f t="shared" si="0"/>
        <v>4.2067022780301212E-3</v>
      </c>
      <c r="U60" s="95">
        <f>R60/'סכום נכסי הקרן'!$C$42</f>
        <v>1.1169663955486846E-3</v>
      </c>
    </row>
    <row r="61" spans="2:21">
      <c r="B61" s="87" t="s">
        <v>469</v>
      </c>
      <c r="C61" s="84" t="s">
        <v>470</v>
      </c>
      <c r="D61" s="97" t="s">
        <v>124</v>
      </c>
      <c r="E61" s="97" t="s">
        <v>351</v>
      </c>
      <c r="F61" s="84" t="s">
        <v>468</v>
      </c>
      <c r="G61" s="97" t="s">
        <v>421</v>
      </c>
      <c r="H61" s="84" t="s">
        <v>451</v>
      </c>
      <c r="I61" s="84" t="s">
        <v>355</v>
      </c>
      <c r="J61" s="84"/>
      <c r="K61" s="94">
        <v>7.0699999999987337</v>
      </c>
      <c r="L61" s="97" t="s">
        <v>168</v>
      </c>
      <c r="M61" s="98">
        <v>7.8000000000000005E-3</v>
      </c>
      <c r="N61" s="98">
        <v>4.8999999999113503E-3</v>
      </c>
      <c r="O61" s="94">
        <v>54152.787934</v>
      </c>
      <c r="P61" s="96">
        <v>102.07</v>
      </c>
      <c r="Q61" s="84"/>
      <c r="R61" s="94">
        <v>55.273752100999999</v>
      </c>
      <c r="S61" s="95">
        <v>1.1281830819583333E-4</v>
      </c>
      <c r="T61" s="95">
        <f t="shared" si="0"/>
        <v>2.1904407301994764E-4</v>
      </c>
      <c r="U61" s="95">
        <f>R61/'סכום נכסי הקרן'!$C$42</f>
        <v>5.8160728413127293E-5</v>
      </c>
    </row>
    <row r="62" spans="2:21">
      <c r="B62" s="87" t="s">
        <v>471</v>
      </c>
      <c r="C62" s="84" t="s">
        <v>472</v>
      </c>
      <c r="D62" s="97" t="s">
        <v>124</v>
      </c>
      <c r="E62" s="97" t="s">
        <v>351</v>
      </c>
      <c r="F62" s="84" t="s">
        <v>468</v>
      </c>
      <c r="G62" s="97" t="s">
        <v>421</v>
      </c>
      <c r="H62" s="84" t="s">
        <v>451</v>
      </c>
      <c r="I62" s="84" t="s">
        <v>355</v>
      </c>
      <c r="J62" s="84"/>
      <c r="K62" s="94">
        <v>5.2900000000029559</v>
      </c>
      <c r="L62" s="97" t="s">
        <v>168</v>
      </c>
      <c r="M62" s="98">
        <v>2E-3</v>
      </c>
      <c r="N62" s="98">
        <v>7.0000000000216308E-4</v>
      </c>
      <c r="O62" s="94">
        <v>691465.53197400004</v>
      </c>
      <c r="P62" s="96">
        <v>100.29</v>
      </c>
      <c r="Q62" s="84"/>
      <c r="R62" s="94">
        <v>693.47079155500001</v>
      </c>
      <c r="S62" s="95">
        <v>1.8439080852640001E-3</v>
      </c>
      <c r="T62" s="95">
        <f t="shared" si="0"/>
        <v>2.748151897215354E-3</v>
      </c>
      <c r="U62" s="95">
        <f>R62/'סכום נכסי הקרן'!$C$42</f>
        <v>7.2969112529882099E-4</v>
      </c>
    </row>
    <row r="63" spans="2:21">
      <c r="B63" s="87" t="s">
        <v>473</v>
      </c>
      <c r="C63" s="84" t="s">
        <v>474</v>
      </c>
      <c r="D63" s="97" t="s">
        <v>124</v>
      </c>
      <c r="E63" s="97" t="s">
        <v>351</v>
      </c>
      <c r="F63" s="84" t="s">
        <v>372</v>
      </c>
      <c r="G63" s="97" t="s">
        <v>359</v>
      </c>
      <c r="H63" s="84" t="s">
        <v>459</v>
      </c>
      <c r="I63" s="84" t="s">
        <v>164</v>
      </c>
      <c r="J63" s="84"/>
      <c r="K63" s="94">
        <v>1.0700000000000076</v>
      </c>
      <c r="L63" s="97" t="s">
        <v>168</v>
      </c>
      <c r="M63" s="98">
        <v>0.04</v>
      </c>
      <c r="N63" s="98">
        <v>-3.5000000000003856E-3</v>
      </c>
      <c r="O63" s="94">
        <v>2259470.5124900001</v>
      </c>
      <c r="P63" s="96">
        <v>114.85</v>
      </c>
      <c r="Q63" s="84"/>
      <c r="R63" s="94">
        <v>2595.0020034139998</v>
      </c>
      <c r="S63" s="95">
        <v>1.6736843406360603E-3</v>
      </c>
      <c r="T63" s="95">
        <f t="shared" si="0"/>
        <v>1.0283720332284857E-2</v>
      </c>
      <c r="U63" s="95">
        <f>R63/'סכום נכסי הקרן'!$C$42</f>
        <v>2.7305402838638184E-3</v>
      </c>
    </row>
    <row r="64" spans="2:21">
      <c r="B64" s="87" t="s">
        <v>475</v>
      </c>
      <c r="C64" s="84" t="s">
        <v>476</v>
      </c>
      <c r="D64" s="97" t="s">
        <v>124</v>
      </c>
      <c r="E64" s="97" t="s">
        <v>351</v>
      </c>
      <c r="F64" s="84" t="s">
        <v>477</v>
      </c>
      <c r="G64" s="97" t="s">
        <v>421</v>
      </c>
      <c r="H64" s="84" t="s">
        <v>459</v>
      </c>
      <c r="I64" s="84" t="s">
        <v>164</v>
      </c>
      <c r="J64" s="84"/>
      <c r="K64" s="94">
        <v>3.5299999999999914</v>
      </c>
      <c r="L64" s="97" t="s">
        <v>168</v>
      </c>
      <c r="M64" s="98">
        <v>4.7500000000000001E-2</v>
      </c>
      <c r="N64" s="98">
        <v>-5.9999999999983862E-4</v>
      </c>
      <c r="O64" s="94">
        <v>3404372.5039730002</v>
      </c>
      <c r="P64" s="96">
        <v>145.59</v>
      </c>
      <c r="Q64" s="84"/>
      <c r="R64" s="94">
        <v>4956.4260862680003</v>
      </c>
      <c r="S64" s="95">
        <v>1.8038321962449003E-3</v>
      </c>
      <c r="T64" s="95">
        <f t="shared" si="0"/>
        <v>1.9641795902956609E-2</v>
      </c>
      <c r="U64" s="95">
        <f>R64/'סכום נכסי הקרן'!$C$42</f>
        <v>5.2153027530395801E-3</v>
      </c>
    </row>
    <row r="65" spans="2:21">
      <c r="B65" s="87" t="s">
        <v>478</v>
      </c>
      <c r="C65" s="84" t="s">
        <v>479</v>
      </c>
      <c r="D65" s="97" t="s">
        <v>124</v>
      </c>
      <c r="E65" s="97" t="s">
        <v>351</v>
      </c>
      <c r="F65" s="84" t="s">
        <v>480</v>
      </c>
      <c r="G65" s="97" t="s">
        <v>481</v>
      </c>
      <c r="H65" s="84" t="s">
        <v>451</v>
      </c>
      <c r="I65" s="84" t="s">
        <v>355</v>
      </c>
      <c r="J65" s="84"/>
      <c r="K65" s="94">
        <v>1.4899999998368638</v>
      </c>
      <c r="L65" s="97" t="s">
        <v>168</v>
      </c>
      <c r="M65" s="98">
        <v>4.6500000000000007E-2</v>
      </c>
      <c r="N65" s="98">
        <v>0</v>
      </c>
      <c r="O65" s="94">
        <v>4535.3750980000004</v>
      </c>
      <c r="P65" s="96">
        <v>129.75</v>
      </c>
      <c r="Q65" s="84"/>
      <c r="R65" s="94">
        <v>5.8846493039999999</v>
      </c>
      <c r="S65" s="95">
        <v>8.9515946247899588E-5</v>
      </c>
      <c r="T65" s="95">
        <f t="shared" si="0"/>
        <v>2.3320247004162394E-5</v>
      </c>
      <c r="U65" s="95">
        <f>R65/'סכום נכסי הקרן'!$C$42</f>
        <v>6.1920075436719005E-6</v>
      </c>
    </row>
    <row r="66" spans="2:21">
      <c r="B66" s="87" t="s">
        <v>482</v>
      </c>
      <c r="C66" s="84" t="s">
        <v>483</v>
      </c>
      <c r="D66" s="97" t="s">
        <v>124</v>
      </c>
      <c r="E66" s="97" t="s">
        <v>351</v>
      </c>
      <c r="F66" s="84" t="s">
        <v>484</v>
      </c>
      <c r="G66" s="97" t="s">
        <v>485</v>
      </c>
      <c r="H66" s="84" t="s">
        <v>459</v>
      </c>
      <c r="I66" s="84" t="s">
        <v>164</v>
      </c>
      <c r="J66" s="84"/>
      <c r="K66" s="94">
        <v>7.1499999999992028</v>
      </c>
      <c r="L66" s="97" t="s">
        <v>168</v>
      </c>
      <c r="M66" s="98">
        <v>3.85E-2</v>
      </c>
      <c r="N66" s="98">
        <v>3.8999999999980313E-3</v>
      </c>
      <c r="O66" s="94">
        <v>2461216.8926510001</v>
      </c>
      <c r="P66" s="96">
        <v>130</v>
      </c>
      <c r="Q66" s="84"/>
      <c r="R66" s="94">
        <v>3199.5819579170002</v>
      </c>
      <c r="S66" s="95">
        <v>9.1368958837972957E-4</v>
      </c>
      <c r="T66" s="95">
        <f t="shared" si="0"/>
        <v>1.2679607180323819E-2</v>
      </c>
      <c r="U66" s="95">
        <f>R66/'סכום נכסי הקרן'!$C$42</f>
        <v>3.3666977582762292E-3</v>
      </c>
    </row>
    <row r="67" spans="2:21">
      <c r="B67" s="87" t="s">
        <v>486</v>
      </c>
      <c r="C67" s="84" t="s">
        <v>487</v>
      </c>
      <c r="D67" s="97" t="s">
        <v>124</v>
      </c>
      <c r="E67" s="97" t="s">
        <v>351</v>
      </c>
      <c r="F67" s="84" t="s">
        <v>484</v>
      </c>
      <c r="G67" s="97" t="s">
        <v>485</v>
      </c>
      <c r="H67" s="84" t="s">
        <v>459</v>
      </c>
      <c r="I67" s="84" t="s">
        <v>164</v>
      </c>
      <c r="J67" s="84"/>
      <c r="K67" s="94">
        <v>5.0900000000001047</v>
      </c>
      <c r="L67" s="97" t="s">
        <v>168</v>
      </c>
      <c r="M67" s="98">
        <v>4.4999999999999998E-2</v>
      </c>
      <c r="N67" s="98">
        <v>-6.0000000000024433E-4</v>
      </c>
      <c r="O67" s="94">
        <v>5668701.9550930001</v>
      </c>
      <c r="P67" s="96">
        <v>129.97999999999999</v>
      </c>
      <c r="Q67" s="84"/>
      <c r="R67" s="94">
        <v>7368.178587247</v>
      </c>
      <c r="S67" s="95">
        <v>1.9192130940345773E-3</v>
      </c>
      <c r="T67" s="95">
        <f t="shared" si="0"/>
        <v>2.9199317707613106E-2</v>
      </c>
      <c r="U67" s="95">
        <f>R67/'סכום נכסי הקרן'!$C$42</f>
        <v>7.7530223193322837E-3</v>
      </c>
    </row>
    <row r="68" spans="2:21">
      <c r="B68" s="87" t="s">
        <v>488</v>
      </c>
      <c r="C68" s="84" t="s">
        <v>489</v>
      </c>
      <c r="D68" s="97" t="s">
        <v>124</v>
      </c>
      <c r="E68" s="97" t="s">
        <v>351</v>
      </c>
      <c r="F68" s="84" t="s">
        <v>484</v>
      </c>
      <c r="G68" s="97" t="s">
        <v>485</v>
      </c>
      <c r="H68" s="84" t="s">
        <v>459</v>
      </c>
      <c r="I68" s="84" t="s">
        <v>164</v>
      </c>
      <c r="J68" s="84"/>
      <c r="K68" s="94">
        <v>9.7899999999993774</v>
      </c>
      <c r="L68" s="97" t="s">
        <v>168</v>
      </c>
      <c r="M68" s="98">
        <v>2.3900000000000001E-2</v>
      </c>
      <c r="N68" s="98">
        <v>7.3999999999990297E-3</v>
      </c>
      <c r="O68" s="94">
        <v>2088473.7120000003</v>
      </c>
      <c r="P68" s="96">
        <v>118.42</v>
      </c>
      <c r="Q68" s="84"/>
      <c r="R68" s="94">
        <v>2473.1706376260004</v>
      </c>
      <c r="S68" s="95">
        <v>1.6853552702614373E-3</v>
      </c>
      <c r="T68" s="95">
        <f t="shared" si="0"/>
        <v>9.8009154281592393E-3</v>
      </c>
      <c r="U68" s="95">
        <f>R68/'סכום נכסי הקרן'!$C$42</f>
        <v>2.602345603595894E-3</v>
      </c>
    </row>
    <row r="69" spans="2:21">
      <c r="B69" s="87" t="s">
        <v>490</v>
      </c>
      <c r="C69" s="84" t="s">
        <v>491</v>
      </c>
      <c r="D69" s="97" t="s">
        <v>124</v>
      </c>
      <c r="E69" s="97" t="s">
        <v>351</v>
      </c>
      <c r="F69" s="84" t="s">
        <v>492</v>
      </c>
      <c r="G69" s="97" t="s">
        <v>421</v>
      </c>
      <c r="H69" s="84" t="s">
        <v>459</v>
      </c>
      <c r="I69" s="84" t="s">
        <v>164</v>
      </c>
      <c r="J69" s="84"/>
      <c r="K69" s="94">
        <v>5.5199999999984515</v>
      </c>
      <c r="L69" s="97" t="s">
        <v>168</v>
      </c>
      <c r="M69" s="98">
        <v>1.5800000000000002E-2</v>
      </c>
      <c r="N69" s="98">
        <v>2.8999999999948407E-3</v>
      </c>
      <c r="O69" s="94">
        <v>709567.3759649999</v>
      </c>
      <c r="P69" s="96">
        <v>109.26</v>
      </c>
      <c r="Q69" s="84"/>
      <c r="R69" s="94">
        <v>775.27327665999996</v>
      </c>
      <c r="S69" s="95">
        <v>1.5676912677634119E-3</v>
      </c>
      <c r="T69" s="95">
        <f t="shared" si="0"/>
        <v>3.0723265522633984E-3</v>
      </c>
      <c r="U69" s="95">
        <f>R69/'סכום נכסי הקרן'!$C$42</f>
        <v>8.1576619599453223E-4</v>
      </c>
    </row>
    <row r="70" spans="2:21">
      <c r="B70" s="87" t="s">
        <v>493</v>
      </c>
      <c r="C70" s="84" t="s">
        <v>494</v>
      </c>
      <c r="D70" s="97" t="s">
        <v>124</v>
      </c>
      <c r="E70" s="97" t="s">
        <v>351</v>
      </c>
      <c r="F70" s="84" t="s">
        <v>492</v>
      </c>
      <c r="G70" s="97" t="s">
        <v>421</v>
      </c>
      <c r="H70" s="84" t="s">
        <v>459</v>
      </c>
      <c r="I70" s="84" t="s">
        <v>164</v>
      </c>
      <c r="J70" s="84"/>
      <c r="K70" s="94">
        <v>8.4500000000058701</v>
      </c>
      <c r="L70" s="97" t="s">
        <v>168</v>
      </c>
      <c r="M70" s="98">
        <v>8.3999999999999995E-3</v>
      </c>
      <c r="N70" s="98">
        <v>6.8999999999985141E-3</v>
      </c>
      <c r="O70" s="94">
        <v>596701.03729200002</v>
      </c>
      <c r="P70" s="96">
        <v>101.34</v>
      </c>
      <c r="Q70" s="84"/>
      <c r="R70" s="94">
        <v>604.69684836099998</v>
      </c>
      <c r="S70" s="95">
        <v>2.3868041491680002E-3</v>
      </c>
      <c r="T70" s="95">
        <f t="shared" si="0"/>
        <v>2.3963500861184117E-3</v>
      </c>
      <c r="U70" s="95">
        <f>R70/'סכום נכסי הקרן'!$C$42</f>
        <v>6.362804736963362E-4</v>
      </c>
    </row>
    <row r="71" spans="2:21">
      <c r="B71" s="87" t="s">
        <v>495</v>
      </c>
      <c r="C71" s="84" t="s">
        <v>496</v>
      </c>
      <c r="D71" s="97" t="s">
        <v>124</v>
      </c>
      <c r="E71" s="97" t="s">
        <v>351</v>
      </c>
      <c r="F71" s="84" t="s">
        <v>497</v>
      </c>
      <c r="G71" s="97" t="s">
        <v>481</v>
      </c>
      <c r="H71" s="84" t="s">
        <v>459</v>
      </c>
      <c r="I71" s="84" t="s">
        <v>164</v>
      </c>
      <c r="J71" s="84"/>
      <c r="K71" s="94">
        <v>0.89999999997393765</v>
      </c>
      <c r="L71" s="97" t="s">
        <v>168</v>
      </c>
      <c r="M71" s="98">
        <v>4.8899999999999999E-2</v>
      </c>
      <c r="N71" s="98">
        <v>2.6000000003301247E-3</v>
      </c>
      <c r="O71" s="94">
        <v>8982.2868670000007</v>
      </c>
      <c r="P71" s="96">
        <v>128.15</v>
      </c>
      <c r="Q71" s="84"/>
      <c r="R71" s="94">
        <v>11.510801186999998</v>
      </c>
      <c r="S71" s="95">
        <v>2.4135535342638018E-4</v>
      </c>
      <c r="T71" s="95">
        <f t="shared" si="0"/>
        <v>4.5616095884283408E-5</v>
      </c>
      <c r="U71" s="95">
        <f>R71/'סכום נכסי הקרן'!$C$42</f>
        <v>1.2112016213976148E-5</v>
      </c>
    </row>
    <row r="72" spans="2:21">
      <c r="B72" s="87" t="s">
        <v>498</v>
      </c>
      <c r="C72" s="84" t="s">
        <v>499</v>
      </c>
      <c r="D72" s="97" t="s">
        <v>124</v>
      </c>
      <c r="E72" s="97" t="s">
        <v>351</v>
      </c>
      <c r="F72" s="84" t="s">
        <v>372</v>
      </c>
      <c r="G72" s="97" t="s">
        <v>359</v>
      </c>
      <c r="H72" s="84" t="s">
        <v>451</v>
      </c>
      <c r="I72" s="84" t="s">
        <v>355</v>
      </c>
      <c r="J72" s="84"/>
      <c r="K72" s="94">
        <v>3.4800000000017621</v>
      </c>
      <c r="L72" s="97" t="s">
        <v>168</v>
      </c>
      <c r="M72" s="98">
        <v>1.6399999999999998E-2</v>
      </c>
      <c r="N72" s="98">
        <v>8.0000000000018355E-3</v>
      </c>
      <c r="O72" s="94">
        <f>1049168.8625/50000</f>
        <v>20.98337725</v>
      </c>
      <c r="P72" s="96">
        <v>5194000</v>
      </c>
      <c r="Q72" s="84"/>
      <c r="R72" s="94">
        <v>1089.876674246</v>
      </c>
      <c r="S72" s="95">
        <f>8546.5042562724%/50000</f>
        <v>1.7093008512544799E-3</v>
      </c>
      <c r="T72" s="95">
        <f t="shared" si="0"/>
        <v>4.3190667675328566E-3</v>
      </c>
      <c r="U72" s="95">
        <f>R72/'סכום נכסי הקרן'!$C$42</f>
        <v>1.1468014897703536E-3</v>
      </c>
    </row>
    <row r="73" spans="2:21">
      <c r="B73" s="87" t="s">
        <v>500</v>
      </c>
      <c r="C73" s="84" t="s">
        <v>501</v>
      </c>
      <c r="D73" s="97" t="s">
        <v>124</v>
      </c>
      <c r="E73" s="97" t="s">
        <v>351</v>
      </c>
      <c r="F73" s="84" t="s">
        <v>372</v>
      </c>
      <c r="G73" s="97" t="s">
        <v>359</v>
      </c>
      <c r="H73" s="84" t="s">
        <v>451</v>
      </c>
      <c r="I73" s="84" t="s">
        <v>355</v>
      </c>
      <c r="J73" s="84"/>
      <c r="K73" s="94">
        <v>7.6799999999977349</v>
      </c>
      <c r="L73" s="97" t="s">
        <v>168</v>
      </c>
      <c r="M73" s="98">
        <v>2.7799999999999998E-2</v>
      </c>
      <c r="N73" s="98">
        <v>1.6499999999994335E-2</v>
      </c>
      <c r="O73" s="94">
        <f>400591.7475/50000</f>
        <v>8.0118349500000008</v>
      </c>
      <c r="P73" s="96">
        <v>5510023</v>
      </c>
      <c r="Q73" s="84"/>
      <c r="R73" s="94">
        <v>441.45397832499998</v>
      </c>
      <c r="S73" s="95">
        <f>9578.95139885222%/50000</f>
        <v>1.9157902797704437E-3</v>
      </c>
      <c r="T73" s="95">
        <f t="shared" si="0"/>
        <v>1.7494357409729426E-3</v>
      </c>
      <c r="U73" s="95">
        <f>R73/'סכום נכסי הקרן'!$C$42</f>
        <v>4.6451134515600206E-4</v>
      </c>
    </row>
    <row r="74" spans="2:21">
      <c r="B74" s="87" t="s">
        <v>502</v>
      </c>
      <c r="C74" s="84" t="s">
        <v>503</v>
      </c>
      <c r="D74" s="97" t="s">
        <v>124</v>
      </c>
      <c r="E74" s="97" t="s">
        <v>351</v>
      </c>
      <c r="F74" s="84" t="s">
        <v>372</v>
      </c>
      <c r="G74" s="97" t="s">
        <v>359</v>
      </c>
      <c r="H74" s="84" t="s">
        <v>451</v>
      </c>
      <c r="I74" s="84" t="s">
        <v>355</v>
      </c>
      <c r="J74" s="84"/>
      <c r="K74" s="94">
        <v>4.8299999999991234</v>
      </c>
      <c r="L74" s="97" t="s">
        <v>168</v>
      </c>
      <c r="M74" s="98">
        <v>2.4199999999999999E-2</v>
      </c>
      <c r="N74" s="98">
        <v>1.0699999999997812E-2</v>
      </c>
      <c r="O74" s="94">
        <f>833529.4125/50000</f>
        <v>16.670588249999998</v>
      </c>
      <c r="P74" s="96">
        <v>5481000</v>
      </c>
      <c r="Q74" s="84"/>
      <c r="R74" s="94">
        <v>913.71486626000001</v>
      </c>
      <c r="S74" s="95">
        <f>2891.88985358915%/50000</f>
        <v>5.7837797071783005E-4</v>
      </c>
      <c r="T74" s="95">
        <f t="shared" si="0"/>
        <v>3.6209560284373417E-3</v>
      </c>
      <c r="U74" s="95">
        <f>R74/'סכום נכסי הקרן'!$C$42</f>
        <v>9.6143866055048118E-4</v>
      </c>
    </row>
    <row r="75" spans="2:21">
      <c r="B75" s="87" t="s">
        <v>504</v>
      </c>
      <c r="C75" s="84" t="s">
        <v>505</v>
      </c>
      <c r="D75" s="97" t="s">
        <v>124</v>
      </c>
      <c r="E75" s="97" t="s">
        <v>351</v>
      </c>
      <c r="F75" s="84" t="s">
        <v>372</v>
      </c>
      <c r="G75" s="97" t="s">
        <v>359</v>
      </c>
      <c r="H75" s="84" t="s">
        <v>451</v>
      </c>
      <c r="I75" s="84" t="s">
        <v>355</v>
      </c>
      <c r="J75" s="84"/>
      <c r="K75" s="94">
        <v>4.5499999999992475</v>
      </c>
      <c r="L75" s="97" t="s">
        <v>168</v>
      </c>
      <c r="M75" s="98">
        <v>1.95E-2</v>
      </c>
      <c r="N75" s="98">
        <v>9.6000000000024798E-3</v>
      </c>
      <c r="O75" s="94">
        <f>1080270.70625/50000</f>
        <v>21.605414124999999</v>
      </c>
      <c r="P75" s="96">
        <v>5228300</v>
      </c>
      <c r="Q75" s="84"/>
      <c r="R75" s="94">
        <v>1129.5958297069999</v>
      </c>
      <c r="S75" s="95">
        <f>4352.59561726903%/50000</f>
        <v>8.7051912345380603E-4</v>
      </c>
      <c r="T75" s="95">
        <f t="shared" si="0"/>
        <v>4.4764696080925532E-3</v>
      </c>
      <c r="U75" s="95">
        <f>R75/'סכום נכסי הקרן'!$C$42</f>
        <v>1.1885951970139804E-3</v>
      </c>
    </row>
    <row r="76" spans="2:21">
      <c r="B76" s="87" t="s">
        <v>506</v>
      </c>
      <c r="C76" s="84" t="s">
        <v>507</v>
      </c>
      <c r="D76" s="97" t="s">
        <v>124</v>
      </c>
      <c r="E76" s="97" t="s">
        <v>351</v>
      </c>
      <c r="F76" s="84" t="s">
        <v>372</v>
      </c>
      <c r="G76" s="97" t="s">
        <v>359</v>
      </c>
      <c r="H76" s="84" t="s">
        <v>459</v>
      </c>
      <c r="I76" s="84" t="s">
        <v>164</v>
      </c>
      <c r="J76" s="84"/>
      <c r="K76" s="94">
        <v>0.59999999999975606</v>
      </c>
      <c r="L76" s="97" t="s">
        <v>168</v>
      </c>
      <c r="M76" s="98">
        <v>0.05</v>
      </c>
      <c r="N76" s="98">
        <v>-1.1000000000024994E-3</v>
      </c>
      <c r="O76" s="94">
        <v>1425109.798797</v>
      </c>
      <c r="P76" s="96">
        <v>115.1</v>
      </c>
      <c r="Q76" s="84"/>
      <c r="R76" s="94">
        <v>1640.3014686690001</v>
      </c>
      <c r="S76" s="95">
        <v>1.4251112239082239E-3</v>
      </c>
      <c r="T76" s="95">
        <f t="shared" ref="T76:T139" si="1">R76/$R$11</f>
        <v>6.5003424052220158E-3</v>
      </c>
      <c r="U76" s="95">
        <f>R76/'סכום נכסי הקרן'!$C$42</f>
        <v>1.7259752524233932E-3</v>
      </c>
    </row>
    <row r="77" spans="2:21">
      <c r="B77" s="87" t="s">
        <v>508</v>
      </c>
      <c r="C77" s="84" t="s">
        <v>509</v>
      </c>
      <c r="D77" s="97" t="s">
        <v>124</v>
      </c>
      <c r="E77" s="97" t="s">
        <v>351</v>
      </c>
      <c r="F77" s="84" t="s">
        <v>510</v>
      </c>
      <c r="G77" s="97" t="s">
        <v>421</v>
      </c>
      <c r="H77" s="84" t="s">
        <v>451</v>
      </c>
      <c r="I77" s="84" t="s">
        <v>355</v>
      </c>
      <c r="J77" s="84"/>
      <c r="K77" s="94">
        <v>0.51999999999961977</v>
      </c>
      <c r="L77" s="97" t="s">
        <v>168</v>
      </c>
      <c r="M77" s="98">
        <v>5.0999999999999997E-2</v>
      </c>
      <c r="N77" s="98">
        <v>-1.3999999999971479E-3</v>
      </c>
      <c r="O77" s="94">
        <v>530027.14238600002</v>
      </c>
      <c r="P77" s="96">
        <v>114.77</v>
      </c>
      <c r="Q77" s="94">
        <v>22.810252751</v>
      </c>
      <c r="R77" s="94">
        <v>631.12240413699999</v>
      </c>
      <c r="S77" s="95">
        <v>1.2081902592361439E-3</v>
      </c>
      <c r="T77" s="95">
        <f t="shared" si="1"/>
        <v>2.5010717876308031E-3</v>
      </c>
      <c r="U77" s="95">
        <f>R77/'סכום נכסי הקרן'!$C$42</f>
        <v>6.640862497515875E-4</v>
      </c>
    </row>
    <row r="78" spans="2:21">
      <c r="B78" s="87" t="s">
        <v>511</v>
      </c>
      <c r="C78" s="84" t="s">
        <v>512</v>
      </c>
      <c r="D78" s="97" t="s">
        <v>124</v>
      </c>
      <c r="E78" s="97" t="s">
        <v>351</v>
      </c>
      <c r="F78" s="84" t="s">
        <v>510</v>
      </c>
      <c r="G78" s="97" t="s">
        <v>421</v>
      </c>
      <c r="H78" s="84" t="s">
        <v>451</v>
      </c>
      <c r="I78" s="84" t="s">
        <v>355</v>
      </c>
      <c r="J78" s="84"/>
      <c r="K78" s="94">
        <v>1.9400000000002169</v>
      </c>
      <c r="L78" s="97" t="s">
        <v>168</v>
      </c>
      <c r="M78" s="98">
        <v>2.5499999999999998E-2</v>
      </c>
      <c r="N78" s="98">
        <v>-1.0000000000021695E-3</v>
      </c>
      <c r="O78" s="94">
        <v>2103244.3054729998</v>
      </c>
      <c r="P78" s="96">
        <v>107.1</v>
      </c>
      <c r="Q78" s="94">
        <v>52.215955487000002</v>
      </c>
      <c r="R78" s="94">
        <v>2304.7906066250002</v>
      </c>
      <c r="S78" s="95">
        <v>1.9306697918445796E-3</v>
      </c>
      <c r="T78" s="95">
        <f t="shared" si="1"/>
        <v>9.1336430537727557E-3</v>
      </c>
      <c r="U78" s="95">
        <f>R78/'סכום נכסי הקרן'!$C$42</f>
        <v>2.4251709975487328E-3</v>
      </c>
    </row>
    <row r="79" spans="2:21">
      <c r="B79" s="87" t="s">
        <v>513</v>
      </c>
      <c r="C79" s="84" t="s">
        <v>514</v>
      </c>
      <c r="D79" s="97" t="s">
        <v>124</v>
      </c>
      <c r="E79" s="97" t="s">
        <v>351</v>
      </c>
      <c r="F79" s="84" t="s">
        <v>510</v>
      </c>
      <c r="G79" s="97" t="s">
        <v>421</v>
      </c>
      <c r="H79" s="84" t="s">
        <v>451</v>
      </c>
      <c r="I79" s="84" t="s">
        <v>355</v>
      </c>
      <c r="J79" s="84"/>
      <c r="K79" s="94">
        <v>6.249999999998856</v>
      </c>
      <c r="L79" s="97" t="s">
        <v>168</v>
      </c>
      <c r="M79" s="98">
        <v>2.35E-2</v>
      </c>
      <c r="N79" s="98">
        <v>4.3999999999981719E-3</v>
      </c>
      <c r="O79" s="94">
        <v>1518625.0214320002</v>
      </c>
      <c r="P79" s="96">
        <v>115.23</v>
      </c>
      <c r="Q79" s="84"/>
      <c r="R79" s="94">
        <v>1749.911652628</v>
      </c>
      <c r="S79" s="95">
        <v>1.9143165879755089E-3</v>
      </c>
      <c r="T79" s="95">
        <f t="shared" si="1"/>
        <v>6.934716049605218E-3</v>
      </c>
      <c r="U79" s="95">
        <f>R79/'סכום נכסי הקרן'!$C$42</f>
        <v>1.8413104322914698E-3</v>
      </c>
    </row>
    <row r="80" spans="2:21">
      <c r="B80" s="87" t="s">
        <v>515</v>
      </c>
      <c r="C80" s="84" t="s">
        <v>516</v>
      </c>
      <c r="D80" s="97" t="s">
        <v>124</v>
      </c>
      <c r="E80" s="97" t="s">
        <v>351</v>
      </c>
      <c r="F80" s="84" t="s">
        <v>510</v>
      </c>
      <c r="G80" s="97" t="s">
        <v>421</v>
      </c>
      <c r="H80" s="84" t="s">
        <v>451</v>
      </c>
      <c r="I80" s="84" t="s">
        <v>355</v>
      </c>
      <c r="J80" s="84"/>
      <c r="K80" s="94">
        <v>5.0300000000010243</v>
      </c>
      <c r="L80" s="97" t="s">
        <v>168</v>
      </c>
      <c r="M80" s="98">
        <v>1.7600000000000001E-2</v>
      </c>
      <c r="N80" s="98">
        <v>1.9000000000017406E-3</v>
      </c>
      <c r="O80" s="94">
        <v>2297818.896011</v>
      </c>
      <c r="P80" s="96">
        <v>110.5</v>
      </c>
      <c r="Q80" s="94">
        <v>46.708850018</v>
      </c>
      <c r="R80" s="94">
        <v>2585.798730045</v>
      </c>
      <c r="S80" s="95">
        <v>1.8178941955594898E-3</v>
      </c>
      <c r="T80" s="95">
        <f t="shared" si="1"/>
        <v>1.024724872673548E-2</v>
      </c>
      <c r="U80" s="95">
        <f>R80/'סכום נכסי הקרן'!$C$42</f>
        <v>2.7208563188247147E-3</v>
      </c>
    </row>
    <row r="81" spans="2:21">
      <c r="B81" s="87" t="s">
        <v>517</v>
      </c>
      <c r="C81" s="84" t="s">
        <v>518</v>
      </c>
      <c r="D81" s="97" t="s">
        <v>124</v>
      </c>
      <c r="E81" s="97" t="s">
        <v>351</v>
      </c>
      <c r="F81" s="84" t="s">
        <v>510</v>
      </c>
      <c r="G81" s="97" t="s">
        <v>421</v>
      </c>
      <c r="H81" s="84" t="s">
        <v>451</v>
      </c>
      <c r="I81" s="84" t="s">
        <v>355</v>
      </c>
      <c r="J81" s="84"/>
      <c r="K81" s="94">
        <v>5.5899999999998613</v>
      </c>
      <c r="L81" s="97" t="s">
        <v>168</v>
      </c>
      <c r="M81" s="98">
        <v>2.1499999999999998E-2</v>
      </c>
      <c r="N81" s="98">
        <v>2.8999999999990362E-3</v>
      </c>
      <c r="O81" s="94">
        <v>2093820.3399509999</v>
      </c>
      <c r="P81" s="96">
        <v>113.99</v>
      </c>
      <c r="Q81" s="84"/>
      <c r="R81" s="94">
        <v>2386.7457662869997</v>
      </c>
      <c r="S81" s="95">
        <v>1.6608381659325435E-3</v>
      </c>
      <c r="T81" s="95">
        <f t="shared" si="1"/>
        <v>9.4584227420515931E-3</v>
      </c>
      <c r="U81" s="95">
        <f>R81/'סכום נכסי הקרן'!$C$42</f>
        <v>2.5114067170715587E-3</v>
      </c>
    </row>
    <row r="82" spans="2:21">
      <c r="B82" s="87" t="s">
        <v>519</v>
      </c>
      <c r="C82" s="84" t="s">
        <v>520</v>
      </c>
      <c r="D82" s="97" t="s">
        <v>124</v>
      </c>
      <c r="E82" s="97" t="s">
        <v>351</v>
      </c>
      <c r="F82" s="84" t="s">
        <v>399</v>
      </c>
      <c r="G82" s="97" t="s">
        <v>359</v>
      </c>
      <c r="H82" s="84" t="s">
        <v>451</v>
      </c>
      <c r="I82" s="84" t="s">
        <v>355</v>
      </c>
      <c r="J82" s="84"/>
      <c r="K82" s="94">
        <v>0.48999999999996668</v>
      </c>
      <c r="L82" s="97" t="s">
        <v>168</v>
      </c>
      <c r="M82" s="98">
        <v>6.5000000000000002E-2</v>
      </c>
      <c r="N82" s="98">
        <v>-5.1000000000003334E-3</v>
      </c>
      <c r="O82" s="94">
        <v>2805027.9949289993</v>
      </c>
      <c r="P82" s="96">
        <v>115.76</v>
      </c>
      <c r="Q82" s="94">
        <v>50.977209522999999</v>
      </c>
      <c r="R82" s="94">
        <v>3298.077811139</v>
      </c>
      <c r="S82" s="95">
        <v>1.7809701555104758E-3</v>
      </c>
      <c r="T82" s="95">
        <f t="shared" si="1"/>
        <v>1.3069935899566518E-2</v>
      </c>
      <c r="U82" s="95">
        <f>R82/'סכום נכסי הקרן'!$C$42</f>
        <v>3.4703381002344938E-3</v>
      </c>
    </row>
    <row r="83" spans="2:21">
      <c r="B83" s="87" t="s">
        <v>521</v>
      </c>
      <c r="C83" s="84" t="s">
        <v>522</v>
      </c>
      <c r="D83" s="97" t="s">
        <v>124</v>
      </c>
      <c r="E83" s="97" t="s">
        <v>351</v>
      </c>
      <c r="F83" s="84" t="s">
        <v>523</v>
      </c>
      <c r="G83" s="97" t="s">
        <v>421</v>
      </c>
      <c r="H83" s="84" t="s">
        <v>451</v>
      </c>
      <c r="I83" s="84" t="s">
        <v>355</v>
      </c>
      <c r="J83" s="84"/>
      <c r="K83" s="94">
        <v>7.2700000000001346</v>
      </c>
      <c r="L83" s="97" t="s">
        <v>168</v>
      </c>
      <c r="M83" s="98">
        <v>3.5000000000000003E-2</v>
      </c>
      <c r="N83" s="98">
        <v>5.2999999999986513E-3</v>
      </c>
      <c r="O83" s="94">
        <v>582191.836687</v>
      </c>
      <c r="P83" s="96">
        <v>127.3</v>
      </c>
      <c r="Q83" s="84"/>
      <c r="R83" s="94">
        <v>741.13025627000002</v>
      </c>
      <c r="S83" s="95">
        <v>1.3171394476737411E-3</v>
      </c>
      <c r="T83" s="95">
        <f t="shared" si="1"/>
        <v>2.9370213492121763E-3</v>
      </c>
      <c r="U83" s="95">
        <f>R83/'סכום נכסי הקרן'!$C$42</f>
        <v>7.7983986820556479E-4</v>
      </c>
    </row>
    <row r="84" spans="2:21">
      <c r="B84" s="87" t="s">
        <v>524</v>
      </c>
      <c r="C84" s="84" t="s">
        <v>525</v>
      </c>
      <c r="D84" s="97" t="s">
        <v>124</v>
      </c>
      <c r="E84" s="97" t="s">
        <v>351</v>
      </c>
      <c r="F84" s="84" t="s">
        <v>523</v>
      </c>
      <c r="G84" s="97" t="s">
        <v>421</v>
      </c>
      <c r="H84" s="84" t="s">
        <v>451</v>
      </c>
      <c r="I84" s="84" t="s">
        <v>355</v>
      </c>
      <c r="J84" s="84"/>
      <c r="K84" s="94">
        <v>3.0800000000008319</v>
      </c>
      <c r="L84" s="97" t="s">
        <v>168</v>
      </c>
      <c r="M84" s="98">
        <v>0.04</v>
      </c>
      <c r="N84" s="98">
        <v>-2.29999999999792E-3</v>
      </c>
      <c r="O84" s="94">
        <v>500381.59912799997</v>
      </c>
      <c r="P84" s="96">
        <v>115.32</v>
      </c>
      <c r="Q84" s="84"/>
      <c r="R84" s="94">
        <v>577.04006614400009</v>
      </c>
      <c r="S84" s="95">
        <v>7.5533018652574647E-4</v>
      </c>
      <c r="T84" s="95">
        <f t="shared" si="1"/>
        <v>2.286749163561759E-3</v>
      </c>
      <c r="U84" s="95">
        <f>R84/'סכום נכסי הקרן'!$C$42</f>
        <v>6.0717916361402609E-4</v>
      </c>
    </row>
    <row r="85" spans="2:21">
      <c r="B85" s="87" t="s">
        <v>526</v>
      </c>
      <c r="C85" s="84" t="s">
        <v>527</v>
      </c>
      <c r="D85" s="97" t="s">
        <v>124</v>
      </c>
      <c r="E85" s="97" t="s">
        <v>351</v>
      </c>
      <c r="F85" s="84" t="s">
        <v>523</v>
      </c>
      <c r="G85" s="97" t="s">
        <v>421</v>
      </c>
      <c r="H85" s="84" t="s">
        <v>451</v>
      </c>
      <c r="I85" s="84" t="s">
        <v>355</v>
      </c>
      <c r="J85" s="84"/>
      <c r="K85" s="94">
        <v>5.820000000001043</v>
      </c>
      <c r="L85" s="97" t="s">
        <v>168</v>
      </c>
      <c r="M85" s="98">
        <v>0.04</v>
      </c>
      <c r="N85" s="98">
        <v>2.400000000000188E-3</v>
      </c>
      <c r="O85" s="94">
        <v>1682302.981588</v>
      </c>
      <c r="P85" s="96">
        <v>126.6</v>
      </c>
      <c r="Q85" s="84"/>
      <c r="R85" s="94">
        <v>2129.7955538289998</v>
      </c>
      <c r="S85" s="95">
        <v>1.6719336856521267E-3</v>
      </c>
      <c r="T85" s="95">
        <f t="shared" si="1"/>
        <v>8.4401560429265502E-3</v>
      </c>
      <c r="U85" s="95">
        <f>R85/'סכום נכסי הקרן'!$C$42</f>
        <v>2.2410358637385401E-3</v>
      </c>
    </row>
    <row r="86" spans="2:21">
      <c r="B86" s="87" t="s">
        <v>528</v>
      </c>
      <c r="C86" s="84" t="s">
        <v>529</v>
      </c>
      <c r="D86" s="97" t="s">
        <v>124</v>
      </c>
      <c r="E86" s="97" t="s">
        <v>351</v>
      </c>
      <c r="F86" s="84" t="s">
        <v>530</v>
      </c>
      <c r="G86" s="97" t="s">
        <v>155</v>
      </c>
      <c r="H86" s="84" t="s">
        <v>451</v>
      </c>
      <c r="I86" s="84" t="s">
        <v>355</v>
      </c>
      <c r="J86" s="84"/>
      <c r="K86" s="94">
        <v>4.5299999999978606</v>
      </c>
      <c r="L86" s="97" t="s">
        <v>168</v>
      </c>
      <c r="M86" s="98">
        <v>4.2999999999999997E-2</v>
      </c>
      <c r="N86" s="98">
        <v>1.0000000000070541E-3</v>
      </c>
      <c r="O86" s="94">
        <v>349505.89497000002</v>
      </c>
      <c r="P86" s="96">
        <v>121.68</v>
      </c>
      <c r="Q86" s="84"/>
      <c r="R86" s="94">
        <v>425.27880344699997</v>
      </c>
      <c r="S86" s="95">
        <v>3.8079406223920473E-4</v>
      </c>
      <c r="T86" s="95">
        <f t="shared" si="1"/>
        <v>1.6853352221477883E-3</v>
      </c>
      <c r="U86" s="95">
        <f>R86/'סכום נכסי הקרן'!$C$42</f>
        <v>4.474913326300716E-4</v>
      </c>
    </row>
    <row r="87" spans="2:21">
      <c r="B87" s="87" t="s">
        <v>531</v>
      </c>
      <c r="C87" s="84" t="s">
        <v>532</v>
      </c>
      <c r="D87" s="97" t="s">
        <v>124</v>
      </c>
      <c r="E87" s="97" t="s">
        <v>351</v>
      </c>
      <c r="F87" s="84" t="s">
        <v>533</v>
      </c>
      <c r="G87" s="97" t="s">
        <v>534</v>
      </c>
      <c r="H87" s="84" t="s">
        <v>535</v>
      </c>
      <c r="I87" s="84" t="s">
        <v>355</v>
      </c>
      <c r="J87" s="84"/>
      <c r="K87" s="94">
        <v>7.7200000000002831</v>
      </c>
      <c r="L87" s="97" t="s">
        <v>168</v>
      </c>
      <c r="M87" s="98">
        <v>5.1500000000000004E-2</v>
      </c>
      <c r="N87" s="98">
        <v>1.1700000000000077E-2</v>
      </c>
      <c r="O87" s="94">
        <v>3924912.752715</v>
      </c>
      <c r="P87" s="96">
        <v>162.05000000000001</v>
      </c>
      <c r="Q87" s="84"/>
      <c r="R87" s="94">
        <v>6360.321027035001</v>
      </c>
      <c r="S87" s="95">
        <v>1.1052910268410051E-3</v>
      </c>
      <c r="T87" s="95">
        <f t="shared" si="1"/>
        <v>2.5205284072816865E-2</v>
      </c>
      <c r="U87" s="95">
        <f>R87/'סכום נכסי הקרן'!$C$42</f>
        <v>6.692523843826282E-3</v>
      </c>
    </row>
    <row r="88" spans="2:21">
      <c r="B88" s="87" t="s">
        <v>536</v>
      </c>
      <c r="C88" s="84" t="s">
        <v>537</v>
      </c>
      <c r="D88" s="97" t="s">
        <v>124</v>
      </c>
      <c r="E88" s="97" t="s">
        <v>351</v>
      </c>
      <c r="F88" s="84" t="s">
        <v>538</v>
      </c>
      <c r="G88" s="97" t="s">
        <v>195</v>
      </c>
      <c r="H88" s="84" t="s">
        <v>535</v>
      </c>
      <c r="I88" s="84" t="s">
        <v>355</v>
      </c>
      <c r="J88" s="84"/>
      <c r="K88" s="94">
        <v>1.8799999999995409</v>
      </c>
      <c r="L88" s="97" t="s">
        <v>168</v>
      </c>
      <c r="M88" s="98">
        <v>3.7000000000000005E-2</v>
      </c>
      <c r="N88" s="98">
        <v>-2.0999999999994261E-3</v>
      </c>
      <c r="O88" s="94">
        <v>1550323.8259320001</v>
      </c>
      <c r="P88" s="96">
        <v>112.45</v>
      </c>
      <c r="Q88" s="84"/>
      <c r="R88" s="94">
        <v>1743.3392144100003</v>
      </c>
      <c r="S88" s="95">
        <v>1.0335568208210118E-3</v>
      </c>
      <c r="T88" s="95">
        <f t="shared" si="1"/>
        <v>6.9086701673877066E-3</v>
      </c>
      <c r="U88" s="95">
        <f>R88/'סכום נכסי הקרן'!$C$42</f>
        <v>1.8343947122674222E-3</v>
      </c>
    </row>
    <row r="89" spans="2:21">
      <c r="B89" s="87" t="s">
        <v>539</v>
      </c>
      <c r="C89" s="84" t="s">
        <v>540</v>
      </c>
      <c r="D89" s="97" t="s">
        <v>124</v>
      </c>
      <c r="E89" s="97" t="s">
        <v>351</v>
      </c>
      <c r="F89" s="84" t="s">
        <v>538</v>
      </c>
      <c r="G89" s="97" t="s">
        <v>195</v>
      </c>
      <c r="H89" s="84" t="s">
        <v>535</v>
      </c>
      <c r="I89" s="84" t="s">
        <v>355</v>
      </c>
      <c r="J89" s="84"/>
      <c r="K89" s="94">
        <v>4.5200000000002776</v>
      </c>
      <c r="L89" s="97" t="s">
        <v>168</v>
      </c>
      <c r="M89" s="98">
        <v>2.2000000000000002E-2</v>
      </c>
      <c r="N89" s="98">
        <v>5.200000000002771E-3</v>
      </c>
      <c r="O89" s="94">
        <v>1855741.079441</v>
      </c>
      <c r="P89" s="96">
        <v>108.87</v>
      </c>
      <c r="Q89" s="84"/>
      <c r="R89" s="94">
        <v>2020.345316847</v>
      </c>
      <c r="S89" s="95">
        <v>2.1047693771881087E-3</v>
      </c>
      <c r="T89" s="95">
        <f t="shared" si="1"/>
        <v>8.0064162516106287E-3</v>
      </c>
      <c r="U89" s="95">
        <f>R89/'סכום נכסי הקרן'!$C$42</f>
        <v>2.1258689849597908E-3</v>
      </c>
    </row>
    <row r="90" spans="2:21">
      <c r="B90" s="87" t="s">
        <v>541</v>
      </c>
      <c r="C90" s="84" t="s">
        <v>542</v>
      </c>
      <c r="D90" s="97" t="s">
        <v>124</v>
      </c>
      <c r="E90" s="97" t="s">
        <v>351</v>
      </c>
      <c r="F90" s="84" t="s">
        <v>468</v>
      </c>
      <c r="G90" s="97" t="s">
        <v>421</v>
      </c>
      <c r="H90" s="84" t="s">
        <v>543</v>
      </c>
      <c r="I90" s="84" t="s">
        <v>164</v>
      </c>
      <c r="J90" s="84"/>
      <c r="K90" s="94">
        <v>1.9499999999989976</v>
      </c>
      <c r="L90" s="97" t="s">
        <v>168</v>
      </c>
      <c r="M90" s="98">
        <v>2.8500000000000001E-2</v>
      </c>
      <c r="N90" s="98">
        <v>1.3000000000020046E-3</v>
      </c>
      <c r="O90" s="94">
        <v>460418.80325200001</v>
      </c>
      <c r="P90" s="96">
        <v>108.35</v>
      </c>
      <c r="Q90" s="84"/>
      <c r="R90" s="94">
        <v>498.86376932999997</v>
      </c>
      <c r="S90" s="95">
        <v>1.0754882403375679E-3</v>
      </c>
      <c r="T90" s="95">
        <f t="shared" si="1"/>
        <v>1.9769447117766749E-3</v>
      </c>
      <c r="U90" s="95">
        <f>R90/'סכום נכסי הקרן'!$C$42</f>
        <v>5.249196788764081E-4</v>
      </c>
    </row>
    <row r="91" spans="2:21">
      <c r="B91" s="87" t="s">
        <v>544</v>
      </c>
      <c r="C91" s="84" t="s">
        <v>545</v>
      </c>
      <c r="D91" s="97" t="s">
        <v>124</v>
      </c>
      <c r="E91" s="97" t="s">
        <v>351</v>
      </c>
      <c r="F91" s="84" t="s">
        <v>468</v>
      </c>
      <c r="G91" s="97" t="s">
        <v>421</v>
      </c>
      <c r="H91" s="84" t="s">
        <v>543</v>
      </c>
      <c r="I91" s="84" t="s">
        <v>164</v>
      </c>
      <c r="J91" s="84"/>
      <c r="K91" s="94">
        <v>2.0000000001109658E-2</v>
      </c>
      <c r="L91" s="97" t="s">
        <v>168</v>
      </c>
      <c r="M91" s="98">
        <v>3.7699999999999997E-2</v>
      </c>
      <c r="N91" s="98">
        <v>1.6000000000095111E-3</v>
      </c>
      <c r="O91" s="94">
        <v>338667.73383300001</v>
      </c>
      <c r="P91" s="96">
        <v>111.76</v>
      </c>
      <c r="Q91" s="84"/>
      <c r="R91" s="94">
        <v>378.49506507900003</v>
      </c>
      <c r="S91" s="95">
        <v>9.9206089028222632E-4</v>
      </c>
      <c r="T91" s="95">
        <f t="shared" si="1"/>
        <v>1.4999361816683036E-3</v>
      </c>
      <c r="U91" s="95">
        <f>R91/'סכום נכסי הקרן'!$C$42</f>
        <v>3.9826405570484867E-4</v>
      </c>
    </row>
    <row r="92" spans="2:21">
      <c r="B92" s="87" t="s">
        <v>546</v>
      </c>
      <c r="C92" s="84" t="s">
        <v>547</v>
      </c>
      <c r="D92" s="97" t="s">
        <v>124</v>
      </c>
      <c r="E92" s="97" t="s">
        <v>351</v>
      </c>
      <c r="F92" s="84" t="s">
        <v>468</v>
      </c>
      <c r="G92" s="97" t="s">
        <v>421</v>
      </c>
      <c r="H92" s="84" t="s">
        <v>543</v>
      </c>
      <c r="I92" s="84" t="s">
        <v>164</v>
      </c>
      <c r="J92" s="84"/>
      <c r="K92" s="94">
        <v>3.8900000000049917</v>
      </c>
      <c r="L92" s="97" t="s">
        <v>168</v>
      </c>
      <c r="M92" s="98">
        <v>2.5000000000000001E-2</v>
      </c>
      <c r="N92" s="98">
        <v>4.1000000000124791E-3</v>
      </c>
      <c r="O92" s="94">
        <v>350934.38136900001</v>
      </c>
      <c r="P92" s="96">
        <v>109.61</v>
      </c>
      <c r="Q92" s="84"/>
      <c r="R92" s="94">
        <v>384.659178672</v>
      </c>
      <c r="S92" s="95">
        <v>7.7534425313267549E-4</v>
      </c>
      <c r="T92" s="95">
        <f t="shared" si="1"/>
        <v>1.5243639162918032E-3</v>
      </c>
      <c r="U92" s="95">
        <f>R92/'סכום נכסי הקרן'!$C$42</f>
        <v>4.0475012410011603E-4</v>
      </c>
    </row>
    <row r="93" spans="2:21">
      <c r="B93" s="87" t="s">
        <v>548</v>
      </c>
      <c r="C93" s="84" t="s">
        <v>549</v>
      </c>
      <c r="D93" s="97" t="s">
        <v>124</v>
      </c>
      <c r="E93" s="97" t="s">
        <v>351</v>
      </c>
      <c r="F93" s="84" t="s">
        <v>468</v>
      </c>
      <c r="G93" s="97" t="s">
        <v>421</v>
      </c>
      <c r="H93" s="84" t="s">
        <v>543</v>
      </c>
      <c r="I93" s="84" t="s">
        <v>164</v>
      </c>
      <c r="J93" s="84"/>
      <c r="K93" s="94">
        <v>4.9100000000017285</v>
      </c>
      <c r="L93" s="97" t="s">
        <v>168</v>
      </c>
      <c r="M93" s="98">
        <v>1.34E-2</v>
      </c>
      <c r="N93" s="98">
        <v>1.59999999999454E-3</v>
      </c>
      <c r="O93" s="94">
        <v>407336.79426499997</v>
      </c>
      <c r="P93" s="96">
        <v>107.92</v>
      </c>
      <c r="Q93" s="84"/>
      <c r="R93" s="94">
        <v>439.59785926400008</v>
      </c>
      <c r="S93" s="95">
        <v>1.0347223176947256E-3</v>
      </c>
      <c r="T93" s="95">
        <f t="shared" si="1"/>
        <v>1.7420801361211413E-3</v>
      </c>
      <c r="U93" s="95">
        <f>R93/'סכום נכסי הקרן'!$C$42</f>
        <v>4.6255828004813704E-4</v>
      </c>
    </row>
    <row r="94" spans="2:21">
      <c r="B94" s="87" t="s">
        <v>550</v>
      </c>
      <c r="C94" s="84" t="s">
        <v>551</v>
      </c>
      <c r="D94" s="97" t="s">
        <v>124</v>
      </c>
      <c r="E94" s="97" t="s">
        <v>351</v>
      </c>
      <c r="F94" s="84" t="s">
        <v>468</v>
      </c>
      <c r="G94" s="97" t="s">
        <v>421</v>
      </c>
      <c r="H94" s="84" t="s">
        <v>543</v>
      </c>
      <c r="I94" s="84" t="s">
        <v>164</v>
      </c>
      <c r="J94" s="84"/>
      <c r="K94" s="94">
        <v>5.0399999999980878</v>
      </c>
      <c r="L94" s="97" t="s">
        <v>168</v>
      </c>
      <c r="M94" s="98">
        <v>1.95E-2</v>
      </c>
      <c r="N94" s="98">
        <v>5.6000000000036177E-3</v>
      </c>
      <c r="O94" s="94">
        <v>710956.35687500006</v>
      </c>
      <c r="P94" s="96">
        <v>108.87</v>
      </c>
      <c r="Q94" s="84"/>
      <c r="R94" s="94">
        <v>774.018178562</v>
      </c>
      <c r="S94" s="95">
        <v>1.0863596089913559E-3</v>
      </c>
      <c r="T94" s="95">
        <f t="shared" si="1"/>
        <v>3.0673527303501846E-3</v>
      </c>
      <c r="U94" s="95">
        <f>R94/'סכום נכסי הקרן'!$C$42</f>
        <v>8.1444554348163211E-4</v>
      </c>
    </row>
    <row r="95" spans="2:21">
      <c r="B95" s="87" t="s">
        <v>552</v>
      </c>
      <c r="C95" s="84" t="s">
        <v>553</v>
      </c>
      <c r="D95" s="97" t="s">
        <v>124</v>
      </c>
      <c r="E95" s="97" t="s">
        <v>351</v>
      </c>
      <c r="F95" s="84" t="s">
        <v>468</v>
      </c>
      <c r="G95" s="97" t="s">
        <v>421</v>
      </c>
      <c r="H95" s="84" t="s">
        <v>543</v>
      </c>
      <c r="I95" s="84" t="s">
        <v>164</v>
      </c>
      <c r="J95" s="84"/>
      <c r="K95" s="94">
        <v>5.9599999999990914</v>
      </c>
      <c r="L95" s="97" t="s">
        <v>168</v>
      </c>
      <c r="M95" s="98">
        <v>3.3500000000000002E-2</v>
      </c>
      <c r="N95" s="98">
        <v>8.4000000000031584E-3</v>
      </c>
      <c r="O95" s="94">
        <v>863209.99291400006</v>
      </c>
      <c r="P95" s="96">
        <v>117.37</v>
      </c>
      <c r="Q95" s="84"/>
      <c r="R95" s="94">
        <v>1013.1496056020001</v>
      </c>
      <c r="S95" s="95">
        <v>1.7432563557114615E-3</v>
      </c>
      <c r="T95" s="95">
        <f t="shared" si="1"/>
        <v>4.015005454742788E-3</v>
      </c>
      <c r="U95" s="95">
        <f>R95/'סכום נכסי הקרן'!$C$42</f>
        <v>1.0660669271304794E-3</v>
      </c>
    </row>
    <row r="96" spans="2:21">
      <c r="B96" s="87" t="s">
        <v>554</v>
      </c>
      <c r="C96" s="84" t="s">
        <v>555</v>
      </c>
      <c r="D96" s="97" t="s">
        <v>124</v>
      </c>
      <c r="E96" s="97" t="s">
        <v>351</v>
      </c>
      <c r="F96" s="84" t="s">
        <v>366</v>
      </c>
      <c r="G96" s="97" t="s">
        <v>359</v>
      </c>
      <c r="H96" s="84" t="s">
        <v>543</v>
      </c>
      <c r="I96" s="84" t="s">
        <v>164</v>
      </c>
      <c r="J96" s="84"/>
      <c r="K96" s="94">
        <v>1.4600000000002886</v>
      </c>
      <c r="L96" s="97" t="s">
        <v>168</v>
      </c>
      <c r="M96" s="98">
        <v>2.7999999999999997E-2</v>
      </c>
      <c r="N96" s="98">
        <v>5.5000000000024031E-3</v>
      </c>
      <c r="O96" s="94">
        <f>1365163.595/50000</f>
        <v>27.303271899999999</v>
      </c>
      <c r="P96" s="96">
        <v>5338000</v>
      </c>
      <c r="Q96" s="84"/>
      <c r="R96" s="94">
        <v>1457.4486083229997</v>
      </c>
      <c r="S96" s="95">
        <f>7718.45759597445%/50000</f>
        <v>1.5436915191948898E-3</v>
      </c>
      <c r="T96" s="95">
        <f t="shared" si="1"/>
        <v>5.7757157285247603E-3</v>
      </c>
      <c r="U96" s="95">
        <f>R96/'סכום נכסי הקרן'!$C$42</f>
        <v>1.5335718937602347E-3</v>
      </c>
    </row>
    <row r="97" spans="2:21">
      <c r="B97" s="87" t="s">
        <v>556</v>
      </c>
      <c r="C97" s="84" t="s">
        <v>557</v>
      </c>
      <c r="D97" s="97" t="s">
        <v>124</v>
      </c>
      <c r="E97" s="97" t="s">
        <v>351</v>
      </c>
      <c r="F97" s="84" t="s">
        <v>366</v>
      </c>
      <c r="G97" s="97" t="s">
        <v>359</v>
      </c>
      <c r="H97" s="84" t="s">
        <v>543</v>
      </c>
      <c r="I97" s="84" t="s">
        <v>164</v>
      </c>
      <c r="J97" s="84"/>
      <c r="K97" s="94">
        <v>2.7099999999940811</v>
      </c>
      <c r="L97" s="97" t="s">
        <v>168</v>
      </c>
      <c r="M97" s="98">
        <v>1.49E-2</v>
      </c>
      <c r="N97" s="98">
        <v>1.1199999999947389E-2</v>
      </c>
      <c r="O97" s="94">
        <f>73815.0425/50000</f>
        <v>1.4763008499999999</v>
      </c>
      <c r="P97" s="96">
        <v>5150120</v>
      </c>
      <c r="Q97" s="84"/>
      <c r="R97" s="94">
        <v>76.031266994999996</v>
      </c>
      <c r="S97" s="95">
        <f>1220.48681382275%/50000</f>
        <v>2.4409736276455001E-4</v>
      </c>
      <c r="T97" s="95">
        <f t="shared" si="1"/>
        <v>3.0130392394965729E-4</v>
      </c>
      <c r="U97" s="95">
        <f>R97/'סכום נכסי הקרן'!$C$42</f>
        <v>8.0002418915255103E-5</v>
      </c>
    </row>
    <row r="98" spans="2:21">
      <c r="B98" s="87" t="s">
        <v>558</v>
      </c>
      <c r="C98" s="84" t="s">
        <v>559</v>
      </c>
      <c r="D98" s="97" t="s">
        <v>124</v>
      </c>
      <c r="E98" s="97" t="s">
        <v>351</v>
      </c>
      <c r="F98" s="84" t="s">
        <v>366</v>
      </c>
      <c r="G98" s="97" t="s">
        <v>359</v>
      </c>
      <c r="H98" s="84" t="s">
        <v>543</v>
      </c>
      <c r="I98" s="84" t="s">
        <v>164</v>
      </c>
      <c r="J98" s="84"/>
      <c r="K98" s="94">
        <v>4.3299999999936949</v>
      </c>
      <c r="L98" s="97" t="s">
        <v>168</v>
      </c>
      <c r="M98" s="98">
        <v>2.2000000000000002E-2</v>
      </c>
      <c r="N98" s="98">
        <v>8.5999999999814732E-3</v>
      </c>
      <c r="O98" s="94">
        <f>311018.4375/50000</f>
        <v>6.2203687499999996</v>
      </c>
      <c r="P98" s="96">
        <v>5380000</v>
      </c>
      <c r="Q98" s="84"/>
      <c r="R98" s="94">
        <v>334.65581776699997</v>
      </c>
      <c r="S98" s="95">
        <f>6178.35592967819%/50000</f>
        <v>1.235671185935638E-3</v>
      </c>
      <c r="T98" s="95">
        <f t="shared" si="1"/>
        <v>1.326205849922369E-3</v>
      </c>
      <c r="U98" s="95">
        <f>R98/'סכום נכסי הקרן'!$C$42</f>
        <v>3.5213506210784936E-4</v>
      </c>
    </row>
    <row r="99" spans="2:21">
      <c r="B99" s="87" t="s">
        <v>560</v>
      </c>
      <c r="C99" s="84" t="s">
        <v>561</v>
      </c>
      <c r="D99" s="97" t="s">
        <v>124</v>
      </c>
      <c r="E99" s="97" t="s">
        <v>351</v>
      </c>
      <c r="F99" s="84" t="s">
        <v>562</v>
      </c>
      <c r="G99" s="97" t="s">
        <v>421</v>
      </c>
      <c r="H99" s="84" t="s">
        <v>543</v>
      </c>
      <c r="I99" s="84" t="s">
        <v>164</v>
      </c>
      <c r="J99" s="84"/>
      <c r="K99" s="94">
        <v>5.5000000000046532</v>
      </c>
      <c r="L99" s="97" t="s">
        <v>168</v>
      </c>
      <c r="M99" s="98">
        <v>0.04</v>
      </c>
      <c r="N99" s="98">
        <v>1.1300000000000558E-2</v>
      </c>
      <c r="O99" s="94">
        <v>458443.46507299994</v>
      </c>
      <c r="P99" s="96">
        <v>117.19</v>
      </c>
      <c r="Q99" s="84"/>
      <c r="R99" s="94">
        <v>537.24991936900005</v>
      </c>
      <c r="S99" s="95">
        <v>1.5499469540817653E-4</v>
      </c>
      <c r="T99" s="95">
        <f t="shared" si="1"/>
        <v>2.1290649918823796E-3</v>
      </c>
      <c r="U99" s="95">
        <f>R99/'סכום נכסי הקרן'!$C$42</f>
        <v>5.653107571437988E-4</v>
      </c>
    </row>
    <row r="100" spans="2:21">
      <c r="B100" s="87" t="s">
        <v>563</v>
      </c>
      <c r="C100" s="84" t="s">
        <v>564</v>
      </c>
      <c r="D100" s="97" t="s">
        <v>124</v>
      </c>
      <c r="E100" s="97" t="s">
        <v>351</v>
      </c>
      <c r="F100" s="84" t="s">
        <v>562</v>
      </c>
      <c r="G100" s="97" t="s">
        <v>421</v>
      </c>
      <c r="H100" s="84" t="s">
        <v>543</v>
      </c>
      <c r="I100" s="84" t="s">
        <v>164</v>
      </c>
      <c r="J100" s="84"/>
      <c r="K100" s="94">
        <v>5.7700000000002314</v>
      </c>
      <c r="L100" s="97" t="s">
        <v>168</v>
      </c>
      <c r="M100" s="98">
        <v>2.7799999999999998E-2</v>
      </c>
      <c r="N100" s="98">
        <v>1.269999999999857E-2</v>
      </c>
      <c r="O100" s="94">
        <v>1197549.6729280001</v>
      </c>
      <c r="P100" s="96">
        <v>111.05</v>
      </c>
      <c r="Q100" s="84"/>
      <c r="R100" s="94">
        <v>1329.878910697</v>
      </c>
      <c r="S100" s="95">
        <v>6.6489535504661015E-4</v>
      </c>
      <c r="T100" s="95">
        <f t="shared" si="1"/>
        <v>5.2701704181419579E-3</v>
      </c>
      <c r="U100" s="95">
        <f>R100/'סכום נכסי הקרן'!$C$42</f>
        <v>1.3993391656506424E-3</v>
      </c>
    </row>
    <row r="101" spans="2:21">
      <c r="B101" s="87" t="s">
        <v>565</v>
      </c>
      <c r="C101" s="84" t="s">
        <v>566</v>
      </c>
      <c r="D101" s="97" t="s">
        <v>124</v>
      </c>
      <c r="E101" s="97" t="s">
        <v>351</v>
      </c>
      <c r="F101" s="84" t="s">
        <v>415</v>
      </c>
      <c r="G101" s="97" t="s">
        <v>359</v>
      </c>
      <c r="H101" s="84" t="s">
        <v>535</v>
      </c>
      <c r="I101" s="84" t="s">
        <v>355</v>
      </c>
      <c r="J101" s="84"/>
      <c r="K101" s="94">
        <v>0.29999999999989563</v>
      </c>
      <c r="L101" s="97" t="s">
        <v>168</v>
      </c>
      <c r="M101" s="98">
        <v>6.4000000000000001E-2</v>
      </c>
      <c r="N101" s="98">
        <v>1.2299999999997462E-2</v>
      </c>
      <c r="O101" s="94">
        <v>2453238.3178269998</v>
      </c>
      <c r="P101" s="96">
        <v>117.17</v>
      </c>
      <c r="Q101" s="84"/>
      <c r="R101" s="94">
        <v>2874.4594464510001</v>
      </c>
      <c r="S101" s="95">
        <v>1.959486044572579E-3</v>
      </c>
      <c r="T101" s="95">
        <f t="shared" si="1"/>
        <v>1.1391180821790093E-2</v>
      </c>
      <c r="U101" s="95">
        <f>R101/'סכום נכסי הקרן'!$C$42</f>
        <v>3.0245939319281392E-3</v>
      </c>
    </row>
    <row r="102" spans="2:21">
      <c r="B102" s="87" t="s">
        <v>567</v>
      </c>
      <c r="C102" s="84" t="s">
        <v>568</v>
      </c>
      <c r="D102" s="97" t="s">
        <v>124</v>
      </c>
      <c r="E102" s="97" t="s">
        <v>351</v>
      </c>
      <c r="F102" s="84" t="s">
        <v>415</v>
      </c>
      <c r="G102" s="97" t="s">
        <v>359</v>
      </c>
      <c r="H102" s="84" t="s">
        <v>543</v>
      </c>
      <c r="I102" s="84" t="s">
        <v>164</v>
      </c>
      <c r="J102" s="84"/>
      <c r="K102" s="94">
        <v>5.6199999999998322</v>
      </c>
      <c r="L102" s="97" t="s">
        <v>168</v>
      </c>
      <c r="M102" s="98">
        <v>1.46E-2</v>
      </c>
      <c r="N102" s="98">
        <v>1.3300000000002863E-2</v>
      </c>
      <c r="O102" s="94">
        <f>1658765/50000</f>
        <v>33.1753</v>
      </c>
      <c r="P102" s="96">
        <v>5049648</v>
      </c>
      <c r="Q102" s="84"/>
      <c r="R102" s="94">
        <v>1675.2358729440002</v>
      </c>
      <c r="S102" s="95">
        <f>6733.91385539723%/50000</f>
        <v>1.3467827710794461E-3</v>
      </c>
      <c r="T102" s="95">
        <f t="shared" si="1"/>
        <v>6.63878377947392E-3</v>
      </c>
      <c r="U102" s="95">
        <f>R102/'סכום נכסי הקרן'!$C$42</f>
        <v>1.7627342984820001E-3</v>
      </c>
    </row>
    <row r="103" spans="2:21">
      <c r="B103" s="87" t="s">
        <v>569</v>
      </c>
      <c r="C103" s="84" t="s">
        <v>570</v>
      </c>
      <c r="D103" s="97" t="s">
        <v>124</v>
      </c>
      <c r="E103" s="97" t="s">
        <v>351</v>
      </c>
      <c r="F103" s="84" t="s">
        <v>480</v>
      </c>
      <c r="G103" s="97" t="s">
        <v>481</v>
      </c>
      <c r="H103" s="84" t="s">
        <v>535</v>
      </c>
      <c r="I103" s="84" t="s">
        <v>355</v>
      </c>
      <c r="J103" s="84"/>
      <c r="K103" s="94">
        <v>3.2400000000023117</v>
      </c>
      <c r="L103" s="97" t="s">
        <v>168</v>
      </c>
      <c r="M103" s="98">
        <v>3.85E-2</v>
      </c>
      <c r="N103" s="98">
        <v>-5.100000000000964E-3</v>
      </c>
      <c r="O103" s="94">
        <v>346606.15966899996</v>
      </c>
      <c r="P103" s="96">
        <v>119.85</v>
      </c>
      <c r="Q103" s="84"/>
      <c r="R103" s="94">
        <v>415.40749669599995</v>
      </c>
      <c r="S103" s="95">
        <v>1.446924124701603E-3</v>
      </c>
      <c r="T103" s="95">
        <f t="shared" si="1"/>
        <v>1.6462162704830392E-3</v>
      </c>
      <c r="U103" s="95">
        <f>R103/'סכום נכסי הקרן'!$C$42</f>
        <v>4.3710444248412118E-4</v>
      </c>
    </row>
    <row r="104" spans="2:21">
      <c r="B104" s="87" t="s">
        <v>571</v>
      </c>
      <c r="C104" s="84" t="s">
        <v>572</v>
      </c>
      <c r="D104" s="97" t="s">
        <v>124</v>
      </c>
      <c r="E104" s="97" t="s">
        <v>351</v>
      </c>
      <c r="F104" s="84" t="s">
        <v>480</v>
      </c>
      <c r="G104" s="97" t="s">
        <v>481</v>
      </c>
      <c r="H104" s="84" t="s">
        <v>535</v>
      </c>
      <c r="I104" s="84" t="s">
        <v>355</v>
      </c>
      <c r="J104" s="84"/>
      <c r="K104" s="94">
        <v>0.40999999999906633</v>
      </c>
      <c r="L104" s="97" t="s">
        <v>168</v>
      </c>
      <c r="M104" s="98">
        <v>3.9E-2</v>
      </c>
      <c r="N104" s="98">
        <v>1.0999999999984438E-3</v>
      </c>
      <c r="O104" s="94">
        <v>231502.10414899996</v>
      </c>
      <c r="P104" s="96">
        <v>111.04</v>
      </c>
      <c r="Q104" s="84"/>
      <c r="R104" s="94">
        <v>257.059940364</v>
      </c>
      <c r="S104" s="95">
        <v>1.1631371969351737E-3</v>
      </c>
      <c r="T104" s="95">
        <f t="shared" si="1"/>
        <v>1.0187015392895083E-3</v>
      </c>
      <c r="U104" s="95">
        <f>R104/'סכום נכסי הקרן'!$C$42</f>
        <v>2.7048631238360993E-4</v>
      </c>
    </row>
    <row r="105" spans="2:21">
      <c r="B105" s="87" t="s">
        <v>573</v>
      </c>
      <c r="C105" s="84" t="s">
        <v>574</v>
      </c>
      <c r="D105" s="97" t="s">
        <v>124</v>
      </c>
      <c r="E105" s="97" t="s">
        <v>351</v>
      </c>
      <c r="F105" s="84" t="s">
        <v>480</v>
      </c>
      <c r="G105" s="97" t="s">
        <v>481</v>
      </c>
      <c r="H105" s="84" t="s">
        <v>535</v>
      </c>
      <c r="I105" s="84" t="s">
        <v>355</v>
      </c>
      <c r="J105" s="84"/>
      <c r="K105" s="94">
        <v>1.3900000000004165</v>
      </c>
      <c r="L105" s="97" t="s">
        <v>168</v>
      </c>
      <c r="M105" s="98">
        <v>3.9E-2</v>
      </c>
      <c r="N105" s="98">
        <v>-2.100000000000463E-3</v>
      </c>
      <c r="O105" s="94">
        <v>373686.42213199998</v>
      </c>
      <c r="P105" s="96">
        <v>115.67</v>
      </c>
      <c r="Q105" s="84"/>
      <c r="R105" s="94">
        <v>432.24308973800004</v>
      </c>
      <c r="S105" s="95">
        <v>9.3648116915790065E-4</v>
      </c>
      <c r="T105" s="95">
        <f t="shared" si="1"/>
        <v>1.7129339571146161E-3</v>
      </c>
      <c r="U105" s="95">
        <f>R105/'סכום נכסי הקרן'!$C$42</f>
        <v>4.5481936715217148E-4</v>
      </c>
    </row>
    <row r="106" spans="2:21">
      <c r="B106" s="87" t="s">
        <v>575</v>
      </c>
      <c r="C106" s="84" t="s">
        <v>576</v>
      </c>
      <c r="D106" s="97" t="s">
        <v>124</v>
      </c>
      <c r="E106" s="97" t="s">
        <v>351</v>
      </c>
      <c r="F106" s="84" t="s">
        <v>480</v>
      </c>
      <c r="G106" s="97" t="s">
        <v>481</v>
      </c>
      <c r="H106" s="84" t="s">
        <v>535</v>
      </c>
      <c r="I106" s="84" t="s">
        <v>355</v>
      </c>
      <c r="J106" s="84"/>
      <c r="K106" s="94">
        <v>4.1199999999980674</v>
      </c>
      <c r="L106" s="97" t="s">
        <v>168</v>
      </c>
      <c r="M106" s="98">
        <v>3.85E-2</v>
      </c>
      <c r="N106" s="98">
        <v>-1.6999999999994632E-3</v>
      </c>
      <c r="O106" s="94">
        <v>303423.66749099997</v>
      </c>
      <c r="P106" s="96">
        <v>122.75</v>
      </c>
      <c r="Q106" s="84"/>
      <c r="R106" s="94">
        <v>372.45256250599994</v>
      </c>
      <c r="S106" s="95">
        <v>1.2136946699639998E-3</v>
      </c>
      <c r="T106" s="95">
        <f t="shared" si="1"/>
        <v>1.4759903787417187E-3</v>
      </c>
      <c r="U106" s="95">
        <f>R106/'סכום נכסי הקרן'!$C$42</f>
        <v>3.9190595013528806E-4</v>
      </c>
    </row>
    <row r="107" spans="2:21">
      <c r="B107" s="87" t="s">
        <v>577</v>
      </c>
      <c r="C107" s="84" t="s">
        <v>578</v>
      </c>
      <c r="D107" s="97" t="s">
        <v>124</v>
      </c>
      <c r="E107" s="97" t="s">
        <v>351</v>
      </c>
      <c r="F107" s="84" t="s">
        <v>579</v>
      </c>
      <c r="G107" s="97" t="s">
        <v>359</v>
      </c>
      <c r="H107" s="84" t="s">
        <v>543</v>
      </c>
      <c r="I107" s="84" t="s">
        <v>164</v>
      </c>
      <c r="J107" s="84"/>
      <c r="K107" s="94">
        <v>1.4999999999987499</v>
      </c>
      <c r="L107" s="97" t="s">
        <v>168</v>
      </c>
      <c r="M107" s="98">
        <v>0.02</v>
      </c>
      <c r="N107" s="98">
        <v>-1.9000000000097502E-3</v>
      </c>
      <c r="O107" s="94">
        <v>249899.98986899992</v>
      </c>
      <c r="P107" s="96">
        <v>105.78</v>
      </c>
      <c r="Q107" s="94">
        <v>135.63875943800002</v>
      </c>
      <c r="R107" s="94">
        <v>399.98296871899998</v>
      </c>
      <c r="S107" s="95">
        <v>1.3176171817928732E-3</v>
      </c>
      <c r="T107" s="95">
        <f t="shared" si="1"/>
        <v>1.5850904864704303E-3</v>
      </c>
      <c r="U107" s="95">
        <f>R107/'סכום נכסי הקרן'!$C$42</f>
        <v>4.2087428353034266E-4</v>
      </c>
    </row>
    <row r="108" spans="2:21">
      <c r="B108" s="87" t="s">
        <v>580</v>
      </c>
      <c r="C108" s="84" t="s">
        <v>581</v>
      </c>
      <c r="D108" s="97" t="s">
        <v>124</v>
      </c>
      <c r="E108" s="97" t="s">
        <v>351</v>
      </c>
      <c r="F108" s="84" t="s">
        <v>492</v>
      </c>
      <c r="G108" s="97" t="s">
        <v>421</v>
      </c>
      <c r="H108" s="84" t="s">
        <v>543</v>
      </c>
      <c r="I108" s="84" t="s">
        <v>164</v>
      </c>
      <c r="J108" s="84"/>
      <c r="K108" s="94">
        <v>6.5400000000023955</v>
      </c>
      <c r="L108" s="97" t="s">
        <v>168</v>
      </c>
      <c r="M108" s="98">
        <v>2.4E-2</v>
      </c>
      <c r="N108" s="98">
        <v>7.200000000000345E-3</v>
      </c>
      <c r="O108" s="94">
        <v>1016347.701563</v>
      </c>
      <c r="P108" s="96">
        <v>114.16</v>
      </c>
      <c r="Q108" s="84"/>
      <c r="R108" s="94">
        <v>1160.2624870929999</v>
      </c>
      <c r="S108" s="95">
        <v>1.8673251580844014E-3</v>
      </c>
      <c r="T108" s="95">
        <f t="shared" si="1"/>
        <v>4.5979983497539175E-3</v>
      </c>
      <c r="U108" s="95">
        <f>R108/'סכום נכסי הקרן'!$C$42</f>
        <v>1.2208635895831416E-3</v>
      </c>
    </row>
    <row r="109" spans="2:21">
      <c r="B109" s="87" t="s">
        <v>582</v>
      </c>
      <c r="C109" s="84" t="s">
        <v>583</v>
      </c>
      <c r="D109" s="97" t="s">
        <v>124</v>
      </c>
      <c r="E109" s="97" t="s">
        <v>351</v>
      </c>
      <c r="F109" s="84" t="s">
        <v>492</v>
      </c>
      <c r="G109" s="97" t="s">
        <v>421</v>
      </c>
      <c r="H109" s="84" t="s">
        <v>543</v>
      </c>
      <c r="I109" s="84" t="s">
        <v>164</v>
      </c>
      <c r="J109" s="84"/>
      <c r="K109" s="94">
        <v>2.689999999963836</v>
      </c>
      <c r="L109" s="97" t="s">
        <v>168</v>
      </c>
      <c r="M109" s="98">
        <v>3.4799999999999998E-2</v>
      </c>
      <c r="N109" s="98">
        <v>-5.9999999996855277E-4</v>
      </c>
      <c r="O109" s="94">
        <v>17356.133768</v>
      </c>
      <c r="P109" s="96">
        <v>109.93</v>
      </c>
      <c r="Q109" s="84"/>
      <c r="R109" s="94">
        <v>19.079597800999998</v>
      </c>
      <c r="S109" s="95">
        <v>4.2410303139648958E-5</v>
      </c>
      <c r="T109" s="95">
        <f t="shared" si="1"/>
        <v>7.5610441756818344E-5</v>
      </c>
      <c r="U109" s="95">
        <f>R109/'סכום נכסי הקרן'!$C$42</f>
        <v>2.0076134942096423E-5</v>
      </c>
    </row>
    <row r="110" spans="2:21">
      <c r="B110" s="87" t="s">
        <v>584</v>
      </c>
      <c r="C110" s="84" t="s">
        <v>585</v>
      </c>
      <c r="D110" s="97" t="s">
        <v>124</v>
      </c>
      <c r="E110" s="97" t="s">
        <v>351</v>
      </c>
      <c r="F110" s="84" t="s">
        <v>497</v>
      </c>
      <c r="G110" s="97" t="s">
        <v>481</v>
      </c>
      <c r="H110" s="84" t="s">
        <v>543</v>
      </c>
      <c r="I110" s="84" t="s">
        <v>164</v>
      </c>
      <c r="J110" s="84"/>
      <c r="K110" s="94">
        <v>5.2199999999970048</v>
      </c>
      <c r="L110" s="97" t="s">
        <v>168</v>
      </c>
      <c r="M110" s="98">
        <v>2.4799999999999999E-2</v>
      </c>
      <c r="N110" s="98">
        <v>2.0999999999963999E-3</v>
      </c>
      <c r="O110" s="94">
        <v>460862.781135</v>
      </c>
      <c r="P110" s="96">
        <v>114.51</v>
      </c>
      <c r="Q110" s="84"/>
      <c r="R110" s="94">
        <v>527.73399543899995</v>
      </c>
      <c r="S110" s="95">
        <v>1.0882592376425687E-3</v>
      </c>
      <c r="T110" s="95">
        <f t="shared" si="1"/>
        <v>2.091354385003975E-3</v>
      </c>
      <c r="U110" s="95">
        <f>R110/'סכום נכסי הקרן'!$C$42</f>
        <v>5.5529781164515761E-4</v>
      </c>
    </row>
    <row r="111" spans="2:21">
      <c r="B111" s="87" t="s">
        <v>586</v>
      </c>
      <c r="C111" s="84" t="s">
        <v>587</v>
      </c>
      <c r="D111" s="97" t="s">
        <v>124</v>
      </c>
      <c r="E111" s="97" t="s">
        <v>351</v>
      </c>
      <c r="F111" s="84" t="s">
        <v>588</v>
      </c>
      <c r="G111" s="97" t="s">
        <v>421</v>
      </c>
      <c r="H111" s="84" t="s">
        <v>535</v>
      </c>
      <c r="I111" s="84" t="s">
        <v>355</v>
      </c>
      <c r="J111" s="84"/>
      <c r="K111" s="94">
        <v>3.829999999999353</v>
      </c>
      <c r="L111" s="97" t="s">
        <v>168</v>
      </c>
      <c r="M111" s="98">
        <v>2.8500000000000001E-2</v>
      </c>
      <c r="N111" s="98">
        <v>-1.1000000000025286E-3</v>
      </c>
      <c r="O111" s="94">
        <v>1542969.2180619999</v>
      </c>
      <c r="P111" s="96">
        <v>115.33</v>
      </c>
      <c r="Q111" s="84"/>
      <c r="R111" s="94">
        <v>1779.5064288049998</v>
      </c>
      <c r="S111" s="95">
        <v>2.2591057365475842E-3</v>
      </c>
      <c r="T111" s="95">
        <f t="shared" si="1"/>
        <v>7.0519970386373797E-3</v>
      </c>
      <c r="U111" s="95">
        <f>R111/'סכום נכסי הקרן'!$C$42</f>
        <v>1.8724509587484505E-3</v>
      </c>
    </row>
    <row r="112" spans="2:21">
      <c r="B112" s="87" t="s">
        <v>589</v>
      </c>
      <c r="C112" s="84" t="s">
        <v>590</v>
      </c>
      <c r="D112" s="97" t="s">
        <v>124</v>
      </c>
      <c r="E112" s="97" t="s">
        <v>351</v>
      </c>
      <c r="F112" s="84" t="s">
        <v>591</v>
      </c>
      <c r="G112" s="97" t="s">
        <v>421</v>
      </c>
      <c r="H112" s="84" t="s">
        <v>535</v>
      </c>
      <c r="I112" s="84" t="s">
        <v>355</v>
      </c>
      <c r="J112" s="84"/>
      <c r="K112" s="94">
        <v>5.8199999999984717</v>
      </c>
      <c r="L112" s="97" t="s">
        <v>168</v>
      </c>
      <c r="M112" s="98">
        <v>1.3999999999999999E-2</v>
      </c>
      <c r="N112" s="98">
        <v>2.099999999999636E-3</v>
      </c>
      <c r="O112" s="94">
        <v>1011242.987646</v>
      </c>
      <c r="P112" s="96">
        <v>108.68</v>
      </c>
      <c r="Q112" s="84"/>
      <c r="R112" s="94">
        <v>1099.0188913239999</v>
      </c>
      <c r="S112" s="95">
        <v>2.2293716658862432E-3</v>
      </c>
      <c r="T112" s="95">
        <f t="shared" si="1"/>
        <v>4.3552964134150182E-3</v>
      </c>
      <c r="U112" s="95">
        <f>R112/'סכום נכסי הקרן'!$C$42</f>
        <v>1.1564212095171841E-3</v>
      </c>
    </row>
    <row r="113" spans="2:21">
      <c r="B113" s="87" t="s">
        <v>592</v>
      </c>
      <c r="C113" s="84" t="s">
        <v>593</v>
      </c>
      <c r="D113" s="97" t="s">
        <v>124</v>
      </c>
      <c r="E113" s="97" t="s">
        <v>351</v>
      </c>
      <c r="F113" s="84" t="s">
        <v>377</v>
      </c>
      <c r="G113" s="97" t="s">
        <v>359</v>
      </c>
      <c r="H113" s="84" t="s">
        <v>543</v>
      </c>
      <c r="I113" s="84" t="s">
        <v>164</v>
      </c>
      <c r="J113" s="84"/>
      <c r="K113" s="94">
        <v>3.6999999999986821</v>
      </c>
      <c r="L113" s="97" t="s">
        <v>168</v>
      </c>
      <c r="M113" s="98">
        <v>1.8200000000000001E-2</v>
      </c>
      <c r="N113" s="98">
        <v>7.7999999999959282E-3</v>
      </c>
      <c r="O113" s="94">
        <f>798695.3475/50000</f>
        <v>15.97390695</v>
      </c>
      <c r="P113" s="96">
        <v>5228000</v>
      </c>
      <c r="Q113" s="84"/>
      <c r="R113" s="94">
        <v>835.11586795300013</v>
      </c>
      <c r="S113" s="95">
        <f>5620.26139962001%/50000</f>
        <v>1.1240522799240019E-3</v>
      </c>
      <c r="T113" s="95">
        <f t="shared" si="1"/>
        <v>3.3094764550406636E-3</v>
      </c>
      <c r="U113" s="95">
        <f>R113/'סכום נכסי הקרן'!$C$42</f>
        <v>8.7873439640492185E-4</v>
      </c>
    </row>
    <row r="114" spans="2:21">
      <c r="B114" s="87" t="s">
        <v>594</v>
      </c>
      <c r="C114" s="84" t="s">
        <v>595</v>
      </c>
      <c r="D114" s="97" t="s">
        <v>124</v>
      </c>
      <c r="E114" s="97" t="s">
        <v>351</v>
      </c>
      <c r="F114" s="84" t="s">
        <v>377</v>
      </c>
      <c r="G114" s="97" t="s">
        <v>359</v>
      </c>
      <c r="H114" s="84" t="s">
        <v>543</v>
      </c>
      <c r="I114" s="84" t="s">
        <v>164</v>
      </c>
      <c r="J114" s="84"/>
      <c r="K114" s="94">
        <v>2.9300000000003825</v>
      </c>
      <c r="L114" s="97" t="s">
        <v>168</v>
      </c>
      <c r="M114" s="98">
        <v>1.06E-2</v>
      </c>
      <c r="N114" s="98">
        <v>7.4000000000001964E-3</v>
      </c>
      <c r="O114" s="94">
        <f>995259/50000</f>
        <v>19.905180000000001</v>
      </c>
      <c r="P114" s="96">
        <v>5125000</v>
      </c>
      <c r="Q114" s="84"/>
      <c r="R114" s="94">
        <v>1020.1405217769999</v>
      </c>
      <c r="S114" s="95">
        <f>7329.39833566537%/50000</f>
        <v>1.4658796671330741E-3</v>
      </c>
      <c r="T114" s="95">
        <f t="shared" si="1"/>
        <v>4.0427097211424142E-3</v>
      </c>
      <c r="U114" s="95">
        <f>R114/'סכום נכסי הקרן'!$C$42</f>
        <v>1.073422982429026E-3</v>
      </c>
    </row>
    <row r="115" spans="2:21">
      <c r="B115" s="87" t="s">
        <v>596</v>
      </c>
      <c r="C115" s="84" t="s">
        <v>597</v>
      </c>
      <c r="D115" s="97" t="s">
        <v>124</v>
      </c>
      <c r="E115" s="97" t="s">
        <v>351</v>
      </c>
      <c r="F115" s="84" t="s">
        <v>377</v>
      </c>
      <c r="G115" s="97" t="s">
        <v>359</v>
      </c>
      <c r="H115" s="84" t="s">
        <v>543</v>
      </c>
      <c r="I115" s="84" t="s">
        <v>164</v>
      </c>
      <c r="J115" s="84"/>
      <c r="K115" s="94">
        <v>4.799999999999895</v>
      </c>
      <c r="L115" s="97" t="s">
        <v>168</v>
      </c>
      <c r="M115" s="98">
        <v>1.89E-2</v>
      </c>
      <c r="N115" s="98">
        <v>1.1500000000000796E-2</v>
      </c>
      <c r="O115" s="94">
        <f>1836667.54625/50000</f>
        <v>36.733350924999996</v>
      </c>
      <c r="P115" s="96">
        <v>5134000</v>
      </c>
      <c r="Q115" s="84"/>
      <c r="R115" s="94">
        <v>1885.8903191789998</v>
      </c>
      <c r="S115" s="95">
        <f>8425.85350146802%/50000</f>
        <v>1.6851707002936041E-3</v>
      </c>
      <c r="T115" s="95">
        <f t="shared" si="1"/>
        <v>7.4735852204682084E-3</v>
      </c>
      <c r="U115" s="95">
        <f>R115/'סכום נכסי הקרן'!$C$42</f>
        <v>1.9843913340692383E-3</v>
      </c>
    </row>
    <row r="116" spans="2:21">
      <c r="B116" s="87" t="s">
        <v>598</v>
      </c>
      <c r="C116" s="84" t="s">
        <v>599</v>
      </c>
      <c r="D116" s="97" t="s">
        <v>124</v>
      </c>
      <c r="E116" s="97" t="s">
        <v>351</v>
      </c>
      <c r="F116" s="84" t="s">
        <v>377</v>
      </c>
      <c r="G116" s="97" t="s">
        <v>359</v>
      </c>
      <c r="H116" s="84" t="s">
        <v>535</v>
      </c>
      <c r="I116" s="84" t="s">
        <v>355</v>
      </c>
      <c r="J116" s="84"/>
      <c r="K116" s="94">
        <v>1.9299999999997441</v>
      </c>
      <c r="L116" s="97" t="s">
        <v>168</v>
      </c>
      <c r="M116" s="98">
        <v>4.4999999999999998E-2</v>
      </c>
      <c r="N116" s="98">
        <v>1.0000000000147284E-4</v>
      </c>
      <c r="O116" s="94">
        <v>1931974.2945340001</v>
      </c>
      <c r="P116" s="96">
        <v>132.18</v>
      </c>
      <c r="Q116" s="94">
        <v>26.363601763999998</v>
      </c>
      <c r="R116" s="94">
        <v>2580.0471790619999</v>
      </c>
      <c r="S116" s="95">
        <v>1.1351305016525353E-3</v>
      </c>
      <c r="T116" s="95">
        <f t="shared" si="1"/>
        <v>1.0224455934395344E-2</v>
      </c>
      <c r="U116" s="95">
        <f>R116/'סכום נכסי הקרן'!$C$42</f>
        <v>2.7148043613953498E-3</v>
      </c>
    </row>
    <row r="117" spans="2:21">
      <c r="B117" s="87" t="s">
        <v>600</v>
      </c>
      <c r="C117" s="84" t="s">
        <v>601</v>
      </c>
      <c r="D117" s="97" t="s">
        <v>124</v>
      </c>
      <c r="E117" s="97" t="s">
        <v>351</v>
      </c>
      <c r="F117" s="84" t="s">
        <v>510</v>
      </c>
      <c r="G117" s="97" t="s">
        <v>421</v>
      </c>
      <c r="H117" s="84" t="s">
        <v>535</v>
      </c>
      <c r="I117" s="84" t="s">
        <v>355</v>
      </c>
      <c r="J117" s="84"/>
      <c r="K117" s="94">
        <v>2.1999999999994655</v>
      </c>
      <c r="L117" s="97" t="s">
        <v>168</v>
      </c>
      <c r="M117" s="98">
        <v>4.9000000000000002E-2</v>
      </c>
      <c r="N117" s="98">
        <v>-1.2999999999991985E-3</v>
      </c>
      <c r="O117" s="94">
        <v>641319.318799</v>
      </c>
      <c r="P117" s="96">
        <v>116.71</v>
      </c>
      <c r="Q117" s="84"/>
      <c r="R117" s="94">
        <v>748.483809662</v>
      </c>
      <c r="S117" s="95">
        <v>1.2054633706045377E-3</v>
      </c>
      <c r="T117" s="95">
        <f t="shared" si="1"/>
        <v>2.9661627088074152E-3</v>
      </c>
      <c r="U117" s="95">
        <f>R117/'סכום נכסי הקרן'!$C$42</f>
        <v>7.8757750144823019E-4</v>
      </c>
    </row>
    <row r="118" spans="2:21">
      <c r="B118" s="87" t="s">
        <v>602</v>
      </c>
      <c r="C118" s="84" t="s">
        <v>603</v>
      </c>
      <c r="D118" s="97" t="s">
        <v>124</v>
      </c>
      <c r="E118" s="97" t="s">
        <v>351</v>
      </c>
      <c r="F118" s="84" t="s">
        <v>510</v>
      </c>
      <c r="G118" s="97" t="s">
        <v>421</v>
      </c>
      <c r="H118" s="84" t="s">
        <v>535</v>
      </c>
      <c r="I118" s="84" t="s">
        <v>355</v>
      </c>
      <c r="J118" s="84"/>
      <c r="K118" s="94">
        <v>1.8600000000006105</v>
      </c>
      <c r="L118" s="97" t="s">
        <v>168</v>
      </c>
      <c r="M118" s="98">
        <v>5.8499999999999996E-2</v>
      </c>
      <c r="N118" s="98">
        <v>-1.200000000008391E-3</v>
      </c>
      <c r="O118" s="94">
        <v>429817.92574899999</v>
      </c>
      <c r="P118" s="96">
        <v>122</v>
      </c>
      <c r="Q118" s="84"/>
      <c r="R118" s="94">
        <v>524.37786858799996</v>
      </c>
      <c r="S118" s="95">
        <v>5.2100746207574776E-4</v>
      </c>
      <c r="T118" s="95">
        <f t="shared" si="1"/>
        <v>2.0780544068575418E-3</v>
      </c>
      <c r="U118" s="95">
        <f>R118/'סכום נכסי הקרן'!$C$42</f>
        <v>5.5176639257405234E-4</v>
      </c>
    </row>
    <row r="119" spans="2:21">
      <c r="B119" s="87" t="s">
        <v>604</v>
      </c>
      <c r="C119" s="84" t="s">
        <v>605</v>
      </c>
      <c r="D119" s="97" t="s">
        <v>124</v>
      </c>
      <c r="E119" s="97" t="s">
        <v>351</v>
      </c>
      <c r="F119" s="84" t="s">
        <v>510</v>
      </c>
      <c r="G119" s="97" t="s">
        <v>421</v>
      </c>
      <c r="H119" s="84" t="s">
        <v>535</v>
      </c>
      <c r="I119" s="84" t="s">
        <v>355</v>
      </c>
      <c r="J119" s="84"/>
      <c r="K119" s="94">
        <v>6.680000000001507</v>
      </c>
      <c r="L119" s="97" t="s">
        <v>168</v>
      </c>
      <c r="M119" s="98">
        <v>2.2499999999999999E-2</v>
      </c>
      <c r="N119" s="98">
        <v>9.2000000000087272E-3</v>
      </c>
      <c r="O119" s="94">
        <v>444546.09157700004</v>
      </c>
      <c r="P119" s="96">
        <v>111.2</v>
      </c>
      <c r="Q119" s="94">
        <v>9.8688861289999981</v>
      </c>
      <c r="R119" s="94">
        <v>504.20413999300001</v>
      </c>
      <c r="S119" s="95">
        <v>1.1420856319306325E-3</v>
      </c>
      <c r="T119" s="95">
        <f t="shared" si="1"/>
        <v>1.998108039703505E-3</v>
      </c>
      <c r="U119" s="95">
        <f>R119/'סכום נכסי הקרן'!$C$42</f>
        <v>5.3053897982758343E-4</v>
      </c>
    </row>
    <row r="120" spans="2:21">
      <c r="B120" s="87" t="s">
        <v>606</v>
      </c>
      <c r="C120" s="84" t="s">
        <v>607</v>
      </c>
      <c r="D120" s="97" t="s">
        <v>124</v>
      </c>
      <c r="E120" s="97" t="s">
        <v>351</v>
      </c>
      <c r="F120" s="84" t="s">
        <v>608</v>
      </c>
      <c r="G120" s="97" t="s">
        <v>481</v>
      </c>
      <c r="H120" s="84" t="s">
        <v>543</v>
      </c>
      <c r="I120" s="84" t="s">
        <v>164</v>
      </c>
      <c r="J120" s="84"/>
      <c r="K120" s="94">
        <v>1.4700000000008164</v>
      </c>
      <c r="L120" s="97" t="s">
        <v>168</v>
      </c>
      <c r="M120" s="98">
        <v>4.0500000000000001E-2</v>
      </c>
      <c r="N120" s="98">
        <v>-1.2000000000256619E-3</v>
      </c>
      <c r="O120" s="94">
        <v>130636.83657</v>
      </c>
      <c r="P120" s="96">
        <v>131.25</v>
      </c>
      <c r="Q120" s="84"/>
      <c r="R120" s="94">
        <v>171.460853138</v>
      </c>
      <c r="S120" s="95">
        <v>1.1975011418886216E-3</v>
      </c>
      <c r="T120" s="95">
        <f t="shared" si="1"/>
        <v>6.7948134887233587E-4</v>
      </c>
      <c r="U120" s="95">
        <f>R120/'סכום נכסי הקרן'!$C$42</f>
        <v>1.8041634109839825E-4</v>
      </c>
    </row>
    <row r="121" spans="2:21">
      <c r="B121" s="87" t="s">
        <v>609</v>
      </c>
      <c r="C121" s="84" t="s">
        <v>610</v>
      </c>
      <c r="D121" s="97" t="s">
        <v>124</v>
      </c>
      <c r="E121" s="97" t="s">
        <v>351</v>
      </c>
      <c r="F121" s="84" t="s">
        <v>611</v>
      </c>
      <c r="G121" s="97" t="s">
        <v>421</v>
      </c>
      <c r="H121" s="84" t="s">
        <v>543</v>
      </c>
      <c r="I121" s="84" t="s">
        <v>164</v>
      </c>
      <c r="J121" s="84"/>
      <c r="K121" s="94">
        <v>7.2700000000024252</v>
      </c>
      <c r="L121" s="97" t="s">
        <v>168</v>
      </c>
      <c r="M121" s="98">
        <v>1.9599999999999999E-2</v>
      </c>
      <c r="N121" s="98">
        <v>5.5999999999973181E-3</v>
      </c>
      <c r="O121" s="94">
        <v>796238.97286099999</v>
      </c>
      <c r="P121" s="96">
        <v>112.38</v>
      </c>
      <c r="Q121" s="84"/>
      <c r="R121" s="94">
        <v>894.81334532900007</v>
      </c>
      <c r="S121" s="95">
        <v>8.0728951256743521E-4</v>
      </c>
      <c r="T121" s="95">
        <f t="shared" si="1"/>
        <v>3.5460512866092014E-3</v>
      </c>
      <c r="U121" s="95">
        <f>R121/'סכום נכסי הקרן'!$C$42</f>
        <v>9.4154990352428617E-4</v>
      </c>
    </row>
    <row r="122" spans="2:21">
      <c r="B122" s="87" t="s">
        <v>612</v>
      </c>
      <c r="C122" s="84" t="s">
        <v>613</v>
      </c>
      <c r="D122" s="97" t="s">
        <v>124</v>
      </c>
      <c r="E122" s="97" t="s">
        <v>351</v>
      </c>
      <c r="F122" s="84" t="s">
        <v>611</v>
      </c>
      <c r="G122" s="97" t="s">
        <v>421</v>
      </c>
      <c r="H122" s="84" t="s">
        <v>543</v>
      </c>
      <c r="I122" s="84" t="s">
        <v>164</v>
      </c>
      <c r="J122" s="84"/>
      <c r="K122" s="94">
        <v>3.1300000000065644</v>
      </c>
      <c r="L122" s="97" t="s">
        <v>168</v>
      </c>
      <c r="M122" s="98">
        <v>2.75E-2</v>
      </c>
      <c r="N122" s="98">
        <v>5.9999999999399347E-4</v>
      </c>
      <c r="O122" s="94">
        <v>208645.34219299999</v>
      </c>
      <c r="P122" s="96">
        <v>111.71</v>
      </c>
      <c r="Q122" s="84"/>
      <c r="R122" s="94">
        <v>233.07772311900001</v>
      </c>
      <c r="S122" s="95">
        <v>4.7095638803603399E-4</v>
      </c>
      <c r="T122" s="95">
        <f t="shared" si="1"/>
        <v>9.2366253170060651E-4</v>
      </c>
      <c r="U122" s="95">
        <f>R122/'סכום נכסי הקרן'!$C$42</f>
        <v>2.4525149167915793E-4</v>
      </c>
    </row>
    <row r="123" spans="2:21">
      <c r="B123" s="87" t="s">
        <v>614</v>
      </c>
      <c r="C123" s="84" t="s">
        <v>615</v>
      </c>
      <c r="D123" s="97" t="s">
        <v>124</v>
      </c>
      <c r="E123" s="97" t="s">
        <v>351</v>
      </c>
      <c r="F123" s="84" t="s">
        <v>399</v>
      </c>
      <c r="G123" s="97" t="s">
        <v>359</v>
      </c>
      <c r="H123" s="84" t="s">
        <v>543</v>
      </c>
      <c r="I123" s="84" t="s">
        <v>164</v>
      </c>
      <c r="J123" s="84"/>
      <c r="K123" s="94">
        <v>3.2499999999995519</v>
      </c>
      <c r="L123" s="97" t="s">
        <v>168</v>
      </c>
      <c r="M123" s="98">
        <v>1.4199999999999999E-2</v>
      </c>
      <c r="N123" s="98">
        <v>8.1000000000000585E-3</v>
      </c>
      <c r="O123" s="94">
        <f>1603611.06375/50000</f>
        <v>32.072221274999997</v>
      </c>
      <c r="P123" s="96">
        <v>5225000</v>
      </c>
      <c r="Q123" s="84"/>
      <c r="R123" s="94">
        <v>1675.7736259789999</v>
      </c>
      <c r="S123" s="95">
        <f>7566.7015700939%/50000</f>
        <v>1.5133403140187801E-3</v>
      </c>
      <c r="T123" s="95">
        <f t="shared" si="1"/>
        <v>6.6409148382601943E-3</v>
      </c>
      <c r="U123" s="95">
        <f>R123/'סכום נכסי הקרן'!$C$42</f>
        <v>1.7633001386327611E-3</v>
      </c>
    </row>
    <row r="124" spans="2:21">
      <c r="B124" s="87" t="s">
        <v>616</v>
      </c>
      <c r="C124" s="84" t="s">
        <v>617</v>
      </c>
      <c r="D124" s="97" t="s">
        <v>124</v>
      </c>
      <c r="E124" s="97" t="s">
        <v>351</v>
      </c>
      <c r="F124" s="84" t="s">
        <v>399</v>
      </c>
      <c r="G124" s="97" t="s">
        <v>359</v>
      </c>
      <c r="H124" s="84" t="s">
        <v>543</v>
      </c>
      <c r="I124" s="84" t="s">
        <v>164</v>
      </c>
      <c r="J124" s="84"/>
      <c r="K124" s="94">
        <v>3.910000000001943</v>
      </c>
      <c r="L124" s="97" t="s">
        <v>168</v>
      </c>
      <c r="M124" s="98">
        <v>1.5900000000000001E-2</v>
      </c>
      <c r="N124" s="98">
        <v>7.8000000000072464E-3</v>
      </c>
      <c r="O124" s="94">
        <f>1169844.01625/50000</f>
        <v>23.396880325000001</v>
      </c>
      <c r="P124" s="96">
        <v>5190000</v>
      </c>
      <c r="Q124" s="84"/>
      <c r="R124" s="94">
        <v>1214.2980741040001</v>
      </c>
      <c r="S124" s="95">
        <f>7814.58928690715%/50000</f>
        <v>1.56291785738143E-3</v>
      </c>
      <c r="T124" s="95">
        <f t="shared" si="1"/>
        <v>4.8121357045925279E-3</v>
      </c>
      <c r="U124" s="95">
        <f>R124/'סכום נכסי הקרן'!$C$42</f>
        <v>1.2777214829110279E-3</v>
      </c>
    </row>
    <row r="125" spans="2:21">
      <c r="B125" s="87" t="s">
        <v>618</v>
      </c>
      <c r="C125" s="84" t="s">
        <v>619</v>
      </c>
      <c r="D125" s="97" t="s">
        <v>124</v>
      </c>
      <c r="E125" s="97" t="s">
        <v>351</v>
      </c>
      <c r="F125" s="84" t="s">
        <v>620</v>
      </c>
      <c r="G125" s="97" t="s">
        <v>485</v>
      </c>
      <c r="H125" s="84" t="s">
        <v>535</v>
      </c>
      <c r="I125" s="84" t="s">
        <v>355</v>
      </c>
      <c r="J125" s="84"/>
      <c r="K125" s="94">
        <v>4.7700000000014624</v>
      </c>
      <c r="L125" s="97" t="s">
        <v>168</v>
      </c>
      <c r="M125" s="98">
        <v>1.9400000000000001E-2</v>
      </c>
      <c r="N125" s="98">
        <v>1.0999999999967752E-3</v>
      </c>
      <c r="O125" s="94">
        <v>728474.5569069999</v>
      </c>
      <c r="P125" s="96">
        <v>110.68</v>
      </c>
      <c r="Q125" s="84"/>
      <c r="R125" s="94">
        <v>806.27557256600005</v>
      </c>
      <c r="S125" s="95">
        <v>1.3439863587962921E-3</v>
      </c>
      <c r="T125" s="95">
        <f t="shared" si="1"/>
        <v>3.1951853941204005E-3</v>
      </c>
      <c r="U125" s="95">
        <f>R125/'סכום נכסי הקרן'!$C$42</f>
        <v>8.4838775765507413E-4</v>
      </c>
    </row>
    <row r="126" spans="2:21">
      <c r="B126" s="87" t="s">
        <v>621</v>
      </c>
      <c r="C126" s="84" t="s">
        <v>622</v>
      </c>
      <c r="D126" s="97" t="s">
        <v>124</v>
      </c>
      <c r="E126" s="97" t="s">
        <v>351</v>
      </c>
      <c r="F126" s="84" t="s">
        <v>620</v>
      </c>
      <c r="G126" s="97" t="s">
        <v>485</v>
      </c>
      <c r="H126" s="84" t="s">
        <v>535</v>
      </c>
      <c r="I126" s="84" t="s">
        <v>355</v>
      </c>
      <c r="J126" s="84"/>
      <c r="K126" s="94">
        <v>5.8000000000007148</v>
      </c>
      <c r="L126" s="97" t="s">
        <v>168</v>
      </c>
      <c r="M126" s="98">
        <v>1.23E-2</v>
      </c>
      <c r="N126" s="98">
        <v>3.0000000000004468E-3</v>
      </c>
      <c r="O126" s="94">
        <v>2097121.7101340003</v>
      </c>
      <c r="P126" s="96">
        <v>106.86</v>
      </c>
      <c r="Q126" s="84"/>
      <c r="R126" s="94">
        <v>2240.9842717729998</v>
      </c>
      <c r="S126" s="95">
        <v>1.4367970740465929E-3</v>
      </c>
      <c r="T126" s="95">
        <f t="shared" si="1"/>
        <v>8.8807852516659229E-3</v>
      </c>
      <c r="U126" s="95">
        <f>R126/'סכום נכסי הקרן'!$C$42</f>
        <v>2.3580320252281415E-3</v>
      </c>
    </row>
    <row r="127" spans="2:21">
      <c r="B127" s="87" t="s">
        <v>623</v>
      </c>
      <c r="C127" s="84" t="s">
        <v>624</v>
      </c>
      <c r="D127" s="97" t="s">
        <v>124</v>
      </c>
      <c r="E127" s="97" t="s">
        <v>351</v>
      </c>
      <c r="F127" s="84" t="s">
        <v>625</v>
      </c>
      <c r="G127" s="97" t="s">
        <v>481</v>
      </c>
      <c r="H127" s="84" t="s">
        <v>543</v>
      </c>
      <c r="I127" s="84" t="s">
        <v>164</v>
      </c>
      <c r="J127" s="84"/>
      <c r="K127" s="94">
        <v>6.3900000000026838</v>
      </c>
      <c r="L127" s="97" t="s">
        <v>168</v>
      </c>
      <c r="M127" s="98">
        <v>2.2499999999999999E-2</v>
      </c>
      <c r="N127" s="98">
        <v>3.3000000000124857E-3</v>
      </c>
      <c r="O127" s="94">
        <v>325926.40423599997</v>
      </c>
      <c r="P127" s="96">
        <v>115.5</v>
      </c>
      <c r="Q127" s="84"/>
      <c r="R127" s="94">
        <v>376.44498434099995</v>
      </c>
      <c r="S127" s="95">
        <v>7.9665986342973246E-4</v>
      </c>
      <c r="T127" s="95">
        <f t="shared" si="1"/>
        <v>1.4918119270663954E-3</v>
      </c>
      <c r="U127" s="95">
        <f>R127/'סכום נכסי הקרן'!$C$42</f>
        <v>3.9610689820249688E-4</v>
      </c>
    </row>
    <row r="128" spans="2:21">
      <c r="B128" s="87" t="s">
        <v>626</v>
      </c>
      <c r="C128" s="84" t="s">
        <v>627</v>
      </c>
      <c r="D128" s="97" t="s">
        <v>124</v>
      </c>
      <c r="E128" s="97" t="s">
        <v>351</v>
      </c>
      <c r="F128" s="84" t="s">
        <v>628</v>
      </c>
      <c r="G128" s="97" t="s">
        <v>160</v>
      </c>
      <c r="H128" s="84" t="s">
        <v>535</v>
      </c>
      <c r="I128" s="84" t="s">
        <v>355</v>
      </c>
      <c r="J128" s="84"/>
      <c r="K128" s="94">
        <v>1.7599999999993892</v>
      </c>
      <c r="L128" s="97" t="s">
        <v>168</v>
      </c>
      <c r="M128" s="98">
        <v>2.1499999999999998E-2</v>
      </c>
      <c r="N128" s="98">
        <v>1.6000000000040702E-3</v>
      </c>
      <c r="O128" s="94">
        <v>869098.39233299997</v>
      </c>
      <c r="P128" s="96">
        <v>104.71</v>
      </c>
      <c r="Q128" s="94">
        <v>72.742841673000001</v>
      </c>
      <c r="R128" s="94">
        <v>982.77576828500003</v>
      </c>
      <c r="S128" s="95">
        <v>1.2347820085315243E-3</v>
      </c>
      <c r="T128" s="95">
        <f t="shared" si="1"/>
        <v>3.8946371282538653E-3</v>
      </c>
      <c r="U128" s="95">
        <f>R128/'סכום נכסי הקרן'!$C$42</f>
        <v>1.0341066487721266E-3</v>
      </c>
    </row>
    <row r="129" spans="2:21">
      <c r="B129" s="87" t="s">
        <v>629</v>
      </c>
      <c r="C129" s="84" t="s">
        <v>630</v>
      </c>
      <c r="D129" s="97" t="s">
        <v>124</v>
      </c>
      <c r="E129" s="97" t="s">
        <v>351</v>
      </c>
      <c r="F129" s="84" t="s">
        <v>628</v>
      </c>
      <c r="G129" s="97" t="s">
        <v>160</v>
      </c>
      <c r="H129" s="84" t="s">
        <v>535</v>
      </c>
      <c r="I129" s="84" t="s">
        <v>355</v>
      </c>
      <c r="J129" s="84"/>
      <c r="K129" s="94">
        <v>3.2699999999999343</v>
      </c>
      <c r="L129" s="97" t="s">
        <v>168</v>
      </c>
      <c r="M129" s="98">
        <v>1.8000000000000002E-2</v>
      </c>
      <c r="N129" s="98">
        <v>3.2000000000059186E-3</v>
      </c>
      <c r="O129" s="94">
        <v>573236.47195299994</v>
      </c>
      <c r="P129" s="96">
        <v>106.11</v>
      </c>
      <c r="Q129" s="84"/>
      <c r="R129" s="94">
        <v>608.261223352</v>
      </c>
      <c r="S129" s="95">
        <v>7.9212935620124973E-4</v>
      </c>
      <c r="T129" s="95">
        <f t="shared" si="1"/>
        <v>2.4104753297670141E-3</v>
      </c>
      <c r="U129" s="95">
        <f>R129/'סכום נכסי הקרן'!$C$42</f>
        <v>6.4003101781418968E-4</v>
      </c>
    </row>
    <row r="130" spans="2:21">
      <c r="B130" s="87" t="s">
        <v>631</v>
      </c>
      <c r="C130" s="84" t="s">
        <v>632</v>
      </c>
      <c r="D130" s="97" t="s">
        <v>124</v>
      </c>
      <c r="E130" s="97" t="s">
        <v>351</v>
      </c>
      <c r="F130" s="84" t="s">
        <v>633</v>
      </c>
      <c r="G130" s="97" t="s">
        <v>359</v>
      </c>
      <c r="H130" s="84" t="s">
        <v>634</v>
      </c>
      <c r="I130" s="84" t="s">
        <v>164</v>
      </c>
      <c r="J130" s="84"/>
      <c r="K130" s="94">
        <v>1</v>
      </c>
      <c r="L130" s="97" t="s">
        <v>168</v>
      </c>
      <c r="M130" s="98">
        <v>4.1500000000000002E-2</v>
      </c>
      <c r="N130" s="98">
        <v>-4.6000000001054121E-3</v>
      </c>
      <c r="O130" s="94">
        <v>32392.130278000004</v>
      </c>
      <c r="P130" s="96">
        <v>111.29</v>
      </c>
      <c r="Q130" s="84"/>
      <c r="R130" s="94">
        <v>36.049201096999994</v>
      </c>
      <c r="S130" s="95">
        <v>1.614788260245432E-4</v>
      </c>
      <c r="T130" s="95">
        <f t="shared" si="1"/>
        <v>1.4285919694710184E-4</v>
      </c>
      <c r="U130" s="95">
        <f>R130/'סכום נכסי הקרן'!$C$42</f>
        <v>3.7932069288180183E-5</v>
      </c>
    </row>
    <row r="131" spans="2:21">
      <c r="B131" s="87" t="s">
        <v>635</v>
      </c>
      <c r="C131" s="84" t="s">
        <v>636</v>
      </c>
      <c r="D131" s="97" t="s">
        <v>124</v>
      </c>
      <c r="E131" s="97" t="s">
        <v>351</v>
      </c>
      <c r="F131" s="84" t="s">
        <v>637</v>
      </c>
      <c r="G131" s="97" t="s">
        <v>160</v>
      </c>
      <c r="H131" s="84" t="s">
        <v>638</v>
      </c>
      <c r="I131" s="84" t="s">
        <v>355</v>
      </c>
      <c r="J131" s="84"/>
      <c r="K131" s="94">
        <v>2.1699999999980193</v>
      </c>
      <c r="L131" s="97" t="s">
        <v>168</v>
      </c>
      <c r="M131" s="98">
        <v>3.15E-2</v>
      </c>
      <c r="N131" s="98">
        <v>1.7899999999977205E-2</v>
      </c>
      <c r="O131" s="94">
        <v>513573.106463</v>
      </c>
      <c r="P131" s="96">
        <v>104.2</v>
      </c>
      <c r="Q131" s="84"/>
      <c r="R131" s="94">
        <v>535.143197418</v>
      </c>
      <c r="S131" s="95">
        <v>1.0819969671802348E-3</v>
      </c>
      <c r="T131" s="95">
        <f t="shared" si="1"/>
        <v>2.1207162741035618E-3</v>
      </c>
      <c r="U131" s="95">
        <f>R131/'סכום נכסי הקרן'!$C$42</f>
        <v>5.630940000289535E-4</v>
      </c>
    </row>
    <row r="132" spans="2:21">
      <c r="B132" s="87" t="s">
        <v>639</v>
      </c>
      <c r="C132" s="84" t="s">
        <v>640</v>
      </c>
      <c r="D132" s="97" t="s">
        <v>124</v>
      </c>
      <c r="E132" s="97" t="s">
        <v>351</v>
      </c>
      <c r="F132" s="84" t="s">
        <v>637</v>
      </c>
      <c r="G132" s="97" t="s">
        <v>160</v>
      </c>
      <c r="H132" s="84" t="s">
        <v>638</v>
      </c>
      <c r="I132" s="84" t="s">
        <v>355</v>
      </c>
      <c r="J132" s="84"/>
      <c r="K132" s="94">
        <v>1.790000000000719</v>
      </c>
      <c r="L132" s="97" t="s">
        <v>168</v>
      </c>
      <c r="M132" s="98">
        <v>2.8500000000000001E-2</v>
      </c>
      <c r="N132" s="98">
        <v>1.5699999999997605E-2</v>
      </c>
      <c r="O132" s="94">
        <v>239441.20171100003</v>
      </c>
      <c r="P132" s="96">
        <v>104.54</v>
      </c>
      <c r="Q132" s="84"/>
      <c r="R132" s="94">
        <v>250.311824758</v>
      </c>
      <c r="S132" s="95">
        <v>1.094713360689143E-3</v>
      </c>
      <c r="T132" s="95">
        <f t="shared" si="1"/>
        <v>9.9195946603841526E-4</v>
      </c>
      <c r="U132" s="95">
        <f>R132/'סכום נכסי הקרן'!$C$42</f>
        <v>2.6338573925183134E-4</v>
      </c>
    </row>
    <row r="133" spans="2:21">
      <c r="B133" s="87" t="s">
        <v>641</v>
      </c>
      <c r="C133" s="84" t="s">
        <v>642</v>
      </c>
      <c r="D133" s="97" t="s">
        <v>124</v>
      </c>
      <c r="E133" s="97" t="s">
        <v>351</v>
      </c>
      <c r="F133" s="84" t="s">
        <v>643</v>
      </c>
      <c r="G133" s="97" t="s">
        <v>421</v>
      </c>
      <c r="H133" s="84" t="s">
        <v>634</v>
      </c>
      <c r="I133" s="84" t="s">
        <v>164</v>
      </c>
      <c r="J133" s="84"/>
      <c r="K133" s="94">
        <v>4.8700000000060042</v>
      </c>
      <c r="L133" s="97" t="s">
        <v>168</v>
      </c>
      <c r="M133" s="98">
        <v>2.5000000000000001E-2</v>
      </c>
      <c r="N133" s="98">
        <v>6.5000000000158013E-3</v>
      </c>
      <c r="O133" s="94">
        <v>256018.56080199999</v>
      </c>
      <c r="P133" s="96">
        <v>111.24</v>
      </c>
      <c r="Q133" s="84"/>
      <c r="R133" s="94">
        <v>284.79504566700001</v>
      </c>
      <c r="S133" s="95">
        <v>1.1337644378618444E-3</v>
      </c>
      <c r="T133" s="95">
        <f t="shared" si="1"/>
        <v>1.1286128480080704E-3</v>
      </c>
      <c r="U133" s="95">
        <f>R133/'סכום נכסי הקרן'!$C$42</f>
        <v>2.9967003640671795E-4</v>
      </c>
    </row>
    <row r="134" spans="2:21">
      <c r="B134" s="87" t="s">
        <v>644</v>
      </c>
      <c r="C134" s="84" t="s">
        <v>645</v>
      </c>
      <c r="D134" s="97" t="s">
        <v>124</v>
      </c>
      <c r="E134" s="97" t="s">
        <v>351</v>
      </c>
      <c r="F134" s="84" t="s">
        <v>643</v>
      </c>
      <c r="G134" s="97" t="s">
        <v>421</v>
      </c>
      <c r="H134" s="84" t="s">
        <v>634</v>
      </c>
      <c r="I134" s="84" t="s">
        <v>164</v>
      </c>
      <c r="J134" s="84"/>
      <c r="K134" s="94">
        <v>7.2599999999944682</v>
      </c>
      <c r="L134" s="97" t="s">
        <v>168</v>
      </c>
      <c r="M134" s="98">
        <v>1.9E-2</v>
      </c>
      <c r="N134" s="98">
        <v>1.2199999999983769E-2</v>
      </c>
      <c r="O134" s="94">
        <v>568233.54301499994</v>
      </c>
      <c r="P134" s="96">
        <v>106.26</v>
      </c>
      <c r="Q134" s="84"/>
      <c r="R134" s="94">
        <v>603.80496465900001</v>
      </c>
      <c r="S134" s="95">
        <v>2.4499921658989155E-3</v>
      </c>
      <c r="T134" s="95">
        <f t="shared" si="1"/>
        <v>2.3928156447005538E-3</v>
      </c>
      <c r="U134" s="95">
        <f>R134/'סכום נכסי הקרן'!$C$42</f>
        <v>6.3534200645290874E-4</v>
      </c>
    </row>
    <row r="135" spans="2:21">
      <c r="B135" s="87" t="s">
        <v>646</v>
      </c>
      <c r="C135" s="84" t="s">
        <v>647</v>
      </c>
      <c r="D135" s="97" t="s">
        <v>124</v>
      </c>
      <c r="E135" s="97" t="s">
        <v>351</v>
      </c>
      <c r="F135" s="84" t="s">
        <v>588</v>
      </c>
      <c r="G135" s="97" t="s">
        <v>421</v>
      </c>
      <c r="H135" s="84" t="s">
        <v>638</v>
      </c>
      <c r="I135" s="84" t="s">
        <v>355</v>
      </c>
      <c r="J135" s="84"/>
      <c r="K135" s="94">
        <v>6.5600000000315246</v>
      </c>
      <c r="L135" s="97" t="s">
        <v>168</v>
      </c>
      <c r="M135" s="98">
        <v>2.81E-2</v>
      </c>
      <c r="N135" s="98">
        <v>6.4999999999893502E-3</v>
      </c>
      <c r="O135" s="94">
        <v>80313.877672000002</v>
      </c>
      <c r="P135" s="96">
        <v>116.91</v>
      </c>
      <c r="Q135" s="84"/>
      <c r="R135" s="94">
        <v>93.894954333999991</v>
      </c>
      <c r="S135" s="95">
        <v>1.6148525821364025E-4</v>
      </c>
      <c r="T135" s="95">
        <f t="shared" si="1"/>
        <v>3.7209584027803402E-4</v>
      </c>
      <c r="U135" s="95">
        <f>R135/'סכום נכסי הקרן'!$C$42</f>
        <v>9.8799135770700889E-5</v>
      </c>
    </row>
    <row r="136" spans="2:21">
      <c r="B136" s="87" t="s">
        <v>648</v>
      </c>
      <c r="C136" s="84" t="s">
        <v>649</v>
      </c>
      <c r="D136" s="97" t="s">
        <v>124</v>
      </c>
      <c r="E136" s="97" t="s">
        <v>351</v>
      </c>
      <c r="F136" s="84" t="s">
        <v>588</v>
      </c>
      <c r="G136" s="97" t="s">
        <v>421</v>
      </c>
      <c r="H136" s="84" t="s">
        <v>638</v>
      </c>
      <c r="I136" s="84" t="s">
        <v>355</v>
      </c>
      <c r="J136" s="84"/>
      <c r="K136" s="94">
        <v>4.4899999999967966</v>
      </c>
      <c r="L136" s="97" t="s">
        <v>168</v>
      </c>
      <c r="M136" s="98">
        <v>3.7000000000000005E-2</v>
      </c>
      <c r="N136" s="98">
        <v>4.0999999999818647E-3</v>
      </c>
      <c r="O136" s="94">
        <v>223052.65078499998</v>
      </c>
      <c r="P136" s="96">
        <v>116.19</v>
      </c>
      <c r="Q136" s="84"/>
      <c r="R136" s="94">
        <v>259.16487556700002</v>
      </c>
      <c r="S136" s="95">
        <v>3.4902005984015113E-4</v>
      </c>
      <c r="T136" s="95">
        <f t="shared" si="1"/>
        <v>1.0270431763737015E-3</v>
      </c>
      <c r="U136" s="95">
        <f>R136/'סכום נכסי הקרן'!$C$42</f>
        <v>2.7270118942769432E-4</v>
      </c>
    </row>
    <row r="137" spans="2:21">
      <c r="B137" s="87" t="s">
        <v>650</v>
      </c>
      <c r="C137" s="84" t="s">
        <v>651</v>
      </c>
      <c r="D137" s="97" t="s">
        <v>124</v>
      </c>
      <c r="E137" s="97" t="s">
        <v>351</v>
      </c>
      <c r="F137" s="84" t="s">
        <v>588</v>
      </c>
      <c r="G137" s="97" t="s">
        <v>421</v>
      </c>
      <c r="H137" s="84" t="s">
        <v>634</v>
      </c>
      <c r="I137" s="84" t="s">
        <v>164</v>
      </c>
      <c r="J137" s="84"/>
      <c r="K137" s="94">
        <v>3.2899999999976348</v>
      </c>
      <c r="L137" s="97" t="s">
        <v>168</v>
      </c>
      <c r="M137" s="98">
        <v>4.4000000000000004E-2</v>
      </c>
      <c r="N137" s="98">
        <v>6.9999999992904492E-4</v>
      </c>
      <c r="O137" s="94">
        <v>18288.890809</v>
      </c>
      <c r="P137" s="96">
        <v>115.59</v>
      </c>
      <c r="Q137" s="84"/>
      <c r="R137" s="94">
        <v>21.140130345000003</v>
      </c>
      <c r="S137" s="95">
        <v>7.0504047035103813E-5</v>
      </c>
      <c r="T137" s="95">
        <f t="shared" si="1"/>
        <v>8.3776115767932735E-5</v>
      </c>
      <c r="U137" s="95">
        <f>R137/'סכום נכסי הקרן'!$C$42</f>
        <v>2.2244290153615458E-5</v>
      </c>
    </row>
    <row r="138" spans="2:21">
      <c r="B138" s="87" t="s">
        <v>652</v>
      </c>
      <c r="C138" s="84" t="s">
        <v>653</v>
      </c>
      <c r="D138" s="97" t="s">
        <v>124</v>
      </c>
      <c r="E138" s="97" t="s">
        <v>351</v>
      </c>
      <c r="F138" s="84" t="s">
        <v>588</v>
      </c>
      <c r="G138" s="97" t="s">
        <v>421</v>
      </c>
      <c r="H138" s="84" t="s">
        <v>634</v>
      </c>
      <c r="I138" s="84" t="s">
        <v>164</v>
      </c>
      <c r="J138" s="84"/>
      <c r="K138" s="94">
        <v>5.309999999992324</v>
      </c>
      <c r="L138" s="97" t="s">
        <v>168</v>
      </c>
      <c r="M138" s="98">
        <v>2.4E-2</v>
      </c>
      <c r="N138" s="98">
        <v>4.0000000000247581E-3</v>
      </c>
      <c r="O138" s="94">
        <v>142926.84719900001</v>
      </c>
      <c r="P138" s="96">
        <v>113.04</v>
      </c>
      <c r="Q138" s="84"/>
      <c r="R138" s="94">
        <v>161.56450960399999</v>
      </c>
      <c r="S138" s="95">
        <v>2.9106359892958408E-4</v>
      </c>
      <c r="T138" s="95">
        <f t="shared" si="1"/>
        <v>6.4026317906669384E-4</v>
      </c>
      <c r="U138" s="95">
        <f>R138/'סכום נכסי הקרן'!$C$42</f>
        <v>1.7000310648548024E-4</v>
      </c>
    </row>
    <row r="139" spans="2:21">
      <c r="B139" s="87" t="s">
        <v>654</v>
      </c>
      <c r="C139" s="84" t="s">
        <v>655</v>
      </c>
      <c r="D139" s="97" t="s">
        <v>124</v>
      </c>
      <c r="E139" s="97" t="s">
        <v>351</v>
      </c>
      <c r="F139" s="84" t="s">
        <v>588</v>
      </c>
      <c r="G139" s="97" t="s">
        <v>421</v>
      </c>
      <c r="H139" s="84" t="s">
        <v>634</v>
      </c>
      <c r="I139" s="84" t="s">
        <v>164</v>
      </c>
      <c r="J139" s="84"/>
      <c r="K139" s="94">
        <v>6.4100000000026354</v>
      </c>
      <c r="L139" s="97" t="s">
        <v>168</v>
      </c>
      <c r="M139" s="98">
        <v>2.6000000000000002E-2</v>
      </c>
      <c r="N139" s="98">
        <v>7.400000000004194E-3</v>
      </c>
      <c r="O139" s="94">
        <v>965104.07296599995</v>
      </c>
      <c r="P139" s="96">
        <v>113.62</v>
      </c>
      <c r="Q139" s="84"/>
      <c r="R139" s="94">
        <v>1096.551245871</v>
      </c>
      <c r="S139" s="95">
        <v>1.6405031619472865E-3</v>
      </c>
      <c r="T139" s="95">
        <f t="shared" si="1"/>
        <v>4.3455173937131065E-3</v>
      </c>
      <c r="U139" s="95">
        <f>R139/'סכום נכסי הקרן'!$C$42</f>
        <v>1.1538246776814302E-3</v>
      </c>
    </row>
    <row r="140" spans="2:21">
      <c r="B140" s="87" t="s">
        <v>656</v>
      </c>
      <c r="C140" s="84" t="s">
        <v>657</v>
      </c>
      <c r="D140" s="97" t="s">
        <v>124</v>
      </c>
      <c r="E140" s="97" t="s">
        <v>351</v>
      </c>
      <c r="F140" s="84" t="s">
        <v>658</v>
      </c>
      <c r="G140" s="97" t="s">
        <v>421</v>
      </c>
      <c r="H140" s="84" t="s">
        <v>634</v>
      </c>
      <c r="I140" s="84" t="s">
        <v>164</v>
      </c>
      <c r="J140" s="84"/>
      <c r="K140" s="94">
        <v>0.5</v>
      </c>
      <c r="L140" s="97" t="s">
        <v>168</v>
      </c>
      <c r="M140" s="98">
        <v>4.4999999999999998E-2</v>
      </c>
      <c r="N140" s="98">
        <v>-6.8999999999671191E-3</v>
      </c>
      <c r="O140" s="94">
        <v>180210.46535799999</v>
      </c>
      <c r="P140" s="96">
        <v>111.38</v>
      </c>
      <c r="Q140" s="84"/>
      <c r="R140" s="94">
        <v>200.71841551399999</v>
      </c>
      <c r="S140" s="95">
        <v>1.0371825344345322E-3</v>
      </c>
      <c r="T140" s="95">
        <f t="shared" ref="T140:T158" si="2">R140/$R$11</f>
        <v>7.9542599503574097E-4</v>
      </c>
      <c r="U140" s="95">
        <f>R140/'סכום נכסי הקרן'!$C$42</f>
        <v>2.1120204090526698E-4</v>
      </c>
    </row>
    <row r="141" spans="2:21">
      <c r="B141" s="87" t="s">
        <v>659</v>
      </c>
      <c r="C141" s="84" t="s">
        <v>660</v>
      </c>
      <c r="D141" s="97" t="s">
        <v>124</v>
      </c>
      <c r="E141" s="97" t="s">
        <v>351</v>
      </c>
      <c r="F141" s="84" t="s">
        <v>658</v>
      </c>
      <c r="G141" s="97" t="s">
        <v>421</v>
      </c>
      <c r="H141" s="84" t="s">
        <v>634</v>
      </c>
      <c r="I141" s="84" t="s">
        <v>164</v>
      </c>
      <c r="J141" s="84"/>
      <c r="K141" s="94">
        <v>4.4699999999842257</v>
      </c>
      <c r="L141" s="97" t="s">
        <v>168</v>
      </c>
      <c r="M141" s="98">
        <v>1.6E-2</v>
      </c>
      <c r="N141" s="98">
        <v>1.2999999999712508E-3</v>
      </c>
      <c r="O141" s="94">
        <v>118051.82702100002</v>
      </c>
      <c r="P141" s="96">
        <v>109.02</v>
      </c>
      <c r="Q141" s="84"/>
      <c r="R141" s="94">
        <v>128.70010904900002</v>
      </c>
      <c r="S141" s="95">
        <v>7.4471096868409213E-4</v>
      </c>
      <c r="T141" s="95">
        <f t="shared" si="2"/>
        <v>5.1002501210143758E-4</v>
      </c>
      <c r="U141" s="95">
        <f>R141/'סכום נכסי הקרן'!$C$42</f>
        <v>1.3542218149875399E-4</v>
      </c>
    </row>
    <row r="142" spans="2:21">
      <c r="B142" s="87" t="s">
        <v>661</v>
      </c>
      <c r="C142" s="84" t="s">
        <v>662</v>
      </c>
      <c r="D142" s="97" t="s">
        <v>124</v>
      </c>
      <c r="E142" s="97" t="s">
        <v>351</v>
      </c>
      <c r="F142" s="84" t="s">
        <v>633</v>
      </c>
      <c r="G142" s="97" t="s">
        <v>359</v>
      </c>
      <c r="H142" s="84" t="s">
        <v>663</v>
      </c>
      <c r="I142" s="84" t="s">
        <v>164</v>
      </c>
      <c r="J142" s="84"/>
      <c r="K142" s="94">
        <v>0.67999999999989458</v>
      </c>
      <c r="L142" s="97" t="s">
        <v>168</v>
      </c>
      <c r="M142" s="98">
        <v>5.2999999999999999E-2</v>
      </c>
      <c r="N142" s="98">
        <v>0</v>
      </c>
      <c r="O142" s="94">
        <v>332377.79042500001</v>
      </c>
      <c r="P142" s="96">
        <v>114.06</v>
      </c>
      <c r="Q142" s="84"/>
      <c r="R142" s="94">
        <v>379.11012617799997</v>
      </c>
      <c r="S142" s="95">
        <v>1.2783466167126912E-3</v>
      </c>
      <c r="T142" s="95">
        <f t="shared" si="2"/>
        <v>1.5023736041909306E-3</v>
      </c>
      <c r="U142" s="95">
        <f>R142/'סכום נכסי הקרן'!$C$42</f>
        <v>3.9891124175929005E-4</v>
      </c>
    </row>
    <row r="143" spans="2:21">
      <c r="B143" s="87" t="s">
        <v>664</v>
      </c>
      <c r="C143" s="84" t="s">
        <v>665</v>
      </c>
      <c r="D143" s="97" t="s">
        <v>124</v>
      </c>
      <c r="E143" s="97" t="s">
        <v>351</v>
      </c>
      <c r="F143" s="84" t="s">
        <v>666</v>
      </c>
      <c r="G143" s="97" t="s">
        <v>667</v>
      </c>
      <c r="H143" s="84" t="s">
        <v>663</v>
      </c>
      <c r="I143" s="84" t="s">
        <v>164</v>
      </c>
      <c r="J143" s="84"/>
      <c r="K143" s="94">
        <v>1.4699996688662675</v>
      </c>
      <c r="L143" s="97" t="s">
        <v>168</v>
      </c>
      <c r="M143" s="98">
        <v>5.3499999999999999E-2</v>
      </c>
      <c r="N143" s="98">
        <v>5.7999998459843114E-3</v>
      </c>
      <c r="O143" s="94">
        <v>2.3679070000000002</v>
      </c>
      <c r="P143" s="96">
        <v>109.68</v>
      </c>
      <c r="Q143" s="84"/>
      <c r="R143" s="94">
        <v>2.5971379999999997E-3</v>
      </c>
      <c r="S143" s="95">
        <v>2.0157675306516388E-8</v>
      </c>
      <c r="T143" s="95">
        <f t="shared" si="2"/>
        <v>1.0292185062366854E-8</v>
      </c>
      <c r="U143" s="95">
        <f>R143/'סכום נכסי הקרן'!$C$42</f>
        <v>2.7327878446428063E-9</v>
      </c>
    </row>
    <row r="144" spans="2:21">
      <c r="B144" s="87" t="s">
        <v>668</v>
      </c>
      <c r="C144" s="84" t="s">
        <v>669</v>
      </c>
      <c r="D144" s="97" t="s">
        <v>124</v>
      </c>
      <c r="E144" s="97" t="s">
        <v>351</v>
      </c>
      <c r="F144" s="84" t="s">
        <v>670</v>
      </c>
      <c r="G144" s="97" t="s">
        <v>421</v>
      </c>
      <c r="H144" s="84" t="s">
        <v>671</v>
      </c>
      <c r="I144" s="84" t="s">
        <v>355</v>
      </c>
      <c r="J144" s="84"/>
      <c r="K144" s="94">
        <v>0.40999999996486003</v>
      </c>
      <c r="L144" s="97" t="s">
        <v>168</v>
      </c>
      <c r="M144" s="98">
        <v>4.8499999999999995E-2</v>
      </c>
      <c r="N144" s="98">
        <v>3.4000000003513993E-3</v>
      </c>
      <c r="O144" s="94">
        <v>8222.1206910000001</v>
      </c>
      <c r="P144" s="96">
        <v>124.6</v>
      </c>
      <c r="Q144" s="84"/>
      <c r="R144" s="94">
        <v>10.244761796000001</v>
      </c>
      <c r="S144" s="95">
        <v>1.2090295878665089E-4</v>
      </c>
      <c r="T144" s="95">
        <f t="shared" si="2"/>
        <v>4.0598914776302932E-5</v>
      </c>
      <c r="U144" s="95">
        <f>R144/'סכום נכסי הקרן'!$C$42</f>
        <v>1.0779850938752507E-5</v>
      </c>
    </row>
    <row r="145" spans="2:21">
      <c r="B145" s="87" t="s">
        <v>672</v>
      </c>
      <c r="C145" s="84" t="s">
        <v>673</v>
      </c>
      <c r="D145" s="97" t="s">
        <v>124</v>
      </c>
      <c r="E145" s="97" t="s">
        <v>351</v>
      </c>
      <c r="F145" s="84" t="s">
        <v>674</v>
      </c>
      <c r="G145" s="97" t="s">
        <v>421</v>
      </c>
      <c r="H145" s="84" t="s">
        <v>671</v>
      </c>
      <c r="I145" s="84" t="s">
        <v>355</v>
      </c>
      <c r="J145" s="84"/>
      <c r="K145" s="94">
        <v>0.99000000013310652</v>
      </c>
      <c r="L145" s="97" t="s">
        <v>168</v>
      </c>
      <c r="M145" s="98">
        <v>4.2500000000000003E-2</v>
      </c>
      <c r="N145" s="98">
        <v>2.5999999995221816E-3</v>
      </c>
      <c r="O145" s="94">
        <v>3862.6352429999997</v>
      </c>
      <c r="P145" s="96">
        <v>112.56</v>
      </c>
      <c r="Q145" s="94">
        <v>1.512189714</v>
      </c>
      <c r="R145" s="94">
        <v>5.8599719779999999</v>
      </c>
      <c r="S145" s="95">
        <v>6.6908326630176618E-5</v>
      </c>
      <c r="T145" s="95">
        <f t="shared" si="2"/>
        <v>2.3222453353599211E-5</v>
      </c>
      <c r="U145" s="95">
        <f>R145/'סכום נכסי הקרן'!$C$42</f>
        <v>6.1660413083270371E-6</v>
      </c>
    </row>
    <row r="146" spans="2:21">
      <c r="B146" s="87" t="s">
        <v>675</v>
      </c>
      <c r="C146" s="84" t="s">
        <v>676</v>
      </c>
      <c r="D146" s="97" t="s">
        <v>124</v>
      </c>
      <c r="E146" s="97" t="s">
        <v>351</v>
      </c>
      <c r="F146" s="84" t="s">
        <v>677</v>
      </c>
      <c r="G146" s="97" t="s">
        <v>485</v>
      </c>
      <c r="H146" s="84" t="s">
        <v>671</v>
      </c>
      <c r="I146" s="84" t="s">
        <v>355</v>
      </c>
      <c r="J146" s="84"/>
      <c r="K146" s="94">
        <v>0.5</v>
      </c>
      <c r="L146" s="97" t="s">
        <v>168</v>
      </c>
      <c r="M146" s="98">
        <v>4.8000000000000001E-2</v>
      </c>
      <c r="N146" s="98">
        <v>-7.3999999999759328E-3</v>
      </c>
      <c r="O146" s="94">
        <v>95352.533071999991</v>
      </c>
      <c r="P146" s="96">
        <v>122</v>
      </c>
      <c r="Q146" s="84"/>
      <c r="R146" s="94">
        <v>116.33009632199999</v>
      </c>
      <c r="S146" s="95">
        <v>9.3214328735162174E-4</v>
      </c>
      <c r="T146" s="95">
        <f t="shared" si="2"/>
        <v>4.6100395114506264E-4</v>
      </c>
      <c r="U146" s="95">
        <f>R146/'סכום נכסי הקרן'!$C$42</f>
        <v>1.2240607668706415E-4</v>
      </c>
    </row>
    <row r="147" spans="2:21">
      <c r="B147" s="87" t="s">
        <v>678</v>
      </c>
      <c r="C147" s="84" t="s">
        <v>679</v>
      </c>
      <c r="D147" s="97" t="s">
        <v>124</v>
      </c>
      <c r="E147" s="97" t="s">
        <v>351</v>
      </c>
      <c r="F147" s="84" t="s">
        <v>415</v>
      </c>
      <c r="G147" s="97" t="s">
        <v>359</v>
      </c>
      <c r="H147" s="84" t="s">
        <v>671</v>
      </c>
      <c r="I147" s="84" t="s">
        <v>355</v>
      </c>
      <c r="J147" s="84"/>
      <c r="K147" s="94">
        <v>1.9200000000000002</v>
      </c>
      <c r="L147" s="97" t="s">
        <v>168</v>
      </c>
      <c r="M147" s="98">
        <v>5.0999999999999997E-2</v>
      </c>
      <c r="N147" s="98">
        <v>1.6999999999989801E-3</v>
      </c>
      <c r="O147" s="94">
        <v>1814535.7562279999</v>
      </c>
      <c r="P147" s="96">
        <v>133.5</v>
      </c>
      <c r="Q147" s="94">
        <v>28.117064663000001</v>
      </c>
      <c r="R147" s="94">
        <v>2450.5223556249998</v>
      </c>
      <c r="S147" s="95">
        <v>1.5816498532708941E-3</v>
      </c>
      <c r="T147" s="95">
        <f t="shared" si="2"/>
        <v>9.7111626658112349E-3</v>
      </c>
      <c r="U147" s="95">
        <f>R147/'סכום נכסי הקרן'!$C$42</f>
        <v>2.5785143902547561E-3</v>
      </c>
    </row>
    <row r="148" spans="2:21">
      <c r="B148" s="87" t="s">
        <v>680</v>
      </c>
      <c r="C148" s="84" t="s">
        <v>681</v>
      </c>
      <c r="D148" s="97" t="s">
        <v>124</v>
      </c>
      <c r="E148" s="97" t="s">
        <v>351</v>
      </c>
      <c r="F148" s="84" t="s">
        <v>579</v>
      </c>
      <c r="G148" s="97" t="s">
        <v>359</v>
      </c>
      <c r="H148" s="84" t="s">
        <v>671</v>
      </c>
      <c r="I148" s="84" t="s">
        <v>355</v>
      </c>
      <c r="J148" s="84"/>
      <c r="K148" s="94">
        <v>0.98999999999698329</v>
      </c>
      <c r="L148" s="97" t="s">
        <v>168</v>
      </c>
      <c r="M148" s="98">
        <v>2.4E-2</v>
      </c>
      <c r="N148" s="98">
        <v>3.8999999999474854E-3</v>
      </c>
      <c r="O148" s="94">
        <v>85676.112129999994</v>
      </c>
      <c r="P148" s="96">
        <v>104.46</v>
      </c>
      <c r="Q148" s="84"/>
      <c r="R148" s="94">
        <v>89.49726657299999</v>
      </c>
      <c r="S148" s="95">
        <v>9.843977043557542E-4</v>
      </c>
      <c r="T148" s="95">
        <f t="shared" si="2"/>
        <v>3.5466826566216158E-4</v>
      </c>
      <c r="U148" s="95">
        <f>R148/'סכום נכסי הקרן'!$C$42</f>
        <v>9.4171754531122847E-5</v>
      </c>
    </row>
    <row r="149" spans="2:21">
      <c r="B149" s="87" t="s">
        <v>682</v>
      </c>
      <c r="C149" s="84" t="s">
        <v>683</v>
      </c>
      <c r="D149" s="97" t="s">
        <v>124</v>
      </c>
      <c r="E149" s="97" t="s">
        <v>351</v>
      </c>
      <c r="F149" s="84" t="s">
        <v>591</v>
      </c>
      <c r="G149" s="97" t="s">
        <v>421</v>
      </c>
      <c r="H149" s="84" t="s">
        <v>671</v>
      </c>
      <c r="I149" s="84" t="s">
        <v>355</v>
      </c>
      <c r="J149" s="84"/>
      <c r="K149" s="94">
        <v>4.1400000000040125</v>
      </c>
      <c r="L149" s="97" t="s">
        <v>168</v>
      </c>
      <c r="M149" s="98">
        <v>2.0499999999999997E-2</v>
      </c>
      <c r="N149" s="98">
        <v>5.200000000053503E-3</v>
      </c>
      <c r="O149" s="94">
        <v>41347.606566000002</v>
      </c>
      <c r="P149" s="96">
        <v>108.49</v>
      </c>
      <c r="Q149" s="84"/>
      <c r="R149" s="94">
        <v>44.858019513000002</v>
      </c>
      <c r="S149" s="95">
        <v>7.2881292339255108E-5</v>
      </c>
      <c r="T149" s="95">
        <f t="shared" si="2"/>
        <v>1.7776761895558092E-4</v>
      </c>
      <c r="U149" s="95">
        <f>R149/'סכום נכסי הקרן'!$C$42</f>
        <v>4.7200976790558007E-5</v>
      </c>
    </row>
    <row r="150" spans="2:21">
      <c r="B150" s="87" t="s">
        <v>684</v>
      </c>
      <c r="C150" s="84" t="s">
        <v>685</v>
      </c>
      <c r="D150" s="97" t="s">
        <v>124</v>
      </c>
      <c r="E150" s="97" t="s">
        <v>351</v>
      </c>
      <c r="F150" s="84" t="s">
        <v>591</v>
      </c>
      <c r="G150" s="97" t="s">
        <v>421</v>
      </c>
      <c r="H150" s="84" t="s">
        <v>671</v>
      </c>
      <c r="I150" s="84" t="s">
        <v>355</v>
      </c>
      <c r="J150" s="84"/>
      <c r="K150" s="94">
        <v>5.0100000000011775</v>
      </c>
      <c r="L150" s="97" t="s">
        <v>168</v>
      </c>
      <c r="M150" s="98">
        <v>2.0499999999999997E-2</v>
      </c>
      <c r="N150" s="98">
        <v>6.599999999998188E-3</v>
      </c>
      <c r="O150" s="94">
        <v>502036.95</v>
      </c>
      <c r="P150" s="96">
        <v>109.94</v>
      </c>
      <c r="Q150" s="84"/>
      <c r="R150" s="94">
        <v>551.93944873499993</v>
      </c>
      <c r="S150" s="95">
        <v>8.780415692351282E-4</v>
      </c>
      <c r="T150" s="95">
        <f t="shared" si="2"/>
        <v>2.1872780536118463E-3</v>
      </c>
      <c r="U150" s="95">
        <f>R150/'סכום נכסי הקרן'!$C$42</f>
        <v>5.8076752813360677E-4</v>
      </c>
    </row>
    <row r="151" spans="2:21">
      <c r="B151" s="87" t="s">
        <v>686</v>
      </c>
      <c r="C151" s="84" t="s">
        <v>687</v>
      </c>
      <c r="D151" s="97" t="s">
        <v>124</v>
      </c>
      <c r="E151" s="97" t="s">
        <v>351</v>
      </c>
      <c r="F151" s="84" t="s">
        <v>688</v>
      </c>
      <c r="G151" s="97" t="s">
        <v>195</v>
      </c>
      <c r="H151" s="84" t="s">
        <v>671</v>
      </c>
      <c r="I151" s="84" t="s">
        <v>355</v>
      </c>
      <c r="J151" s="84"/>
      <c r="K151" s="94">
        <v>9.9999999915017842E-3</v>
      </c>
      <c r="L151" s="97" t="s">
        <v>168</v>
      </c>
      <c r="M151" s="98">
        <v>4.5999999999999999E-2</v>
      </c>
      <c r="N151" s="98">
        <v>6.7700000000626745E-2</v>
      </c>
      <c r="O151" s="94">
        <v>35456.647663000003</v>
      </c>
      <c r="P151" s="96">
        <v>106.2</v>
      </c>
      <c r="Q151" s="84"/>
      <c r="R151" s="94">
        <v>37.654960432000003</v>
      </c>
      <c r="S151" s="95">
        <v>1.6534484450705697E-4</v>
      </c>
      <c r="T151" s="95">
        <f t="shared" si="2"/>
        <v>1.492226525052752E-4</v>
      </c>
      <c r="U151" s="95">
        <f>R151/'סכום נכסי הקרן'!$C$42</f>
        <v>3.9621698253645149E-5</v>
      </c>
    </row>
    <row r="152" spans="2:21">
      <c r="B152" s="87" t="s">
        <v>689</v>
      </c>
      <c r="C152" s="84" t="s">
        <v>690</v>
      </c>
      <c r="D152" s="97" t="s">
        <v>124</v>
      </c>
      <c r="E152" s="97" t="s">
        <v>351</v>
      </c>
      <c r="F152" s="84" t="s">
        <v>688</v>
      </c>
      <c r="G152" s="97" t="s">
        <v>195</v>
      </c>
      <c r="H152" s="84" t="s">
        <v>671</v>
      </c>
      <c r="I152" s="84" t="s">
        <v>355</v>
      </c>
      <c r="J152" s="84"/>
      <c r="K152" s="94">
        <v>2.5499999999995224</v>
      </c>
      <c r="L152" s="97" t="s">
        <v>168</v>
      </c>
      <c r="M152" s="98">
        <v>1.9799999999999998E-2</v>
      </c>
      <c r="N152" s="98">
        <v>1.8599999999998094E-2</v>
      </c>
      <c r="O152" s="94">
        <v>1026811.523668</v>
      </c>
      <c r="P152" s="96">
        <v>100.99</v>
      </c>
      <c r="Q152" s="94">
        <v>10.235386256</v>
      </c>
      <c r="R152" s="94">
        <v>1047.21234697</v>
      </c>
      <c r="S152" s="95">
        <v>1.4227402021372176E-3</v>
      </c>
      <c r="T152" s="95">
        <f t="shared" si="2"/>
        <v>4.1499925204632063E-3</v>
      </c>
      <c r="U152" s="95">
        <f>R152/'סכום נכסי הקרן'!$C$42</f>
        <v>1.1019087828831125E-3</v>
      </c>
    </row>
    <row r="153" spans="2:21">
      <c r="B153" s="87" t="s">
        <v>691</v>
      </c>
      <c r="C153" s="84" t="s">
        <v>692</v>
      </c>
      <c r="D153" s="97" t="s">
        <v>124</v>
      </c>
      <c r="E153" s="97" t="s">
        <v>351</v>
      </c>
      <c r="F153" s="84" t="s">
        <v>693</v>
      </c>
      <c r="G153" s="97" t="s">
        <v>421</v>
      </c>
      <c r="H153" s="84" t="s">
        <v>694</v>
      </c>
      <c r="I153" s="84" t="s">
        <v>164</v>
      </c>
      <c r="J153" s="84"/>
      <c r="K153" s="94">
        <v>3.3099219620958751</v>
      </c>
      <c r="L153" s="97" t="s">
        <v>168</v>
      </c>
      <c r="M153" s="98">
        <v>4.6500000000000007E-2</v>
      </c>
      <c r="N153" s="98">
        <v>8.7997027127461915E-3</v>
      </c>
      <c r="O153" s="94">
        <v>1.1547E-2</v>
      </c>
      <c r="P153" s="96">
        <v>114.19</v>
      </c>
      <c r="Q153" s="94">
        <v>3.0100000000000001E-7</v>
      </c>
      <c r="R153" s="94">
        <v>1.3455000000000001E-5</v>
      </c>
      <c r="S153" s="95">
        <v>1.6113097281411957E-11</v>
      </c>
      <c r="T153" s="95">
        <f t="shared" si="2"/>
        <v>5.3320751540405647E-11</v>
      </c>
      <c r="U153" s="95">
        <f>R153/'סכום נכסי הקרן'!$C$42</f>
        <v>1.4157761524289031E-11</v>
      </c>
    </row>
    <row r="154" spans="2:21">
      <c r="B154" s="87" t="s">
        <v>695</v>
      </c>
      <c r="C154" s="84" t="s">
        <v>696</v>
      </c>
      <c r="D154" s="97" t="s">
        <v>124</v>
      </c>
      <c r="E154" s="97" t="s">
        <v>351</v>
      </c>
      <c r="F154" s="84" t="s">
        <v>693</v>
      </c>
      <c r="G154" s="97" t="s">
        <v>421</v>
      </c>
      <c r="H154" s="84" t="s">
        <v>694</v>
      </c>
      <c r="I154" s="84" t="s">
        <v>164</v>
      </c>
      <c r="J154" s="84"/>
      <c r="K154" s="94">
        <v>0</v>
      </c>
      <c r="L154" s="97" t="s">
        <v>168</v>
      </c>
      <c r="M154" s="98">
        <v>5.5999999999999994E-2</v>
      </c>
      <c r="N154" s="98">
        <v>0</v>
      </c>
      <c r="O154" s="94">
        <v>92718.243180999998</v>
      </c>
      <c r="P154" s="96">
        <v>109.44</v>
      </c>
      <c r="Q154" s="84"/>
      <c r="R154" s="94">
        <v>101.47084955</v>
      </c>
      <c r="S154" s="95">
        <v>1.4645580839862261E-3</v>
      </c>
      <c r="T154" s="95">
        <f t="shared" si="2"/>
        <v>4.021183171645806E-4</v>
      </c>
      <c r="U154" s="95">
        <f>R154/'סכום נכסי הקרן'!$C$42</f>
        <v>1.0677072386443037E-4</v>
      </c>
    </row>
    <row r="155" spans="2:21">
      <c r="B155" s="87" t="s">
        <v>697</v>
      </c>
      <c r="C155" s="84" t="s">
        <v>698</v>
      </c>
      <c r="D155" s="97" t="s">
        <v>124</v>
      </c>
      <c r="E155" s="97" t="s">
        <v>351</v>
      </c>
      <c r="F155" s="84" t="s">
        <v>699</v>
      </c>
      <c r="G155" s="97" t="s">
        <v>421</v>
      </c>
      <c r="H155" s="84" t="s">
        <v>694</v>
      </c>
      <c r="I155" s="84" t="s">
        <v>164</v>
      </c>
      <c r="J155" s="84"/>
      <c r="K155" s="94">
        <v>1</v>
      </c>
      <c r="L155" s="97" t="s">
        <v>168</v>
      </c>
      <c r="M155" s="98">
        <v>4.8000000000000001E-2</v>
      </c>
      <c r="N155" s="98">
        <v>2.7000000000235685E-3</v>
      </c>
      <c r="O155" s="94">
        <v>84882.901594999988</v>
      </c>
      <c r="P155" s="96">
        <v>105.13</v>
      </c>
      <c r="Q155" s="94">
        <v>71.995201418999983</v>
      </c>
      <c r="R155" s="94">
        <v>161.23259580600001</v>
      </c>
      <c r="S155" s="95">
        <v>1.9627617133240838E-3</v>
      </c>
      <c r="T155" s="95">
        <f t="shared" si="2"/>
        <v>6.3894783955305648E-4</v>
      </c>
      <c r="U155" s="95">
        <f>R155/'סכום נכסי הקרן'!$C$42</f>
        <v>1.6965385666023276E-4</v>
      </c>
    </row>
    <row r="156" spans="2:21">
      <c r="B156" s="87" t="s">
        <v>700</v>
      </c>
      <c r="C156" s="84" t="s">
        <v>701</v>
      </c>
      <c r="D156" s="97" t="s">
        <v>124</v>
      </c>
      <c r="E156" s="97" t="s">
        <v>351</v>
      </c>
      <c r="F156" s="84" t="s">
        <v>702</v>
      </c>
      <c r="G156" s="97" t="s">
        <v>421</v>
      </c>
      <c r="H156" s="84" t="s">
        <v>703</v>
      </c>
      <c r="I156" s="84" t="s">
        <v>355</v>
      </c>
      <c r="J156" s="84"/>
      <c r="K156" s="94">
        <v>0.62</v>
      </c>
      <c r="L156" s="97" t="s">
        <v>168</v>
      </c>
      <c r="M156" s="98">
        <v>5.4000000000000006E-2</v>
      </c>
      <c r="N156" s="98">
        <v>1.8100000000000002E-2</v>
      </c>
      <c r="O156" s="94">
        <v>70224.090867000006</v>
      </c>
      <c r="P156" s="96">
        <v>106.24</v>
      </c>
      <c r="Q156" s="84"/>
      <c r="R156" s="94">
        <v>74.606074800000002</v>
      </c>
      <c r="S156" s="95">
        <v>1.9506691907500001E-3</v>
      </c>
      <c r="T156" s="95">
        <f t="shared" si="2"/>
        <v>2.9565603699856696E-4</v>
      </c>
      <c r="U156" s="95">
        <f>R156/'סכום נכסי הקרן'!$C$42</f>
        <v>7.8502788203765848E-5</v>
      </c>
    </row>
    <row r="157" spans="2:21">
      <c r="B157" s="87" t="s">
        <v>704</v>
      </c>
      <c r="C157" s="84" t="s">
        <v>705</v>
      </c>
      <c r="D157" s="97" t="s">
        <v>124</v>
      </c>
      <c r="E157" s="97" t="s">
        <v>351</v>
      </c>
      <c r="F157" s="84" t="s">
        <v>702</v>
      </c>
      <c r="G157" s="97" t="s">
        <v>421</v>
      </c>
      <c r="H157" s="84" t="s">
        <v>703</v>
      </c>
      <c r="I157" s="84" t="s">
        <v>355</v>
      </c>
      <c r="J157" s="84"/>
      <c r="K157" s="94">
        <v>1.7599999999973057</v>
      </c>
      <c r="L157" s="97" t="s">
        <v>168</v>
      </c>
      <c r="M157" s="98">
        <v>2.5000000000000001E-2</v>
      </c>
      <c r="N157" s="98">
        <v>4.3999999999932642E-2</v>
      </c>
      <c r="O157" s="94">
        <v>242151.22518099996</v>
      </c>
      <c r="P157" s="96">
        <v>98.1</v>
      </c>
      <c r="Q157" s="84"/>
      <c r="R157" s="94">
        <v>237.55034731400002</v>
      </c>
      <c r="S157" s="95">
        <v>6.2169768947087942E-4</v>
      </c>
      <c r="T157" s="95">
        <f t="shared" si="2"/>
        <v>9.4138707153228261E-4</v>
      </c>
      <c r="U157" s="95">
        <f>R157/'סכום נכסי הקרן'!$C$42</f>
        <v>2.4995772332096956E-4</v>
      </c>
    </row>
    <row r="158" spans="2:21">
      <c r="B158" s="87" t="s">
        <v>706</v>
      </c>
      <c r="C158" s="84" t="s">
        <v>707</v>
      </c>
      <c r="D158" s="97" t="s">
        <v>124</v>
      </c>
      <c r="E158" s="97" t="s">
        <v>351</v>
      </c>
      <c r="F158" s="84" t="s">
        <v>708</v>
      </c>
      <c r="G158" s="97" t="s">
        <v>709</v>
      </c>
      <c r="H158" s="84" t="s">
        <v>710</v>
      </c>
      <c r="I158" s="84" t="s">
        <v>355</v>
      </c>
      <c r="J158" s="84"/>
      <c r="K158" s="94">
        <v>0.38000000000108974</v>
      </c>
      <c r="L158" s="97" t="s">
        <v>168</v>
      </c>
      <c r="M158" s="98">
        <v>4.9000000000000002E-2</v>
      </c>
      <c r="N158" s="98">
        <v>0</v>
      </c>
      <c r="O158" s="94">
        <v>376403.26135600003</v>
      </c>
      <c r="P158" s="96">
        <v>24.38</v>
      </c>
      <c r="Q158" s="84"/>
      <c r="R158" s="94">
        <v>91.767103554999991</v>
      </c>
      <c r="S158" s="95">
        <v>5.1890586227481238E-4</v>
      </c>
      <c r="T158" s="95">
        <f t="shared" si="2"/>
        <v>3.6366339117345449E-4</v>
      </c>
      <c r="U158" s="95">
        <f>R158/'סכום נכסי הקרן'!$C$42</f>
        <v>9.6560146258374278E-5</v>
      </c>
    </row>
    <row r="159" spans="2:21">
      <c r="B159" s="83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94"/>
      <c r="P159" s="96"/>
      <c r="Q159" s="84"/>
      <c r="R159" s="84"/>
      <c r="S159" s="84"/>
      <c r="T159" s="95"/>
      <c r="U159" s="84"/>
    </row>
    <row r="160" spans="2:21">
      <c r="B160" s="102" t="s">
        <v>48</v>
      </c>
      <c r="C160" s="82"/>
      <c r="D160" s="82"/>
      <c r="E160" s="82"/>
      <c r="F160" s="82"/>
      <c r="G160" s="82"/>
      <c r="H160" s="82"/>
      <c r="I160" s="82"/>
      <c r="J160" s="82"/>
      <c r="K160" s="91">
        <v>4.651823619016441</v>
      </c>
      <c r="L160" s="82"/>
      <c r="M160" s="82"/>
      <c r="N160" s="104">
        <v>1.8351536215257605E-2</v>
      </c>
      <c r="O160" s="91"/>
      <c r="P160" s="93"/>
      <c r="Q160" s="91">
        <v>85.788960258000003</v>
      </c>
      <c r="R160" s="91">
        <f>SUM(R161:R241)</f>
        <v>46183.698218802019</v>
      </c>
      <c r="S160" s="82"/>
      <c r="T160" s="92">
        <f t="shared" ref="T160:T222" si="3">R160/$R$11</f>
        <v>0.18302114440295927</v>
      </c>
      <c r="U160" s="92">
        <f>R160/'סכום נכסי הקרן'!$C$42</f>
        <v>4.8595896372466071E-2</v>
      </c>
    </row>
    <row r="161" spans="2:21">
      <c r="B161" s="87" t="s">
        <v>711</v>
      </c>
      <c r="C161" s="84" t="s">
        <v>712</v>
      </c>
      <c r="D161" s="97" t="s">
        <v>124</v>
      </c>
      <c r="E161" s="97" t="s">
        <v>351</v>
      </c>
      <c r="F161" s="84" t="s">
        <v>366</v>
      </c>
      <c r="G161" s="97" t="s">
        <v>359</v>
      </c>
      <c r="H161" s="84" t="s">
        <v>367</v>
      </c>
      <c r="I161" s="84" t="s">
        <v>164</v>
      </c>
      <c r="J161" s="84"/>
      <c r="K161" s="94">
        <v>0.52997521602250663</v>
      </c>
      <c r="L161" s="97" t="s">
        <v>168</v>
      </c>
      <c r="M161" s="98">
        <v>1.95E-2</v>
      </c>
      <c r="N161" s="98">
        <v>4.100073682095251E-3</v>
      </c>
      <c r="O161" s="94">
        <v>1.4514000000000001E-2</v>
      </c>
      <c r="P161" s="96">
        <v>102.7</v>
      </c>
      <c r="Q161" s="84"/>
      <c r="R161" s="94">
        <v>1.4928999999999999E-5</v>
      </c>
      <c r="S161" s="95">
        <v>3.1782465860591892E-11</v>
      </c>
      <c r="T161" s="95">
        <f t="shared" si="3"/>
        <v>5.9162058695408083E-11</v>
      </c>
      <c r="U161" s="95">
        <f>R161/'סכום נכסי הקרן'!$C$42</f>
        <v>1.5708749297369819E-11</v>
      </c>
    </row>
    <row r="162" spans="2:21">
      <c r="B162" s="87" t="s">
        <v>713</v>
      </c>
      <c r="C162" s="84" t="s">
        <v>714</v>
      </c>
      <c r="D162" s="97" t="s">
        <v>124</v>
      </c>
      <c r="E162" s="97" t="s">
        <v>351</v>
      </c>
      <c r="F162" s="84" t="s">
        <v>415</v>
      </c>
      <c r="G162" s="97" t="s">
        <v>359</v>
      </c>
      <c r="H162" s="84" t="s">
        <v>367</v>
      </c>
      <c r="I162" s="84" t="s">
        <v>164</v>
      </c>
      <c r="J162" s="84"/>
      <c r="K162" s="94">
        <v>2.8799999999973043</v>
      </c>
      <c r="L162" s="97" t="s">
        <v>168</v>
      </c>
      <c r="M162" s="98">
        <v>1.8700000000000001E-2</v>
      </c>
      <c r="N162" s="98">
        <v>6.7999999999842744E-3</v>
      </c>
      <c r="O162" s="94">
        <v>343848.23002100008</v>
      </c>
      <c r="P162" s="96">
        <v>103.56</v>
      </c>
      <c r="Q162" s="84"/>
      <c r="R162" s="94">
        <v>356.08923081699999</v>
      </c>
      <c r="S162" s="95">
        <v>2.4864374211459579E-4</v>
      </c>
      <c r="T162" s="95">
        <f t="shared" si="3"/>
        <v>1.4111442142406103E-3</v>
      </c>
      <c r="U162" s="95">
        <f>R162/'סכום נכסי הקרן'!$C$42</f>
        <v>3.7468795327198794E-4</v>
      </c>
    </row>
    <row r="163" spans="2:21">
      <c r="B163" s="87" t="s">
        <v>715</v>
      </c>
      <c r="C163" s="84" t="s">
        <v>716</v>
      </c>
      <c r="D163" s="97" t="s">
        <v>124</v>
      </c>
      <c r="E163" s="97" t="s">
        <v>351</v>
      </c>
      <c r="F163" s="84" t="s">
        <v>415</v>
      </c>
      <c r="G163" s="97" t="s">
        <v>359</v>
      </c>
      <c r="H163" s="84" t="s">
        <v>367</v>
      </c>
      <c r="I163" s="84" t="s">
        <v>164</v>
      </c>
      <c r="J163" s="84"/>
      <c r="K163" s="94">
        <v>5.6000000000001329</v>
      </c>
      <c r="L163" s="97" t="s">
        <v>168</v>
      </c>
      <c r="M163" s="98">
        <v>2.6800000000000001E-2</v>
      </c>
      <c r="N163" s="98">
        <v>1.0900000000001858E-2</v>
      </c>
      <c r="O163" s="94">
        <v>2763918.3755610003</v>
      </c>
      <c r="P163" s="96">
        <v>109.2</v>
      </c>
      <c r="Q163" s="84"/>
      <c r="R163" s="94">
        <v>3018.1988968159999</v>
      </c>
      <c r="S163" s="95">
        <v>1.1476189624482938E-3</v>
      </c>
      <c r="T163" s="95">
        <f t="shared" si="3"/>
        <v>1.1960805163630794E-2</v>
      </c>
      <c r="U163" s="95">
        <f>R163/'סכום נכסי הקרן'!$C$42</f>
        <v>3.1758409672235717E-3</v>
      </c>
    </row>
    <row r="164" spans="2:21">
      <c r="B164" s="87" t="s">
        <v>717</v>
      </c>
      <c r="C164" s="84" t="s">
        <v>718</v>
      </c>
      <c r="D164" s="97" t="s">
        <v>124</v>
      </c>
      <c r="E164" s="97" t="s">
        <v>351</v>
      </c>
      <c r="F164" s="84" t="s">
        <v>358</v>
      </c>
      <c r="G164" s="97" t="s">
        <v>359</v>
      </c>
      <c r="H164" s="84" t="s">
        <v>354</v>
      </c>
      <c r="I164" s="84" t="s">
        <v>355</v>
      </c>
      <c r="J164" s="84"/>
      <c r="K164" s="94">
        <v>0.25000000000302092</v>
      </c>
      <c r="L164" s="97" t="s">
        <v>168</v>
      </c>
      <c r="M164" s="98">
        <v>1.2E-2</v>
      </c>
      <c r="N164" s="98">
        <v>4.0000000000120842E-3</v>
      </c>
      <c r="O164" s="94">
        <v>164686.91751</v>
      </c>
      <c r="P164" s="96">
        <v>100.2</v>
      </c>
      <c r="Q164" s="94">
        <v>0.49812853900000004</v>
      </c>
      <c r="R164" s="94">
        <v>165.514419882</v>
      </c>
      <c r="S164" s="95">
        <v>5.4895639169999998E-4</v>
      </c>
      <c r="T164" s="95">
        <f t="shared" si="3"/>
        <v>6.5591625855685603E-4</v>
      </c>
      <c r="U164" s="95">
        <f>R164/'סכום נכסי הקרן'!$C$42</f>
        <v>1.7415932259534736E-4</v>
      </c>
    </row>
    <row r="165" spans="2:21">
      <c r="B165" s="87" t="s">
        <v>719</v>
      </c>
      <c r="C165" s="84" t="s">
        <v>720</v>
      </c>
      <c r="D165" s="97" t="s">
        <v>124</v>
      </c>
      <c r="E165" s="97" t="s">
        <v>351</v>
      </c>
      <c r="F165" s="84" t="s">
        <v>377</v>
      </c>
      <c r="G165" s="97" t="s">
        <v>359</v>
      </c>
      <c r="H165" s="84" t="s">
        <v>367</v>
      </c>
      <c r="I165" s="84" t="s">
        <v>164</v>
      </c>
      <c r="J165" s="84"/>
      <c r="K165" s="94">
        <v>5.0499999999967979</v>
      </c>
      <c r="L165" s="97" t="s">
        <v>168</v>
      </c>
      <c r="M165" s="98">
        <v>2.98E-2</v>
      </c>
      <c r="N165" s="98">
        <v>1.0199999999995199E-2</v>
      </c>
      <c r="O165" s="94">
        <v>669310.56612700003</v>
      </c>
      <c r="P165" s="96">
        <v>111.99</v>
      </c>
      <c r="Q165" s="84"/>
      <c r="R165" s="94">
        <v>749.56088066799998</v>
      </c>
      <c r="S165" s="95">
        <v>2.6328927656070093E-4</v>
      </c>
      <c r="T165" s="95">
        <f t="shared" si="3"/>
        <v>2.9704310280569356E-3</v>
      </c>
      <c r="U165" s="95">
        <f>R165/'סכום נכסי הקרן'!$C$42</f>
        <v>7.8871082842315947E-4</v>
      </c>
    </row>
    <row r="166" spans="2:21">
      <c r="B166" s="87" t="s">
        <v>721</v>
      </c>
      <c r="C166" s="84" t="s">
        <v>722</v>
      </c>
      <c r="D166" s="97" t="s">
        <v>124</v>
      </c>
      <c r="E166" s="97" t="s">
        <v>351</v>
      </c>
      <c r="F166" s="84" t="s">
        <v>377</v>
      </c>
      <c r="G166" s="97" t="s">
        <v>359</v>
      </c>
      <c r="H166" s="84" t="s">
        <v>367</v>
      </c>
      <c r="I166" s="84" t="s">
        <v>164</v>
      </c>
      <c r="J166" s="84"/>
      <c r="K166" s="94">
        <v>2.3599999999993897</v>
      </c>
      <c r="L166" s="97" t="s">
        <v>168</v>
      </c>
      <c r="M166" s="98">
        <v>2.4700000000000003E-2</v>
      </c>
      <c r="N166" s="98">
        <v>6.9999999999953069E-3</v>
      </c>
      <c r="O166" s="94">
        <v>806623.62216300005</v>
      </c>
      <c r="P166" s="96">
        <v>105.65</v>
      </c>
      <c r="Q166" s="84"/>
      <c r="R166" s="94">
        <v>852.19786998199993</v>
      </c>
      <c r="S166" s="95">
        <v>2.4213987691123101E-4</v>
      </c>
      <c r="T166" s="95">
        <f t="shared" si="3"/>
        <v>3.3771706346022393E-3</v>
      </c>
      <c r="U166" s="95">
        <f>R166/'סכום נכסי הקרן'!$C$42</f>
        <v>8.9670860012725558E-4</v>
      </c>
    </row>
    <row r="167" spans="2:21">
      <c r="B167" s="87" t="s">
        <v>723</v>
      </c>
      <c r="C167" s="84" t="s">
        <v>724</v>
      </c>
      <c r="D167" s="97" t="s">
        <v>124</v>
      </c>
      <c r="E167" s="97" t="s">
        <v>351</v>
      </c>
      <c r="F167" s="84" t="s">
        <v>725</v>
      </c>
      <c r="G167" s="97" t="s">
        <v>359</v>
      </c>
      <c r="H167" s="84" t="s">
        <v>354</v>
      </c>
      <c r="I167" s="84" t="s">
        <v>355</v>
      </c>
      <c r="J167" s="84"/>
      <c r="K167" s="94">
        <v>2.189999999999233</v>
      </c>
      <c r="L167" s="97" t="s">
        <v>168</v>
      </c>
      <c r="M167" s="98">
        <v>2.07E-2</v>
      </c>
      <c r="N167" s="98">
        <v>6.7999999999846603E-3</v>
      </c>
      <c r="O167" s="94">
        <v>249197.99106599999</v>
      </c>
      <c r="P167" s="96">
        <v>104.65</v>
      </c>
      <c r="Q167" s="84"/>
      <c r="R167" s="94">
        <v>260.78569837999999</v>
      </c>
      <c r="S167" s="95">
        <v>9.8317305115934082E-4</v>
      </c>
      <c r="T167" s="95">
        <f t="shared" si="3"/>
        <v>1.0334663269127571E-3</v>
      </c>
      <c r="U167" s="95">
        <f>R167/'סכום נכסי הקרן'!$C$42</f>
        <v>2.7440666864431124E-4</v>
      </c>
    </row>
    <row r="168" spans="2:21">
      <c r="B168" s="87" t="s">
        <v>726</v>
      </c>
      <c r="C168" s="84" t="s">
        <v>727</v>
      </c>
      <c r="D168" s="97" t="s">
        <v>124</v>
      </c>
      <c r="E168" s="97" t="s">
        <v>351</v>
      </c>
      <c r="F168" s="84" t="s">
        <v>728</v>
      </c>
      <c r="G168" s="97" t="s">
        <v>421</v>
      </c>
      <c r="H168" s="84" t="s">
        <v>367</v>
      </c>
      <c r="I168" s="84" t="s">
        <v>164</v>
      </c>
      <c r="J168" s="84"/>
      <c r="K168" s="94">
        <v>4.1199999999991297</v>
      </c>
      <c r="L168" s="97" t="s">
        <v>168</v>
      </c>
      <c r="M168" s="98">
        <v>1.44E-2</v>
      </c>
      <c r="N168" s="98">
        <v>8.7999999999959048E-3</v>
      </c>
      <c r="O168" s="94">
        <v>760899.25000600005</v>
      </c>
      <c r="P168" s="96">
        <v>102.7</v>
      </c>
      <c r="Q168" s="84"/>
      <c r="R168" s="94">
        <v>781.443529764</v>
      </c>
      <c r="S168" s="95">
        <v>8.9517558824235295E-4</v>
      </c>
      <c r="T168" s="95">
        <f t="shared" si="3"/>
        <v>3.0967786171240304E-3</v>
      </c>
      <c r="U168" s="95">
        <f>R168/'סכום נכסי הקרן'!$C$42</f>
        <v>8.2225872457059599E-4</v>
      </c>
    </row>
    <row r="169" spans="2:21">
      <c r="B169" s="87" t="s">
        <v>729</v>
      </c>
      <c r="C169" s="84" t="s">
        <v>730</v>
      </c>
      <c r="D169" s="97" t="s">
        <v>124</v>
      </c>
      <c r="E169" s="97" t="s">
        <v>351</v>
      </c>
      <c r="F169" s="84" t="s">
        <v>731</v>
      </c>
      <c r="G169" s="97" t="s">
        <v>732</v>
      </c>
      <c r="H169" s="84" t="s">
        <v>410</v>
      </c>
      <c r="I169" s="84" t="s">
        <v>164</v>
      </c>
      <c r="J169" s="84"/>
      <c r="K169" s="94">
        <v>0.5</v>
      </c>
      <c r="L169" s="97" t="s">
        <v>168</v>
      </c>
      <c r="M169" s="98">
        <v>4.8399999999999999E-2</v>
      </c>
      <c r="N169" s="98">
        <v>2.7999999999360958E-3</v>
      </c>
      <c r="O169" s="94">
        <v>67318.409541000001</v>
      </c>
      <c r="P169" s="96">
        <v>102.28</v>
      </c>
      <c r="Q169" s="84"/>
      <c r="R169" s="94">
        <v>68.853272247999996</v>
      </c>
      <c r="S169" s="95">
        <v>3.2056385495714284E-4</v>
      </c>
      <c r="T169" s="95">
        <f t="shared" si="3"/>
        <v>2.7285828482196322E-4</v>
      </c>
      <c r="U169" s="95">
        <f>R169/'סכום נכסי הקרן'!$C$42</f>
        <v>7.2449513835312675E-5</v>
      </c>
    </row>
    <row r="170" spans="2:21">
      <c r="B170" s="87" t="s">
        <v>733</v>
      </c>
      <c r="C170" s="84" t="s">
        <v>734</v>
      </c>
      <c r="D170" s="97" t="s">
        <v>124</v>
      </c>
      <c r="E170" s="97" t="s">
        <v>351</v>
      </c>
      <c r="F170" s="84" t="s">
        <v>415</v>
      </c>
      <c r="G170" s="97" t="s">
        <v>359</v>
      </c>
      <c r="H170" s="84" t="s">
        <v>410</v>
      </c>
      <c r="I170" s="84" t="s">
        <v>164</v>
      </c>
      <c r="J170" s="84"/>
      <c r="K170" s="94">
        <v>1.4100000000026867</v>
      </c>
      <c r="L170" s="97" t="s">
        <v>168</v>
      </c>
      <c r="M170" s="98">
        <v>6.4000000000000001E-2</v>
      </c>
      <c r="N170" s="98">
        <v>5.9000000000084853E-3</v>
      </c>
      <c r="O170" s="94">
        <v>260239.78107</v>
      </c>
      <c r="P170" s="96">
        <v>108.69</v>
      </c>
      <c r="Q170" s="84"/>
      <c r="R170" s="94">
        <v>282.85461656400003</v>
      </c>
      <c r="S170" s="95">
        <v>1.0662855383877868E-3</v>
      </c>
      <c r="T170" s="95">
        <f t="shared" si="3"/>
        <v>1.1209231313166668E-3</v>
      </c>
      <c r="U170" s="95">
        <f>R170/'סכום נכסי הקרן'!$C$42</f>
        <v>2.9762825770028437E-4</v>
      </c>
    </row>
    <row r="171" spans="2:21">
      <c r="B171" s="87" t="s">
        <v>735</v>
      </c>
      <c r="C171" s="84" t="s">
        <v>736</v>
      </c>
      <c r="D171" s="97" t="s">
        <v>124</v>
      </c>
      <c r="E171" s="97" t="s">
        <v>351</v>
      </c>
      <c r="F171" s="84" t="s">
        <v>427</v>
      </c>
      <c r="G171" s="97" t="s">
        <v>421</v>
      </c>
      <c r="H171" s="84" t="s">
        <v>410</v>
      </c>
      <c r="I171" s="84" t="s">
        <v>164</v>
      </c>
      <c r="J171" s="84"/>
      <c r="K171" s="94">
        <v>3.4199999999979078</v>
      </c>
      <c r="L171" s="97" t="s">
        <v>168</v>
      </c>
      <c r="M171" s="98">
        <v>1.6299999999999999E-2</v>
      </c>
      <c r="N171" s="98">
        <v>6.9999999999938471E-3</v>
      </c>
      <c r="O171" s="94">
        <v>787439.57423899998</v>
      </c>
      <c r="P171" s="96">
        <v>103.2</v>
      </c>
      <c r="Q171" s="84"/>
      <c r="R171" s="94">
        <v>812.63764063500003</v>
      </c>
      <c r="S171" s="95">
        <v>9.4503446698846307E-4</v>
      </c>
      <c r="T171" s="95">
        <f t="shared" si="3"/>
        <v>3.2203976015369963E-3</v>
      </c>
      <c r="U171" s="95">
        <f>R171/'סכום נכסי הקרן'!$C$42</f>
        <v>8.5508211978975988E-4</v>
      </c>
    </row>
    <row r="172" spans="2:21">
      <c r="B172" s="87" t="s">
        <v>737</v>
      </c>
      <c r="C172" s="84" t="s">
        <v>738</v>
      </c>
      <c r="D172" s="97" t="s">
        <v>124</v>
      </c>
      <c r="E172" s="97" t="s">
        <v>351</v>
      </c>
      <c r="F172" s="84" t="s">
        <v>399</v>
      </c>
      <c r="G172" s="97" t="s">
        <v>359</v>
      </c>
      <c r="H172" s="84" t="s">
        <v>410</v>
      </c>
      <c r="I172" s="84" t="s">
        <v>164</v>
      </c>
      <c r="J172" s="84"/>
      <c r="K172" s="94">
        <v>0.72999999999903287</v>
      </c>
      <c r="L172" s="97" t="s">
        <v>168</v>
      </c>
      <c r="M172" s="98">
        <v>6.0999999999999999E-2</v>
      </c>
      <c r="N172" s="98">
        <v>4.299999999993448E-3</v>
      </c>
      <c r="O172" s="94">
        <v>294542.59331999999</v>
      </c>
      <c r="P172" s="96">
        <v>108.81</v>
      </c>
      <c r="Q172" s="84"/>
      <c r="R172" s="94">
        <v>320.49180564699998</v>
      </c>
      <c r="S172" s="95">
        <v>4.2986124556095625E-4</v>
      </c>
      <c r="T172" s="95">
        <f t="shared" si="3"/>
        <v>1.2700753578327507E-3</v>
      </c>
      <c r="U172" s="95">
        <f>R172/'סכום נכסי הקרן'!$C$42</f>
        <v>3.3723125639829161E-4</v>
      </c>
    </row>
    <row r="173" spans="2:21">
      <c r="B173" s="87" t="s">
        <v>739</v>
      </c>
      <c r="C173" s="84" t="s">
        <v>740</v>
      </c>
      <c r="D173" s="97" t="s">
        <v>124</v>
      </c>
      <c r="E173" s="97" t="s">
        <v>351</v>
      </c>
      <c r="F173" s="84" t="s">
        <v>741</v>
      </c>
      <c r="G173" s="97" t="s">
        <v>742</v>
      </c>
      <c r="H173" s="84" t="s">
        <v>410</v>
      </c>
      <c r="I173" s="84" t="s">
        <v>164</v>
      </c>
      <c r="J173" s="84"/>
      <c r="K173" s="94">
        <v>4.9199999999991944</v>
      </c>
      <c r="L173" s="97" t="s">
        <v>168</v>
      </c>
      <c r="M173" s="98">
        <v>2.6099999999999998E-2</v>
      </c>
      <c r="N173" s="98">
        <v>1.0199999999994819E-2</v>
      </c>
      <c r="O173" s="94">
        <v>643319.54586199997</v>
      </c>
      <c r="P173" s="96">
        <v>108.02</v>
      </c>
      <c r="Q173" s="84"/>
      <c r="R173" s="94">
        <v>694.91377346800004</v>
      </c>
      <c r="S173" s="95">
        <v>1.0666667979778216E-3</v>
      </c>
      <c r="T173" s="95">
        <f t="shared" si="3"/>
        <v>2.753870282950053E-3</v>
      </c>
      <c r="U173" s="95">
        <f>R173/'סכום נכסי הקרן'!$C$42</f>
        <v>7.3120947489437038E-4</v>
      </c>
    </row>
    <row r="174" spans="2:21">
      <c r="B174" s="87" t="s">
        <v>743</v>
      </c>
      <c r="C174" s="84" t="s">
        <v>744</v>
      </c>
      <c r="D174" s="97" t="s">
        <v>124</v>
      </c>
      <c r="E174" s="97" t="s">
        <v>351</v>
      </c>
      <c r="F174" s="84" t="s">
        <v>458</v>
      </c>
      <c r="G174" s="97" t="s">
        <v>421</v>
      </c>
      <c r="H174" s="84" t="s">
        <v>459</v>
      </c>
      <c r="I174" s="84" t="s">
        <v>164</v>
      </c>
      <c r="J174" s="84"/>
      <c r="K174" s="94">
        <v>3.7500000000009348</v>
      </c>
      <c r="L174" s="97" t="s">
        <v>168</v>
      </c>
      <c r="M174" s="98">
        <v>3.39E-2</v>
      </c>
      <c r="N174" s="98">
        <v>1.129999999999888E-2</v>
      </c>
      <c r="O174" s="94">
        <v>955703.42304499994</v>
      </c>
      <c r="P174" s="96">
        <v>108.55</v>
      </c>
      <c r="Q174" s="94">
        <v>32.398345999</v>
      </c>
      <c r="R174" s="94">
        <v>1069.8144116239998</v>
      </c>
      <c r="S174" s="95">
        <v>8.8065984383801552E-4</v>
      </c>
      <c r="T174" s="95">
        <f t="shared" si="3"/>
        <v>4.2395621283202187E-3</v>
      </c>
      <c r="U174" s="95">
        <f>R174/'סכום נכסי הקרן'!$C$42</f>
        <v>1.1256913649216032E-3</v>
      </c>
    </row>
    <row r="175" spans="2:21">
      <c r="B175" s="87" t="s">
        <v>745</v>
      </c>
      <c r="C175" s="84" t="s">
        <v>746</v>
      </c>
      <c r="D175" s="97" t="s">
        <v>124</v>
      </c>
      <c r="E175" s="97" t="s">
        <v>351</v>
      </c>
      <c r="F175" s="84" t="s">
        <v>372</v>
      </c>
      <c r="G175" s="97" t="s">
        <v>359</v>
      </c>
      <c r="H175" s="84" t="s">
        <v>459</v>
      </c>
      <c r="I175" s="84" t="s">
        <v>164</v>
      </c>
      <c r="J175" s="84"/>
      <c r="K175" s="94">
        <v>1.0899999999999814</v>
      </c>
      <c r="L175" s="97" t="s">
        <v>168</v>
      </c>
      <c r="M175" s="98">
        <v>1.55E-2</v>
      </c>
      <c r="N175" s="98">
        <v>5.6000000000029368E-3</v>
      </c>
      <c r="O175" s="94">
        <v>1075393.775255</v>
      </c>
      <c r="P175" s="96">
        <v>101.32</v>
      </c>
      <c r="Q175" s="84"/>
      <c r="R175" s="94">
        <v>1089.589023578</v>
      </c>
      <c r="S175" s="95">
        <v>1.3274087153122142E-3</v>
      </c>
      <c r="T175" s="95">
        <f t="shared" si="3"/>
        <v>4.3179268381535281E-3</v>
      </c>
      <c r="U175" s="95">
        <f>R175/'סכום נכסי הקרן'!$C$42</f>
        <v>1.1464988149610005E-3</v>
      </c>
    </row>
    <row r="176" spans="2:21">
      <c r="B176" s="87" t="s">
        <v>747</v>
      </c>
      <c r="C176" s="84" t="s">
        <v>748</v>
      </c>
      <c r="D176" s="97" t="s">
        <v>124</v>
      </c>
      <c r="E176" s="97" t="s">
        <v>351</v>
      </c>
      <c r="F176" s="84" t="s">
        <v>477</v>
      </c>
      <c r="G176" s="97" t="s">
        <v>421</v>
      </c>
      <c r="H176" s="84" t="s">
        <v>451</v>
      </c>
      <c r="I176" s="84" t="s">
        <v>355</v>
      </c>
      <c r="J176" s="84"/>
      <c r="K176" s="94">
        <v>6.6800000000009554</v>
      </c>
      <c r="L176" s="97" t="s">
        <v>168</v>
      </c>
      <c r="M176" s="98">
        <v>2.5499999999999998E-2</v>
      </c>
      <c r="N176" s="98">
        <v>1.6300000000002753E-2</v>
      </c>
      <c r="O176" s="94">
        <v>2838558.8132959995</v>
      </c>
      <c r="P176" s="96">
        <v>106.19</v>
      </c>
      <c r="Q176" s="84"/>
      <c r="R176" s="94">
        <v>3014.2656984589999</v>
      </c>
      <c r="S176" s="95">
        <v>2.1794904814604714E-3</v>
      </c>
      <c r="T176" s="95">
        <f t="shared" si="3"/>
        <v>1.1945218311727953E-2</v>
      </c>
      <c r="U176" s="95">
        <f>R176/'סכום נכסי הקרן'!$C$42</f>
        <v>3.1717023359068767E-3</v>
      </c>
    </row>
    <row r="177" spans="2:21">
      <c r="B177" s="87" t="s">
        <v>750</v>
      </c>
      <c r="C177" s="84" t="s">
        <v>751</v>
      </c>
      <c r="D177" s="97" t="s">
        <v>124</v>
      </c>
      <c r="E177" s="97" t="s">
        <v>351</v>
      </c>
      <c r="F177" s="84" t="s">
        <v>484</v>
      </c>
      <c r="G177" s="97" t="s">
        <v>485</v>
      </c>
      <c r="H177" s="84" t="s">
        <v>459</v>
      </c>
      <c r="I177" s="84" t="s">
        <v>164</v>
      </c>
      <c r="J177" s="84"/>
      <c r="K177" s="94">
        <v>2.6199999999994348</v>
      </c>
      <c r="L177" s="97" t="s">
        <v>168</v>
      </c>
      <c r="M177" s="98">
        <v>4.8000000000000001E-2</v>
      </c>
      <c r="N177" s="98">
        <v>7.8999999999981169E-3</v>
      </c>
      <c r="O177" s="94">
        <v>1327241.3280470001</v>
      </c>
      <c r="P177" s="96">
        <v>112</v>
      </c>
      <c r="Q177" s="84"/>
      <c r="R177" s="94">
        <v>1486.5103316319999</v>
      </c>
      <c r="S177" s="95">
        <v>6.6753568001497057E-4</v>
      </c>
      <c r="T177" s="95">
        <f t="shared" si="3"/>
        <v>5.8908842850387113E-3</v>
      </c>
      <c r="U177" s="95">
        <f>R177/'סכום נכסי הקרן'!$C$42</f>
        <v>1.564151525725578E-3</v>
      </c>
    </row>
    <row r="178" spans="2:21">
      <c r="B178" s="87" t="s">
        <v>752</v>
      </c>
      <c r="C178" s="84" t="s">
        <v>753</v>
      </c>
      <c r="D178" s="97" t="s">
        <v>124</v>
      </c>
      <c r="E178" s="97" t="s">
        <v>351</v>
      </c>
      <c r="F178" s="84" t="s">
        <v>484</v>
      </c>
      <c r="G178" s="97" t="s">
        <v>485</v>
      </c>
      <c r="H178" s="84" t="s">
        <v>459</v>
      </c>
      <c r="I178" s="84" t="s">
        <v>164</v>
      </c>
      <c r="J178" s="84"/>
      <c r="K178" s="94">
        <v>1.1299999999872976</v>
      </c>
      <c r="L178" s="97" t="s">
        <v>168</v>
      </c>
      <c r="M178" s="98">
        <v>4.4999999999999998E-2</v>
      </c>
      <c r="N178" s="98">
        <v>5.0999999999727808E-3</v>
      </c>
      <c r="O178" s="94">
        <v>41536.187709999998</v>
      </c>
      <c r="P178" s="96">
        <v>106.14</v>
      </c>
      <c r="Q178" s="84"/>
      <c r="R178" s="94">
        <v>44.086509712000002</v>
      </c>
      <c r="S178" s="95">
        <v>6.9168416923671286E-5</v>
      </c>
      <c r="T178" s="95">
        <f t="shared" si="3"/>
        <v>1.7471020666200168E-4</v>
      </c>
      <c r="U178" s="95">
        <f>R178/'סכום נכסי הקרן'!$C$42</f>
        <v>4.6389170638479989E-5</v>
      </c>
    </row>
    <row r="179" spans="2:21">
      <c r="B179" s="87" t="s">
        <v>754</v>
      </c>
      <c r="C179" s="84" t="s">
        <v>755</v>
      </c>
      <c r="D179" s="97" t="s">
        <v>124</v>
      </c>
      <c r="E179" s="97" t="s">
        <v>351</v>
      </c>
      <c r="F179" s="84" t="s">
        <v>756</v>
      </c>
      <c r="G179" s="97" t="s">
        <v>161</v>
      </c>
      <c r="H179" s="84" t="s">
        <v>459</v>
      </c>
      <c r="I179" s="84" t="s">
        <v>164</v>
      </c>
      <c r="J179" s="84"/>
      <c r="K179" s="94">
        <v>2.3800000000009036</v>
      </c>
      <c r="L179" s="97" t="s">
        <v>168</v>
      </c>
      <c r="M179" s="98">
        <v>1.49E-2</v>
      </c>
      <c r="N179" s="98">
        <v>8.5000000000092051E-3</v>
      </c>
      <c r="O179" s="94">
        <v>587786.34708900005</v>
      </c>
      <c r="P179" s="96">
        <v>101.65</v>
      </c>
      <c r="Q179" s="84"/>
      <c r="R179" s="94">
        <v>597.484802317</v>
      </c>
      <c r="S179" s="95">
        <v>5.4518908807076679E-4</v>
      </c>
      <c r="T179" s="95">
        <f t="shared" si="3"/>
        <v>2.3677695052778253E-3</v>
      </c>
      <c r="U179" s="95">
        <f>R179/'סכום נכסי הקרן'!$C$42</f>
        <v>6.2869173880275434E-4</v>
      </c>
    </row>
    <row r="180" spans="2:21">
      <c r="B180" s="87" t="s">
        <v>757</v>
      </c>
      <c r="C180" s="84" t="s">
        <v>758</v>
      </c>
      <c r="D180" s="97" t="s">
        <v>124</v>
      </c>
      <c r="E180" s="97" t="s">
        <v>351</v>
      </c>
      <c r="F180" s="84" t="s">
        <v>372</v>
      </c>
      <c r="G180" s="97" t="s">
        <v>359</v>
      </c>
      <c r="H180" s="84" t="s">
        <v>451</v>
      </c>
      <c r="I180" s="84" t="s">
        <v>355</v>
      </c>
      <c r="J180" s="84"/>
      <c r="K180" s="94">
        <v>1.0400000000090863</v>
      </c>
      <c r="L180" s="97" t="s">
        <v>168</v>
      </c>
      <c r="M180" s="98">
        <v>3.2500000000000001E-2</v>
      </c>
      <c r="N180" s="98">
        <v>9.8000000000741244E-3</v>
      </c>
      <c r="O180" s="94">
        <f>81694.17625/50000</f>
        <v>1.6338835250000001</v>
      </c>
      <c r="P180" s="96">
        <v>5119199</v>
      </c>
      <c r="Q180" s="84"/>
      <c r="R180" s="94">
        <v>83.641747331000005</v>
      </c>
      <c r="S180" s="95">
        <f>441.232385903322%/50000</f>
        <v>8.8246477180664389E-5</v>
      </c>
      <c r="T180" s="95">
        <f t="shared" si="3"/>
        <v>3.3146345803356658E-4</v>
      </c>
      <c r="U180" s="95">
        <f>R180/'סכום נכסי הקרן'!$C$42</f>
        <v>8.8010398527472056E-5</v>
      </c>
    </row>
    <row r="181" spans="2:21">
      <c r="B181" s="87" t="s">
        <v>759</v>
      </c>
      <c r="C181" s="84" t="s">
        <v>760</v>
      </c>
      <c r="D181" s="97" t="s">
        <v>124</v>
      </c>
      <c r="E181" s="97" t="s">
        <v>351</v>
      </c>
      <c r="F181" s="84" t="s">
        <v>761</v>
      </c>
      <c r="G181" s="97" t="s">
        <v>421</v>
      </c>
      <c r="H181" s="84" t="s">
        <v>451</v>
      </c>
      <c r="I181" s="84" t="s">
        <v>355</v>
      </c>
      <c r="J181" s="84"/>
      <c r="K181" s="94">
        <v>3.3300000000028636</v>
      </c>
      <c r="L181" s="97" t="s">
        <v>168</v>
      </c>
      <c r="M181" s="98">
        <v>3.3799999999999997E-2</v>
      </c>
      <c r="N181" s="98">
        <v>1.9700000000007729E-2</v>
      </c>
      <c r="O181" s="94">
        <v>419903.74514299998</v>
      </c>
      <c r="P181" s="96">
        <v>104.77</v>
      </c>
      <c r="Q181" s="84"/>
      <c r="R181" s="94">
        <v>439.93315377799996</v>
      </c>
      <c r="S181" s="95">
        <v>5.1299800635408151E-4</v>
      </c>
      <c r="T181" s="95">
        <f t="shared" si="3"/>
        <v>1.7434088730571388E-3</v>
      </c>
      <c r="U181" s="95">
        <f>R181/'סכום נכסי הקרן'!$C$42</f>
        <v>4.6291108716590838E-4</v>
      </c>
    </row>
    <row r="182" spans="2:21">
      <c r="B182" s="87" t="s">
        <v>762</v>
      </c>
      <c r="C182" s="84" t="s">
        <v>763</v>
      </c>
      <c r="D182" s="97" t="s">
        <v>124</v>
      </c>
      <c r="E182" s="97" t="s">
        <v>351</v>
      </c>
      <c r="F182" s="84" t="s">
        <v>625</v>
      </c>
      <c r="G182" s="97" t="s">
        <v>481</v>
      </c>
      <c r="H182" s="84" t="s">
        <v>459</v>
      </c>
      <c r="I182" s="84" t="s">
        <v>164</v>
      </c>
      <c r="J182" s="84"/>
      <c r="K182" s="94">
        <v>3.7800000000079317</v>
      </c>
      <c r="L182" s="97" t="s">
        <v>168</v>
      </c>
      <c r="M182" s="98">
        <v>3.85E-2</v>
      </c>
      <c r="N182" s="98">
        <v>1.1200000000019828E-2</v>
      </c>
      <c r="O182" s="94">
        <v>89650.495291000014</v>
      </c>
      <c r="P182" s="96">
        <v>112.5</v>
      </c>
      <c r="Q182" s="84"/>
      <c r="R182" s="94">
        <v>100.85680424000002</v>
      </c>
      <c r="S182" s="95">
        <v>2.2478316703315442E-4</v>
      </c>
      <c r="T182" s="95">
        <f t="shared" si="3"/>
        <v>3.9968492010705102E-4</v>
      </c>
      <c r="U182" s="95">
        <f>R182/'סכום נכסי הקרן'!$C$42</f>
        <v>1.0612460665416744E-4</v>
      </c>
    </row>
    <row r="183" spans="2:21">
      <c r="B183" s="87" t="s">
        <v>764</v>
      </c>
      <c r="C183" s="84" t="s">
        <v>765</v>
      </c>
      <c r="D183" s="97" t="s">
        <v>124</v>
      </c>
      <c r="E183" s="97" t="s">
        <v>351</v>
      </c>
      <c r="F183" s="84" t="s">
        <v>530</v>
      </c>
      <c r="G183" s="97" t="s">
        <v>155</v>
      </c>
      <c r="H183" s="84" t="s">
        <v>451</v>
      </c>
      <c r="I183" s="84" t="s">
        <v>355</v>
      </c>
      <c r="J183" s="84"/>
      <c r="K183" s="94">
        <v>4.8299999999989387</v>
      </c>
      <c r="L183" s="97" t="s">
        <v>168</v>
      </c>
      <c r="M183" s="98">
        <v>5.0900000000000001E-2</v>
      </c>
      <c r="N183" s="98">
        <v>1.3699999999996462E-2</v>
      </c>
      <c r="O183" s="94">
        <v>590362.06382699998</v>
      </c>
      <c r="P183" s="96">
        <v>119.75</v>
      </c>
      <c r="Q183" s="84"/>
      <c r="R183" s="94">
        <v>706.95855832500001</v>
      </c>
      <c r="S183" s="95">
        <v>5.7181734348426259E-4</v>
      </c>
      <c r="T183" s="95">
        <f t="shared" si="3"/>
        <v>2.8016025000230918E-3</v>
      </c>
      <c r="U183" s="95">
        <f>R183/'סכום נכסי הקרן'!$C$42</f>
        <v>7.4388336501824803E-4</v>
      </c>
    </row>
    <row r="184" spans="2:21">
      <c r="B184" s="87" t="s">
        <v>766</v>
      </c>
      <c r="C184" s="84" t="s">
        <v>767</v>
      </c>
      <c r="D184" s="97" t="s">
        <v>124</v>
      </c>
      <c r="E184" s="97" t="s">
        <v>351</v>
      </c>
      <c r="F184" s="84" t="s">
        <v>768</v>
      </c>
      <c r="G184" s="97" t="s">
        <v>732</v>
      </c>
      <c r="H184" s="84" t="s">
        <v>451</v>
      </c>
      <c r="I184" s="84" t="s">
        <v>355</v>
      </c>
      <c r="J184" s="84"/>
      <c r="K184" s="94">
        <v>0.98999999979549735</v>
      </c>
      <c r="L184" s="97" t="s">
        <v>168</v>
      </c>
      <c r="M184" s="98">
        <v>4.0999999999999995E-2</v>
      </c>
      <c r="N184" s="98">
        <v>3.9999999987218602E-3</v>
      </c>
      <c r="O184" s="94">
        <v>1506.1108499999998</v>
      </c>
      <c r="P184" s="96">
        <v>103.69</v>
      </c>
      <c r="Q184" s="94">
        <v>1.567861495</v>
      </c>
      <c r="R184" s="94">
        <v>3.129547836</v>
      </c>
      <c r="S184" s="95">
        <v>1.0040739333333333E-5</v>
      </c>
      <c r="T184" s="95">
        <f t="shared" si="3"/>
        <v>1.2402069312312906E-5</v>
      </c>
      <c r="U184" s="95">
        <f>R184/'סכום נכסי הקרן'!$C$42</f>
        <v>3.2930057183903973E-6</v>
      </c>
    </row>
    <row r="185" spans="2:21">
      <c r="B185" s="87" t="s">
        <v>769</v>
      </c>
      <c r="C185" s="84" t="s">
        <v>770</v>
      </c>
      <c r="D185" s="97" t="s">
        <v>124</v>
      </c>
      <c r="E185" s="97" t="s">
        <v>351</v>
      </c>
      <c r="F185" s="84" t="s">
        <v>768</v>
      </c>
      <c r="G185" s="97" t="s">
        <v>732</v>
      </c>
      <c r="H185" s="84" t="s">
        <v>451</v>
      </c>
      <c r="I185" s="84" t="s">
        <v>355</v>
      </c>
      <c r="J185" s="84"/>
      <c r="K185" s="94">
        <v>2.8699999999961334</v>
      </c>
      <c r="L185" s="97" t="s">
        <v>168</v>
      </c>
      <c r="M185" s="98">
        <v>1.2E-2</v>
      </c>
      <c r="N185" s="98">
        <v>8.3999999999626648E-3</v>
      </c>
      <c r="O185" s="94">
        <v>148318.493105</v>
      </c>
      <c r="P185" s="96">
        <v>101.13</v>
      </c>
      <c r="Q185" s="84"/>
      <c r="R185" s="94">
        <v>149.994487134</v>
      </c>
      <c r="S185" s="95">
        <v>3.2010586803052604E-4</v>
      </c>
      <c r="T185" s="95">
        <f t="shared" si="3"/>
        <v>5.9441239545912931E-4</v>
      </c>
      <c r="U185" s="95">
        <f>R185/'סכום נכסי הקרן'!$C$42</f>
        <v>1.5782877583063627E-4</v>
      </c>
    </row>
    <row r="186" spans="2:21">
      <c r="B186" s="87" t="s">
        <v>771</v>
      </c>
      <c r="C186" s="84" t="s">
        <v>772</v>
      </c>
      <c r="D186" s="97" t="s">
        <v>124</v>
      </c>
      <c r="E186" s="97" t="s">
        <v>351</v>
      </c>
      <c r="F186" s="84" t="s">
        <v>538</v>
      </c>
      <c r="G186" s="97" t="s">
        <v>195</v>
      </c>
      <c r="H186" s="84" t="s">
        <v>535</v>
      </c>
      <c r="I186" s="84" t="s">
        <v>355</v>
      </c>
      <c r="J186" s="84"/>
      <c r="K186" s="94">
        <v>4.3799999999997716</v>
      </c>
      <c r="L186" s="97" t="s">
        <v>168</v>
      </c>
      <c r="M186" s="98">
        <v>3.6499999999999998E-2</v>
      </c>
      <c r="N186" s="98">
        <v>1.7600000000001143E-2</v>
      </c>
      <c r="O186" s="94">
        <v>1610186.5035049999</v>
      </c>
      <c r="P186" s="96">
        <v>108.86</v>
      </c>
      <c r="Q186" s="84"/>
      <c r="R186" s="94">
        <v>1752.84897413</v>
      </c>
      <c r="S186" s="95">
        <v>7.5068089757283094E-4</v>
      </c>
      <c r="T186" s="95">
        <f t="shared" si="3"/>
        <v>6.9463563461494354E-3</v>
      </c>
      <c r="U186" s="95">
        <f>R186/'סכום נכסי הקרן'!$C$42</f>
        <v>1.8444011715962254E-3</v>
      </c>
    </row>
    <row r="187" spans="2:21">
      <c r="B187" s="87" t="s">
        <v>773</v>
      </c>
      <c r="C187" s="84" t="s">
        <v>774</v>
      </c>
      <c r="D187" s="97" t="s">
        <v>124</v>
      </c>
      <c r="E187" s="97" t="s">
        <v>351</v>
      </c>
      <c r="F187" s="84" t="s">
        <v>468</v>
      </c>
      <c r="G187" s="97" t="s">
        <v>421</v>
      </c>
      <c r="H187" s="84" t="s">
        <v>543</v>
      </c>
      <c r="I187" s="84" t="s">
        <v>164</v>
      </c>
      <c r="J187" s="84"/>
      <c r="K187" s="94">
        <v>2.980000000004936</v>
      </c>
      <c r="L187" s="97" t="s">
        <v>168</v>
      </c>
      <c r="M187" s="98">
        <v>3.5000000000000003E-2</v>
      </c>
      <c r="N187" s="98">
        <v>6.5000000000284761E-3</v>
      </c>
      <c r="O187" s="94">
        <v>238386.635244</v>
      </c>
      <c r="P187" s="96">
        <v>108.73</v>
      </c>
      <c r="Q187" s="94">
        <v>4.1717661010000002</v>
      </c>
      <c r="R187" s="94">
        <v>263.36954406500001</v>
      </c>
      <c r="S187" s="95">
        <v>1.672785953451981E-3</v>
      </c>
      <c r="T187" s="95">
        <f t="shared" si="3"/>
        <v>1.0437058359271483E-3</v>
      </c>
      <c r="U187" s="95">
        <f>R187/'סכום נכסי הקרן'!$C$42</f>
        <v>2.7712546990955048E-4</v>
      </c>
    </row>
    <row r="188" spans="2:21">
      <c r="B188" s="87" t="s">
        <v>775</v>
      </c>
      <c r="C188" s="84" t="s">
        <v>776</v>
      </c>
      <c r="D188" s="97" t="s">
        <v>124</v>
      </c>
      <c r="E188" s="97" t="s">
        <v>351</v>
      </c>
      <c r="F188" s="84" t="s">
        <v>749</v>
      </c>
      <c r="G188" s="97" t="s">
        <v>421</v>
      </c>
      <c r="H188" s="84" t="s">
        <v>543</v>
      </c>
      <c r="I188" s="84" t="s">
        <v>164</v>
      </c>
      <c r="J188" s="84"/>
      <c r="K188" s="94">
        <v>3.4900000000017704</v>
      </c>
      <c r="L188" s="97" t="s">
        <v>168</v>
      </c>
      <c r="M188" s="98">
        <v>4.3499999999999997E-2</v>
      </c>
      <c r="N188" s="98">
        <v>8.6800000000065491E-2</v>
      </c>
      <c r="O188" s="94">
        <v>688042.95310299995</v>
      </c>
      <c r="P188" s="96">
        <v>87</v>
      </c>
      <c r="Q188" s="84"/>
      <c r="R188" s="94">
        <v>598.59739210600003</v>
      </c>
      <c r="S188" s="95">
        <v>4.1260915024244244E-4</v>
      </c>
      <c r="T188" s="95">
        <f t="shared" si="3"/>
        <v>2.3721785817330957E-3</v>
      </c>
      <c r="U188" s="95">
        <f>R188/'סכום נכסי הקרן'!$C$42</f>
        <v>6.2986243972486668E-4</v>
      </c>
    </row>
    <row r="189" spans="2:21">
      <c r="B189" s="87" t="s">
        <v>777</v>
      </c>
      <c r="C189" s="84" t="s">
        <v>778</v>
      </c>
      <c r="D189" s="97" t="s">
        <v>124</v>
      </c>
      <c r="E189" s="97" t="s">
        <v>351</v>
      </c>
      <c r="F189" s="84" t="s">
        <v>415</v>
      </c>
      <c r="G189" s="97" t="s">
        <v>359</v>
      </c>
      <c r="H189" s="84" t="s">
        <v>543</v>
      </c>
      <c r="I189" s="84" t="s">
        <v>164</v>
      </c>
      <c r="J189" s="84"/>
      <c r="K189" s="94">
        <v>1.9300000000006794</v>
      </c>
      <c r="L189" s="97" t="s">
        <v>168</v>
      </c>
      <c r="M189" s="98">
        <v>3.6000000000000004E-2</v>
      </c>
      <c r="N189" s="98">
        <v>1.3000000000007995E-2</v>
      </c>
      <c r="O189" s="94">
        <f>926005.56125/50000</f>
        <v>18.520111225000001</v>
      </c>
      <c r="P189" s="96">
        <v>5403933</v>
      </c>
      <c r="Q189" s="84"/>
      <c r="R189" s="94">
        <v>1000.814402124</v>
      </c>
      <c r="S189" s="95">
        <f>5905.27110037625%/50000</f>
        <v>1.1810542200752499E-3</v>
      </c>
      <c r="T189" s="95">
        <f t="shared" si="3"/>
        <v>3.9661223391834581E-3</v>
      </c>
      <c r="U189" s="95">
        <f>R189/'סכום נכסי הקרן'!$C$42</f>
        <v>1.0530874496726492E-3</v>
      </c>
    </row>
    <row r="190" spans="2:21">
      <c r="B190" s="87" t="s">
        <v>779</v>
      </c>
      <c r="C190" s="84" t="s">
        <v>780</v>
      </c>
      <c r="D190" s="97" t="s">
        <v>124</v>
      </c>
      <c r="E190" s="97" t="s">
        <v>351</v>
      </c>
      <c r="F190" s="84" t="s">
        <v>480</v>
      </c>
      <c r="G190" s="97" t="s">
        <v>481</v>
      </c>
      <c r="H190" s="84" t="s">
        <v>535</v>
      </c>
      <c r="I190" s="84" t="s">
        <v>355</v>
      </c>
      <c r="J190" s="84"/>
      <c r="K190" s="94">
        <v>10.229999999998965</v>
      </c>
      <c r="L190" s="97" t="s">
        <v>168</v>
      </c>
      <c r="M190" s="98">
        <v>3.0499999999999999E-2</v>
      </c>
      <c r="N190" s="98">
        <v>2.2699999999995567E-2</v>
      </c>
      <c r="O190" s="94">
        <v>625564.81835099997</v>
      </c>
      <c r="P190" s="96">
        <v>108.25</v>
      </c>
      <c r="Q190" s="84"/>
      <c r="R190" s="94">
        <v>677.1739158900001</v>
      </c>
      <c r="S190" s="95">
        <v>1.9794632376960867E-3</v>
      </c>
      <c r="T190" s="95">
        <f t="shared" si="3"/>
        <v>2.683569090956094E-3</v>
      </c>
      <c r="U190" s="95">
        <f>R190/'סכום נכסי הקרן'!$C$42</f>
        <v>7.1254305549160756E-4</v>
      </c>
    </row>
    <row r="191" spans="2:21">
      <c r="B191" s="87" t="s">
        <v>781</v>
      </c>
      <c r="C191" s="84" t="s">
        <v>782</v>
      </c>
      <c r="D191" s="97" t="s">
        <v>124</v>
      </c>
      <c r="E191" s="97" t="s">
        <v>351</v>
      </c>
      <c r="F191" s="84" t="s">
        <v>480</v>
      </c>
      <c r="G191" s="97" t="s">
        <v>481</v>
      </c>
      <c r="H191" s="84" t="s">
        <v>535</v>
      </c>
      <c r="I191" s="84" t="s">
        <v>355</v>
      </c>
      <c r="J191" s="84"/>
      <c r="K191" s="94">
        <v>9.5099999999969747</v>
      </c>
      <c r="L191" s="97" t="s">
        <v>168</v>
      </c>
      <c r="M191" s="98">
        <v>3.0499999999999999E-2</v>
      </c>
      <c r="N191" s="98">
        <v>2.2199999999989482E-2</v>
      </c>
      <c r="O191" s="94">
        <v>1071976.3152689999</v>
      </c>
      <c r="P191" s="96">
        <v>108.2</v>
      </c>
      <c r="Q191" s="84"/>
      <c r="R191" s="94">
        <v>1159.8783731010001</v>
      </c>
      <c r="S191" s="95">
        <v>1.4707342998992276E-3</v>
      </c>
      <c r="T191" s="95">
        <f t="shared" si="3"/>
        <v>4.596476146355135E-3</v>
      </c>
      <c r="U191" s="95">
        <f>R191/'סכום נכסי הקרן'!$C$42</f>
        <v>1.2204594131210922E-3</v>
      </c>
    </row>
    <row r="192" spans="2:21">
      <c r="B192" s="87" t="s">
        <v>783</v>
      </c>
      <c r="C192" s="84" t="s">
        <v>784</v>
      </c>
      <c r="D192" s="97" t="s">
        <v>124</v>
      </c>
      <c r="E192" s="97" t="s">
        <v>351</v>
      </c>
      <c r="F192" s="84" t="s">
        <v>480</v>
      </c>
      <c r="G192" s="97" t="s">
        <v>481</v>
      </c>
      <c r="H192" s="84" t="s">
        <v>535</v>
      </c>
      <c r="I192" s="84" t="s">
        <v>355</v>
      </c>
      <c r="J192" s="84"/>
      <c r="K192" s="94">
        <v>5.9900000000003368</v>
      </c>
      <c r="L192" s="97" t="s">
        <v>168</v>
      </c>
      <c r="M192" s="98">
        <v>2.9100000000000001E-2</v>
      </c>
      <c r="N192" s="98">
        <v>1.6000000000010645E-2</v>
      </c>
      <c r="O192" s="94">
        <v>521325.20961899997</v>
      </c>
      <c r="P192" s="96">
        <v>108.11</v>
      </c>
      <c r="Q192" s="84"/>
      <c r="R192" s="94">
        <v>563.60468411900001</v>
      </c>
      <c r="S192" s="95">
        <v>8.68875349365E-4</v>
      </c>
      <c r="T192" s="95">
        <f t="shared" si="3"/>
        <v>2.2335061559953925E-3</v>
      </c>
      <c r="U192" s="95">
        <f>R192/'סכום נכסי הקרן'!$C$42</f>
        <v>5.9304204472159427E-4</v>
      </c>
    </row>
    <row r="193" spans="2:21">
      <c r="B193" s="87" t="s">
        <v>785</v>
      </c>
      <c r="C193" s="84" t="s">
        <v>786</v>
      </c>
      <c r="D193" s="97" t="s">
        <v>124</v>
      </c>
      <c r="E193" s="97" t="s">
        <v>351</v>
      </c>
      <c r="F193" s="84" t="s">
        <v>480</v>
      </c>
      <c r="G193" s="97" t="s">
        <v>481</v>
      </c>
      <c r="H193" s="84" t="s">
        <v>535</v>
      </c>
      <c r="I193" s="84" t="s">
        <v>355</v>
      </c>
      <c r="J193" s="84"/>
      <c r="K193" s="94">
        <v>7.7900000000025589</v>
      </c>
      <c r="L193" s="97" t="s">
        <v>168</v>
      </c>
      <c r="M193" s="98">
        <v>3.95E-2</v>
      </c>
      <c r="N193" s="98">
        <v>1.8699999999998888E-2</v>
      </c>
      <c r="O193" s="94">
        <v>383165.01248599996</v>
      </c>
      <c r="P193" s="96">
        <v>117.25</v>
      </c>
      <c r="Q193" s="84"/>
      <c r="R193" s="94">
        <v>449.260977115</v>
      </c>
      <c r="S193" s="95">
        <v>1.5964545460200521E-3</v>
      </c>
      <c r="T193" s="95">
        <f t="shared" si="3"/>
        <v>1.7803740570456173E-3</v>
      </c>
      <c r="U193" s="95">
        <f>R193/'סכום נכסי הקרן'!$C$42</f>
        <v>4.7272610748147465E-4</v>
      </c>
    </row>
    <row r="194" spans="2:21">
      <c r="B194" s="87" t="s">
        <v>787</v>
      </c>
      <c r="C194" s="84" t="s">
        <v>788</v>
      </c>
      <c r="D194" s="97" t="s">
        <v>124</v>
      </c>
      <c r="E194" s="97" t="s">
        <v>351</v>
      </c>
      <c r="F194" s="84" t="s">
        <v>480</v>
      </c>
      <c r="G194" s="97" t="s">
        <v>481</v>
      </c>
      <c r="H194" s="84" t="s">
        <v>535</v>
      </c>
      <c r="I194" s="84" t="s">
        <v>355</v>
      </c>
      <c r="J194" s="84"/>
      <c r="K194" s="94">
        <v>8.5099999999953866</v>
      </c>
      <c r="L194" s="97" t="s">
        <v>168</v>
      </c>
      <c r="M194" s="98">
        <v>3.95E-2</v>
      </c>
      <c r="N194" s="98">
        <v>2.0399999999996379E-2</v>
      </c>
      <c r="O194" s="94">
        <v>94211.04914800002</v>
      </c>
      <c r="P194" s="96">
        <v>117.32</v>
      </c>
      <c r="Q194" s="84"/>
      <c r="R194" s="94">
        <v>110.52840290099999</v>
      </c>
      <c r="S194" s="95">
        <v>3.9252972687097473E-4</v>
      </c>
      <c r="T194" s="95">
        <f t="shared" si="3"/>
        <v>4.380124495906407E-4</v>
      </c>
      <c r="U194" s="95">
        <f>R194/'סכום נכסי הקרן'!$C$42</f>
        <v>1.1630135785454431E-4</v>
      </c>
    </row>
    <row r="195" spans="2:21">
      <c r="B195" s="87" t="s">
        <v>789</v>
      </c>
      <c r="C195" s="84" t="s">
        <v>790</v>
      </c>
      <c r="D195" s="97" t="s">
        <v>124</v>
      </c>
      <c r="E195" s="97" t="s">
        <v>351</v>
      </c>
      <c r="F195" s="84" t="s">
        <v>791</v>
      </c>
      <c r="G195" s="97" t="s">
        <v>421</v>
      </c>
      <c r="H195" s="84" t="s">
        <v>535</v>
      </c>
      <c r="I195" s="84" t="s">
        <v>355</v>
      </c>
      <c r="J195" s="84"/>
      <c r="K195" s="94">
        <v>2.8804597701149426</v>
      </c>
      <c r="L195" s="97" t="s">
        <v>168</v>
      </c>
      <c r="M195" s="98">
        <v>3.9E-2</v>
      </c>
      <c r="N195" s="98">
        <v>3.6107279693486594E-2</v>
      </c>
      <c r="O195" s="94">
        <v>1.305E-3</v>
      </c>
      <c r="P195" s="96">
        <v>101.3</v>
      </c>
      <c r="Q195" s="84"/>
      <c r="R195" s="94">
        <v>1.305E-6</v>
      </c>
      <c r="S195" s="95">
        <v>1.9814465904761125E-12</v>
      </c>
      <c r="T195" s="95">
        <f t="shared" si="3"/>
        <v>5.1715779086012159E-12</v>
      </c>
      <c r="U195" s="95">
        <f>R195/'סכום נכסי הקרן'!$C$42</f>
        <v>1.3731608167370631E-12</v>
      </c>
    </row>
    <row r="196" spans="2:21">
      <c r="B196" s="87" t="s">
        <v>792</v>
      </c>
      <c r="C196" s="84" t="s">
        <v>793</v>
      </c>
      <c r="D196" s="97" t="s">
        <v>124</v>
      </c>
      <c r="E196" s="97" t="s">
        <v>351</v>
      </c>
      <c r="F196" s="84" t="s">
        <v>492</v>
      </c>
      <c r="G196" s="97" t="s">
        <v>421</v>
      </c>
      <c r="H196" s="84" t="s">
        <v>543</v>
      </c>
      <c r="I196" s="84" t="s">
        <v>164</v>
      </c>
      <c r="J196" s="84"/>
      <c r="K196" s="94">
        <v>3.4100000000112365</v>
      </c>
      <c r="L196" s="97" t="s">
        <v>168</v>
      </c>
      <c r="M196" s="98">
        <v>5.0499999999999996E-2</v>
      </c>
      <c r="N196" s="98">
        <v>1.4600000000043569E-2</v>
      </c>
      <c r="O196" s="94">
        <v>152539.07878499999</v>
      </c>
      <c r="P196" s="96">
        <v>114.35</v>
      </c>
      <c r="Q196" s="84"/>
      <c r="R196" s="94">
        <v>174.428441644</v>
      </c>
      <c r="S196" s="95">
        <v>2.0573715506087606E-4</v>
      </c>
      <c r="T196" s="95">
        <f t="shared" si="3"/>
        <v>6.9124159037382902E-4</v>
      </c>
      <c r="U196" s="95">
        <f>R196/'סכום נכסי הקרן'!$C$42</f>
        <v>1.8353892826823617E-4</v>
      </c>
    </row>
    <row r="197" spans="2:21">
      <c r="B197" s="87" t="s">
        <v>794</v>
      </c>
      <c r="C197" s="84" t="s">
        <v>795</v>
      </c>
      <c r="D197" s="97" t="s">
        <v>124</v>
      </c>
      <c r="E197" s="97" t="s">
        <v>351</v>
      </c>
      <c r="F197" s="84" t="s">
        <v>497</v>
      </c>
      <c r="G197" s="97" t="s">
        <v>481</v>
      </c>
      <c r="H197" s="84" t="s">
        <v>543</v>
      </c>
      <c r="I197" s="84" t="s">
        <v>164</v>
      </c>
      <c r="J197" s="84"/>
      <c r="K197" s="94">
        <v>4.1999999999976243</v>
      </c>
      <c r="L197" s="97" t="s">
        <v>168</v>
      </c>
      <c r="M197" s="98">
        <v>3.9199999999999999E-2</v>
      </c>
      <c r="N197" s="98">
        <v>1.259999999998628E-2</v>
      </c>
      <c r="O197" s="94">
        <v>668019.37713299994</v>
      </c>
      <c r="P197" s="96">
        <v>113.47</v>
      </c>
      <c r="Q197" s="84"/>
      <c r="R197" s="94">
        <v>758.00160940399996</v>
      </c>
      <c r="S197" s="95">
        <v>6.9595936166646176E-4</v>
      </c>
      <c r="T197" s="95">
        <f t="shared" si="3"/>
        <v>3.0038807493317195E-3</v>
      </c>
      <c r="U197" s="95">
        <f>R197/'סכום נכסי הקרן'!$C$42</f>
        <v>7.9759242073349033E-4</v>
      </c>
    </row>
    <row r="198" spans="2:21">
      <c r="B198" s="87" t="s">
        <v>796</v>
      </c>
      <c r="C198" s="84" t="s">
        <v>797</v>
      </c>
      <c r="D198" s="97" t="s">
        <v>124</v>
      </c>
      <c r="E198" s="97" t="s">
        <v>351</v>
      </c>
      <c r="F198" s="84" t="s">
        <v>497</v>
      </c>
      <c r="G198" s="97" t="s">
        <v>481</v>
      </c>
      <c r="H198" s="84" t="s">
        <v>543</v>
      </c>
      <c r="I198" s="84" t="s">
        <v>164</v>
      </c>
      <c r="J198" s="84"/>
      <c r="K198" s="94">
        <v>9.0100000000011828</v>
      </c>
      <c r="L198" s="97" t="s">
        <v>168</v>
      </c>
      <c r="M198" s="98">
        <v>2.64E-2</v>
      </c>
      <c r="N198" s="98">
        <v>2.3000000000003698E-2</v>
      </c>
      <c r="O198" s="94">
        <v>2085385.1401190001</v>
      </c>
      <c r="P198" s="96">
        <v>103.89</v>
      </c>
      <c r="Q198" s="84"/>
      <c r="R198" s="94">
        <v>2166.5065735439998</v>
      </c>
      <c r="S198" s="95">
        <v>1.2745510947711608E-3</v>
      </c>
      <c r="T198" s="95">
        <f t="shared" si="3"/>
        <v>8.5856379575321579E-3</v>
      </c>
      <c r="U198" s="95">
        <f>R198/'סכום נכסי הקרן'!$C$42</f>
        <v>2.2796643187692682E-3</v>
      </c>
    </row>
    <row r="199" spans="2:21">
      <c r="B199" s="87" t="s">
        <v>798</v>
      </c>
      <c r="C199" s="84" t="s">
        <v>799</v>
      </c>
      <c r="D199" s="97" t="s">
        <v>124</v>
      </c>
      <c r="E199" s="97" t="s">
        <v>351</v>
      </c>
      <c r="F199" s="84" t="s">
        <v>608</v>
      </c>
      <c r="G199" s="97" t="s">
        <v>481</v>
      </c>
      <c r="H199" s="84" t="s">
        <v>543</v>
      </c>
      <c r="I199" s="84" t="s">
        <v>164</v>
      </c>
      <c r="J199" s="84"/>
      <c r="K199" s="94">
        <v>4.1800000000071078</v>
      </c>
      <c r="L199" s="97" t="s">
        <v>168</v>
      </c>
      <c r="M199" s="98">
        <v>4.0999999999999995E-2</v>
      </c>
      <c r="N199" s="98">
        <v>1.2600000000026108E-2</v>
      </c>
      <c r="O199" s="94">
        <v>240977.736</v>
      </c>
      <c r="P199" s="96">
        <v>112.39</v>
      </c>
      <c r="Q199" s="94">
        <v>4.9400435880000009</v>
      </c>
      <c r="R199" s="94">
        <v>275.77492107799998</v>
      </c>
      <c r="S199" s="95">
        <v>8.0325912000000002E-4</v>
      </c>
      <c r="T199" s="95">
        <f t="shared" si="3"/>
        <v>1.0928670418338916E-3</v>
      </c>
      <c r="U199" s="95">
        <f>R199/'סכום נכסי הקרן'!$C$42</f>
        <v>2.9017878610196595E-4</v>
      </c>
    </row>
    <row r="200" spans="2:21">
      <c r="B200" s="87" t="s">
        <v>800</v>
      </c>
      <c r="C200" s="84" t="s">
        <v>801</v>
      </c>
      <c r="D200" s="97" t="s">
        <v>124</v>
      </c>
      <c r="E200" s="97" t="s">
        <v>351</v>
      </c>
      <c r="F200" s="84" t="s">
        <v>620</v>
      </c>
      <c r="G200" s="97" t="s">
        <v>485</v>
      </c>
      <c r="H200" s="84" t="s">
        <v>535</v>
      </c>
      <c r="I200" s="84" t="s">
        <v>355</v>
      </c>
      <c r="J200" s="84"/>
      <c r="K200" s="94">
        <v>4.2400000000002693</v>
      </c>
      <c r="L200" s="97" t="s">
        <v>168</v>
      </c>
      <c r="M200" s="98">
        <v>1.9E-2</v>
      </c>
      <c r="N200" s="98">
        <v>1.3300000000000468E-2</v>
      </c>
      <c r="O200" s="94">
        <v>1883157.116466</v>
      </c>
      <c r="P200" s="96">
        <v>102.62</v>
      </c>
      <c r="Q200" s="84"/>
      <c r="R200" s="94">
        <v>1932.495832927</v>
      </c>
      <c r="S200" s="95">
        <v>1.3035855763790342E-3</v>
      </c>
      <c r="T200" s="95">
        <f t="shared" si="3"/>
        <v>7.6582779755012872E-3</v>
      </c>
      <c r="U200" s="95">
        <f>R200/'סכום נכסי הקרן'!$C$42</f>
        <v>2.0334310776115023E-3</v>
      </c>
    </row>
    <row r="201" spans="2:21">
      <c r="B201" s="87" t="s">
        <v>802</v>
      </c>
      <c r="C201" s="84" t="s">
        <v>803</v>
      </c>
      <c r="D201" s="97" t="s">
        <v>124</v>
      </c>
      <c r="E201" s="97" t="s">
        <v>351</v>
      </c>
      <c r="F201" s="84" t="s">
        <v>620</v>
      </c>
      <c r="G201" s="97" t="s">
        <v>485</v>
      </c>
      <c r="H201" s="84" t="s">
        <v>535</v>
      </c>
      <c r="I201" s="84" t="s">
        <v>355</v>
      </c>
      <c r="J201" s="84"/>
      <c r="K201" s="94">
        <v>2.8100000000037708</v>
      </c>
      <c r="L201" s="97" t="s">
        <v>168</v>
      </c>
      <c r="M201" s="98">
        <v>2.9600000000000001E-2</v>
      </c>
      <c r="N201" s="98">
        <v>9.6000000000232063E-3</v>
      </c>
      <c r="O201" s="94">
        <v>292687.84307200002</v>
      </c>
      <c r="P201" s="96">
        <v>106</v>
      </c>
      <c r="Q201" s="84"/>
      <c r="R201" s="94">
        <v>310.24911044300001</v>
      </c>
      <c r="S201" s="95">
        <v>7.1668007627927936E-4</v>
      </c>
      <c r="T201" s="95">
        <f t="shared" si="3"/>
        <v>1.2294846327434465E-3</v>
      </c>
      <c r="U201" s="95">
        <f>R201/'סכום נכסי הקרן'!$C$42</f>
        <v>3.2645357999069516E-4</v>
      </c>
    </row>
    <row r="202" spans="2:21">
      <c r="B202" s="87" t="s">
        <v>804</v>
      </c>
      <c r="C202" s="84" t="s">
        <v>805</v>
      </c>
      <c r="D202" s="97" t="s">
        <v>124</v>
      </c>
      <c r="E202" s="97" t="s">
        <v>351</v>
      </c>
      <c r="F202" s="84" t="s">
        <v>625</v>
      </c>
      <c r="G202" s="97" t="s">
        <v>481</v>
      </c>
      <c r="H202" s="84" t="s">
        <v>543</v>
      </c>
      <c r="I202" s="84" t="s">
        <v>164</v>
      </c>
      <c r="J202" s="84"/>
      <c r="K202" s="94">
        <v>5.0700000000016692</v>
      </c>
      <c r="L202" s="97" t="s">
        <v>168</v>
      </c>
      <c r="M202" s="98">
        <v>3.61E-2</v>
      </c>
      <c r="N202" s="98">
        <v>1.3400000000006676E-2</v>
      </c>
      <c r="O202" s="94">
        <v>1317253.555953</v>
      </c>
      <c r="P202" s="96">
        <v>113.7</v>
      </c>
      <c r="Q202" s="84"/>
      <c r="R202" s="94">
        <v>1497.7172492500001</v>
      </c>
      <c r="S202" s="95">
        <v>1.716291278114658E-3</v>
      </c>
      <c r="T202" s="95">
        <f t="shared" si="3"/>
        <v>5.935296122262285E-3</v>
      </c>
      <c r="U202" s="95">
        <f>R202/'סכום נכסי הקרן'!$C$42</f>
        <v>1.5759437863764887E-3</v>
      </c>
    </row>
    <row r="203" spans="2:21">
      <c r="B203" s="87" t="s">
        <v>806</v>
      </c>
      <c r="C203" s="84" t="s">
        <v>807</v>
      </c>
      <c r="D203" s="97" t="s">
        <v>124</v>
      </c>
      <c r="E203" s="97" t="s">
        <v>351</v>
      </c>
      <c r="F203" s="84" t="s">
        <v>625</v>
      </c>
      <c r="G203" s="97" t="s">
        <v>481</v>
      </c>
      <c r="H203" s="84" t="s">
        <v>543</v>
      </c>
      <c r="I203" s="84" t="s">
        <v>164</v>
      </c>
      <c r="J203" s="84"/>
      <c r="K203" s="94">
        <v>6.0199999999966316</v>
      </c>
      <c r="L203" s="97" t="s">
        <v>168</v>
      </c>
      <c r="M203" s="98">
        <v>3.3000000000000002E-2</v>
      </c>
      <c r="N203" s="98">
        <v>1.6399999999999214E-2</v>
      </c>
      <c r="O203" s="94">
        <v>457509.57593799999</v>
      </c>
      <c r="P203" s="96">
        <v>111.61</v>
      </c>
      <c r="Q203" s="84"/>
      <c r="R203" s="94">
        <v>510.62643773600001</v>
      </c>
      <c r="S203" s="95">
        <v>1.4837586986589696E-3</v>
      </c>
      <c r="T203" s="95">
        <f t="shared" si="3"/>
        <v>2.0235589309909826E-3</v>
      </c>
      <c r="U203" s="95">
        <f>R203/'סכום נכסי הקרן'!$C$42</f>
        <v>5.372967174629141E-4</v>
      </c>
    </row>
    <row r="204" spans="2:21">
      <c r="B204" s="87" t="s">
        <v>808</v>
      </c>
      <c r="C204" s="84" t="s">
        <v>809</v>
      </c>
      <c r="D204" s="97" t="s">
        <v>124</v>
      </c>
      <c r="E204" s="97" t="s">
        <v>351</v>
      </c>
      <c r="F204" s="84" t="s">
        <v>625</v>
      </c>
      <c r="G204" s="97" t="s">
        <v>481</v>
      </c>
      <c r="H204" s="84" t="s">
        <v>543</v>
      </c>
      <c r="I204" s="84" t="s">
        <v>164</v>
      </c>
      <c r="J204" s="84"/>
      <c r="K204" s="94">
        <v>8.3299999999994458</v>
      </c>
      <c r="L204" s="97" t="s">
        <v>168</v>
      </c>
      <c r="M204" s="98">
        <v>2.6200000000000001E-2</v>
      </c>
      <c r="N204" s="98">
        <v>2.1299999999999861E-2</v>
      </c>
      <c r="O204" s="94">
        <v>1415382.7323960001</v>
      </c>
      <c r="P204" s="96">
        <v>104.69</v>
      </c>
      <c r="Q204" s="84"/>
      <c r="R204" s="94">
        <v>1481.7641353540002</v>
      </c>
      <c r="S204" s="95">
        <v>1.769228415495E-3</v>
      </c>
      <c r="T204" s="95">
        <f t="shared" si="3"/>
        <v>5.8720756077810955E-3</v>
      </c>
      <c r="U204" s="95">
        <f>R204/'סכום נכסי הקרן'!$C$42</f>
        <v>1.5591574331911013E-3</v>
      </c>
    </row>
    <row r="205" spans="2:21">
      <c r="B205" s="87" t="s">
        <v>810</v>
      </c>
      <c r="C205" s="84" t="s">
        <v>811</v>
      </c>
      <c r="D205" s="97" t="s">
        <v>124</v>
      </c>
      <c r="E205" s="97" t="s">
        <v>351</v>
      </c>
      <c r="F205" s="84" t="s">
        <v>812</v>
      </c>
      <c r="G205" s="97" t="s">
        <v>155</v>
      </c>
      <c r="H205" s="84" t="s">
        <v>543</v>
      </c>
      <c r="I205" s="84" t="s">
        <v>164</v>
      </c>
      <c r="J205" s="84"/>
      <c r="K205" s="94">
        <v>3.2599999999969507</v>
      </c>
      <c r="L205" s="97" t="s">
        <v>168</v>
      </c>
      <c r="M205" s="98">
        <v>2.75E-2</v>
      </c>
      <c r="N205" s="98">
        <v>1.6599999999988565E-2</v>
      </c>
      <c r="O205" s="94">
        <v>401491.33497000003</v>
      </c>
      <c r="P205" s="96">
        <v>104.53</v>
      </c>
      <c r="Q205" s="84"/>
      <c r="R205" s="94">
        <v>419.67887897799994</v>
      </c>
      <c r="S205" s="95">
        <v>9.2346894071626507E-4</v>
      </c>
      <c r="T205" s="95">
        <f t="shared" si="3"/>
        <v>1.6631433097541364E-3</v>
      </c>
      <c r="U205" s="95">
        <f>R205/'סכום נכסי הקרן'!$C$42</f>
        <v>4.4159892124500034E-4</v>
      </c>
    </row>
    <row r="206" spans="2:21">
      <c r="B206" s="87" t="s">
        <v>813</v>
      </c>
      <c r="C206" s="84" t="s">
        <v>814</v>
      </c>
      <c r="D206" s="97" t="s">
        <v>124</v>
      </c>
      <c r="E206" s="97" t="s">
        <v>351</v>
      </c>
      <c r="F206" s="84" t="s">
        <v>812</v>
      </c>
      <c r="G206" s="97" t="s">
        <v>155</v>
      </c>
      <c r="H206" s="84" t="s">
        <v>543</v>
      </c>
      <c r="I206" s="84" t="s">
        <v>164</v>
      </c>
      <c r="J206" s="84"/>
      <c r="K206" s="94">
        <v>4.3100000000006489</v>
      </c>
      <c r="L206" s="97" t="s">
        <v>168</v>
      </c>
      <c r="M206" s="98">
        <v>2.3E-2</v>
      </c>
      <c r="N206" s="98">
        <v>1.6100000000006481E-2</v>
      </c>
      <c r="O206" s="94">
        <v>743328.45186399994</v>
      </c>
      <c r="P206" s="96">
        <v>103.78</v>
      </c>
      <c r="Q206" s="84"/>
      <c r="R206" s="94">
        <v>771.42625084999997</v>
      </c>
      <c r="S206" s="95">
        <v>2.4619871442489393E-3</v>
      </c>
      <c r="T206" s="95">
        <f t="shared" si="3"/>
        <v>3.0570811931118162E-3</v>
      </c>
      <c r="U206" s="95">
        <f>R206/'סכום נכסי הקרן'!$C$42</f>
        <v>8.1171823806099345E-4</v>
      </c>
    </row>
    <row r="207" spans="2:21">
      <c r="B207" s="87" t="s">
        <v>815</v>
      </c>
      <c r="C207" s="84" t="s">
        <v>816</v>
      </c>
      <c r="D207" s="97" t="s">
        <v>124</v>
      </c>
      <c r="E207" s="97" t="s">
        <v>351</v>
      </c>
      <c r="F207" s="84" t="s">
        <v>817</v>
      </c>
      <c r="G207" s="97" t="s">
        <v>160</v>
      </c>
      <c r="H207" s="84" t="s">
        <v>638</v>
      </c>
      <c r="I207" s="84" t="s">
        <v>355</v>
      </c>
      <c r="J207" s="84"/>
      <c r="K207" s="94">
        <v>0.98000000000586029</v>
      </c>
      <c r="L207" s="97" t="s">
        <v>168</v>
      </c>
      <c r="M207" s="98">
        <v>3.3000000000000002E-2</v>
      </c>
      <c r="N207" s="98">
        <v>1.8400000000006168E-2</v>
      </c>
      <c r="O207" s="94">
        <v>127303.908947</v>
      </c>
      <c r="P207" s="96">
        <v>101.87</v>
      </c>
      <c r="Q207" s="84"/>
      <c r="R207" s="94">
        <v>129.684487838</v>
      </c>
      <c r="S207" s="95">
        <v>4.190310616904294E-4</v>
      </c>
      <c r="T207" s="95">
        <f t="shared" si="3"/>
        <v>5.1392600183238608E-4</v>
      </c>
      <c r="U207" s="95">
        <f>R207/'סכום נכסי הקרן'!$C$42</f>
        <v>1.3645797489483203E-4</v>
      </c>
    </row>
    <row r="208" spans="2:21">
      <c r="B208" s="87" t="s">
        <v>818</v>
      </c>
      <c r="C208" s="84" t="s">
        <v>819</v>
      </c>
      <c r="D208" s="97" t="s">
        <v>124</v>
      </c>
      <c r="E208" s="97" t="s">
        <v>351</v>
      </c>
      <c r="F208" s="84" t="s">
        <v>637</v>
      </c>
      <c r="G208" s="97" t="s">
        <v>160</v>
      </c>
      <c r="H208" s="84" t="s">
        <v>638</v>
      </c>
      <c r="I208" s="84" t="s">
        <v>355</v>
      </c>
      <c r="J208" s="84"/>
      <c r="K208" s="94">
        <v>3.750000000002498</v>
      </c>
      <c r="L208" s="97" t="s">
        <v>168</v>
      </c>
      <c r="M208" s="98">
        <v>2.7999999999999997E-2</v>
      </c>
      <c r="N208" s="98">
        <v>2.9500000000020975E-2</v>
      </c>
      <c r="O208" s="94">
        <v>502036.95</v>
      </c>
      <c r="P208" s="96">
        <v>99.68</v>
      </c>
      <c r="Q208" s="84"/>
      <c r="R208" s="94">
        <v>500.43041730099998</v>
      </c>
      <c r="S208" s="95">
        <v>1.8852307547878333E-3</v>
      </c>
      <c r="T208" s="95">
        <f t="shared" si="3"/>
        <v>1.9831531731079994E-3</v>
      </c>
      <c r="U208" s="95">
        <f>R208/'סכום נכסי הקרן'!$C$42</f>
        <v>5.2656815367134902E-4</v>
      </c>
    </row>
    <row r="209" spans="2:21">
      <c r="B209" s="87" t="s">
        <v>820</v>
      </c>
      <c r="C209" s="84" t="s">
        <v>821</v>
      </c>
      <c r="D209" s="97" t="s">
        <v>124</v>
      </c>
      <c r="E209" s="97" t="s">
        <v>351</v>
      </c>
      <c r="F209" s="84" t="s">
        <v>637</v>
      </c>
      <c r="G209" s="97" t="s">
        <v>160</v>
      </c>
      <c r="H209" s="84" t="s">
        <v>638</v>
      </c>
      <c r="I209" s="84" t="s">
        <v>355</v>
      </c>
      <c r="J209" s="84"/>
      <c r="K209" s="94">
        <v>0.6600000000009365</v>
      </c>
      <c r="L209" s="97" t="s">
        <v>168</v>
      </c>
      <c r="M209" s="98">
        <v>4.2999999999999997E-2</v>
      </c>
      <c r="N209" s="98">
        <v>2.2400000000003407E-2</v>
      </c>
      <c r="O209" s="94">
        <v>230918.50025199997</v>
      </c>
      <c r="P209" s="96">
        <v>101.73</v>
      </c>
      <c r="Q209" s="84"/>
      <c r="R209" s="94">
        <v>234.91339803299999</v>
      </c>
      <c r="S209" s="95">
        <v>1.0663369035102262E-3</v>
      </c>
      <c r="T209" s="95">
        <f t="shared" si="3"/>
        <v>9.3093711854552274E-4</v>
      </c>
      <c r="U209" s="95">
        <f>R209/'סכום נכסי הקרן'!$C$42</f>
        <v>2.471830448317801E-4</v>
      </c>
    </row>
    <row r="210" spans="2:21">
      <c r="B210" s="87" t="s">
        <v>822</v>
      </c>
      <c r="C210" s="84" t="s">
        <v>823</v>
      </c>
      <c r="D210" s="97" t="s">
        <v>124</v>
      </c>
      <c r="E210" s="97" t="s">
        <v>351</v>
      </c>
      <c r="F210" s="84" t="s">
        <v>637</v>
      </c>
      <c r="G210" s="97" t="s">
        <v>160</v>
      </c>
      <c r="H210" s="84" t="s">
        <v>638</v>
      </c>
      <c r="I210" s="84" t="s">
        <v>355</v>
      </c>
      <c r="J210" s="84"/>
      <c r="K210" s="94">
        <v>1.3800000000034345</v>
      </c>
      <c r="L210" s="97" t="s">
        <v>168</v>
      </c>
      <c r="M210" s="98">
        <v>4.2500000000000003E-2</v>
      </c>
      <c r="N210" s="98">
        <v>2.5100000000056424E-2</v>
      </c>
      <c r="O210" s="94">
        <v>197733.68073800002</v>
      </c>
      <c r="P210" s="96">
        <v>103.08</v>
      </c>
      <c r="Q210" s="84"/>
      <c r="R210" s="94">
        <v>203.82388033499998</v>
      </c>
      <c r="S210" s="95">
        <v>5.2634744283967328E-4</v>
      </c>
      <c r="T210" s="95">
        <f t="shared" si="3"/>
        <v>8.0773262588955082E-4</v>
      </c>
      <c r="U210" s="95">
        <f>R210/'סכום נכסי הקרן'!$C$42</f>
        <v>2.1446970574047968E-4</v>
      </c>
    </row>
    <row r="211" spans="2:21">
      <c r="B211" s="87" t="s">
        <v>824</v>
      </c>
      <c r="C211" s="84" t="s">
        <v>825</v>
      </c>
      <c r="D211" s="97" t="s">
        <v>124</v>
      </c>
      <c r="E211" s="97" t="s">
        <v>351</v>
      </c>
      <c r="F211" s="84" t="s">
        <v>637</v>
      </c>
      <c r="G211" s="97" t="s">
        <v>160</v>
      </c>
      <c r="H211" s="84" t="s">
        <v>638</v>
      </c>
      <c r="I211" s="84" t="s">
        <v>355</v>
      </c>
      <c r="J211" s="84"/>
      <c r="K211" s="94">
        <v>1.7799999999981502</v>
      </c>
      <c r="L211" s="97" t="s">
        <v>168</v>
      </c>
      <c r="M211" s="98">
        <v>3.7000000000000005E-2</v>
      </c>
      <c r="N211" s="98">
        <v>2.6899999999968983E-2</v>
      </c>
      <c r="O211" s="94">
        <v>358865.53851300001</v>
      </c>
      <c r="P211" s="96">
        <v>102.43</v>
      </c>
      <c r="Q211" s="84"/>
      <c r="R211" s="94">
        <v>367.585987106</v>
      </c>
      <c r="S211" s="95">
        <v>1.8140015369338934E-3</v>
      </c>
      <c r="T211" s="95">
        <f t="shared" si="3"/>
        <v>1.4567046516695487E-3</v>
      </c>
      <c r="U211" s="95">
        <f>R211/'סכום נכסי הקרן'!$C$42</f>
        <v>3.8678519101576593E-4</v>
      </c>
    </row>
    <row r="212" spans="2:21">
      <c r="B212" s="87" t="s">
        <v>826</v>
      </c>
      <c r="C212" s="84" t="s">
        <v>827</v>
      </c>
      <c r="D212" s="97" t="s">
        <v>124</v>
      </c>
      <c r="E212" s="97" t="s">
        <v>351</v>
      </c>
      <c r="F212" s="84" t="s">
        <v>828</v>
      </c>
      <c r="G212" s="97" t="s">
        <v>709</v>
      </c>
      <c r="H212" s="84" t="s">
        <v>634</v>
      </c>
      <c r="I212" s="84" t="s">
        <v>164</v>
      </c>
      <c r="J212" s="84"/>
      <c r="K212" s="94">
        <v>3.3400000001036894</v>
      </c>
      <c r="L212" s="97" t="s">
        <v>168</v>
      </c>
      <c r="M212" s="98">
        <v>3.7499999999999999E-2</v>
      </c>
      <c r="N212" s="98">
        <v>1.2800000000236254E-2</v>
      </c>
      <c r="O212" s="94">
        <v>14057.036206999999</v>
      </c>
      <c r="P212" s="96">
        <v>108.4</v>
      </c>
      <c r="Q212" s="84"/>
      <c r="R212" s="94">
        <v>15.237827213000001</v>
      </c>
      <c r="S212" s="95">
        <v>3.0482477979719112E-5</v>
      </c>
      <c r="T212" s="95">
        <f t="shared" si="3"/>
        <v>6.038590849795651E-5</v>
      </c>
      <c r="U212" s="95">
        <f>R212/'סכום נכסי הקרן'!$C$42</f>
        <v>1.6033706713487607E-5</v>
      </c>
    </row>
    <row r="213" spans="2:21">
      <c r="B213" s="87" t="s">
        <v>829</v>
      </c>
      <c r="C213" s="84" t="s">
        <v>830</v>
      </c>
      <c r="D213" s="97" t="s">
        <v>124</v>
      </c>
      <c r="E213" s="97" t="s">
        <v>351</v>
      </c>
      <c r="F213" s="84" t="s">
        <v>828</v>
      </c>
      <c r="G213" s="97" t="s">
        <v>709</v>
      </c>
      <c r="H213" s="84" t="s">
        <v>638</v>
      </c>
      <c r="I213" s="84" t="s">
        <v>355</v>
      </c>
      <c r="J213" s="84"/>
      <c r="K213" s="94">
        <v>6.190000000005135</v>
      </c>
      <c r="L213" s="97" t="s">
        <v>168</v>
      </c>
      <c r="M213" s="98">
        <v>3.7499999999999999E-2</v>
      </c>
      <c r="N213" s="98">
        <v>1.9700000000014414E-2</v>
      </c>
      <c r="O213" s="94">
        <v>391709.30986799998</v>
      </c>
      <c r="P213" s="96">
        <v>113.35</v>
      </c>
      <c r="Q213" s="84"/>
      <c r="R213" s="94">
        <v>444.00251578800004</v>
      </c>
      <c r="S213" s="95">
        <v>1.0586738104540539E-3</v>
      </c>
      <c r="T213" s="95">
        <f t="shared" si="3"/>
        <v>1.7595353272127079E-3</v>
      </c>
      <c r="U213" s="95">
        <f>R213/'סכום נכסי הקרן'!$C$42</f>
        <v>4.6719299403276697E-4</v>
      </c>
    </row>
    <row r="214" spans="2:21">
      <c r="B214" s="87" t="s">
        <v>831</v>
      </c>
      <c r="C214" s="84" t="s">
        <v>832</v>
      </c>
      <c r="D214" s="97" t="s">
        <v>124</v>
      </c>
      <c r="E214" s="97" t="s">
        <v>351</v>
      </c>
      <c r="F214" s="84" t="s">
        <v>833</v>
      </c>
      <c r="G214" s="97" t="s">
        <v>742</v>
      </c>
      <c r="H214" s="84" t="s">
        <v>634</v>
      </c>
      <c r="I214" s="84" t="s">
        <v>164</v>
      </c>
      <c r="J214" s="84"/>
      <c r="K214" s="94">
        <v>0.16000000000532535</v>
      </c>
      <c r="L214" s="97" t="s">
        <v>168</v>
      </c>
      <c r="M214" s="98">
        <v>5.5500000000000001E-2</v>
      </c>
      <c r="N214" s="98">
        <v>1.1800000000559162E-2</v>
      </c>
      <c r="O214" s="94">
        <v>7322.2989809999999</v>
      </c>
      <c r="P214" s="96">
        <v>102.58</v>
      </c>
      <c r="Q214" s="84"/>
      <c r="R214" s="94">
        <v>7.5112143810000003</v>
      </c>
      <c r="S214" s="95">
        <v>6.1019158175000001E-4</v>
      </c>
      <c r="T214" s="95">
        <f t="shared" si="3"/>
        <v>2.9766153532220201E-5</v>
      </c>
      <c r="U214" s="95">
        <f>R214/'סכום נכסי הקרן'!$C$42</f>
        <v>7.9035289456713669E-6</v>
      </c>
    </row>
    <row r="215" spans="2:21">
      <c r="B215" s="87" t="s">
        <v>834</v>
      </c>
      <c r="C215" s="84" t="s">
        <v>835</v>
      </c>
      <c r="D215" s="97" t="s">
        <v>124</v>
      </c>
      <c r="E215" s="97" t="s">
        <v>351</v>
      </c>
      <c r="F215" s="84" t="s">
        <v>836</v>
      </c>
      <c r="G215" s="97" t="s">
        <v>155</v>
      </c>
      <c r="H215" s="84" t="s">
        <v>638</v>
      </c>
      <c r="I215" s="84" t="s">
        <v>355</v>
      </c>
      <c r="J215" s="84"/>
      <c r="K215" s="94">
        <v>1.7999999999944341</v>
      </c>
      <c r="L215" s="97" t="s">
        <v>168</v>
      </c>
      <c r="M215" s="98">
        <v>3.4000000000000002E-2</v>
      </c>
      <c r="N215" s="98">
        <v>1.5799999999827459E-2</v>
      </c>
      <c r="O215" s="94">
        <v>34617.757575000003</v>
      </c>
      <c r="P215" s="96">
        <v>103.8</v>
      </c>
      <c r="Q215" s="84"/>
      <c r="R215" s="94">
        <v>35.933231239000001</v>
      </c>
      <c r="S215" s="95">
        <v>6.5493181326564174E-5</v>
      </c>
      <c r="T215" s="95">
        <f t="shared" si="3"/>
        <v>1.4239962058258353E-4</v>
      </c>
      <c r="U215" s="95">
        <f>R215/'סכום נכסי הקרן'!$C$42</f>
        <v>3.7810042265246735E-5</v>
      </c>
    </row>
    <row r="216" spans="2:21">
      <c r="B216" s="87" t="s">
        <v>837</v>
      </c>
      <c r="C216" s="84" t="s">
        <v>838</v>
      </c>
      <c r="D216" s="97" t="s">
        <v>124</v>
      </c>
      <c r="E216" s="97" t="s">
        <v>351</v>
      </c>
      <c r="F216" s="84" t="s">
        <v>839</v>
      </c>
      <c r="G216" s="97" t="s">
        <v>421</v>
      </c>
      <c r="H216" s="84" t="s">
        <v>634</v>
      </c>
      <c r="I216" s="84" t="s">
        <v>164</v>
      </c>
      <c r="J216" s="84"/>
      <c r="K216" s="94">
        <v>2.2799999987015545</v>
      </c>
      <c r="L216" s="97" t="s">
        <v>168</v>
      </c>
      <c r="M216" s="98">
        <v>6.7500000000000004E-2</v>
      </c>
      <c r="N216" s="98">
        <v>2.6899999985392484E-2</v>
      </c>
      <c r="O216" s="94">
        <v>1022.1364870000001</v>
      </c>
      <c r="P216" s="96">
        <v>108.5</v>
      </c>
      <c r="Q216" s="84"/>
      <c r="R216" s="94">
        <v>1.109018098</v>
      </c>
      <c r="S216" s="95">
        <v>1.5337836855271006E-6</v>
      </c>
      <c r="T216" s="95">
        <f t="shared" si="3"/>
        <v>4.3949222190465431E-6</v>
      </c>
      <c r="U216" s="95">
        <f>R216/'סכום נכסי הקרן'!$C$42</f>
        <v>1.1669426798665627E-6</v>
      </c>
    </row>
    <row r="217" spans="2:21">
      <c r="B217" s="87" t="s">
        <v>840</v>
      </c>
      <c r="C217" s="84" t="s">
        <v>841</v>
      </c>
      <c r="D217" s="97" t="s">
        <v>124</v>
      </c>
      <c r="E217" s="97" t="s">
        <v>351</v>
      </c>
      <c r="F217" s="84" t="s">
        <v>588</v>
      </c>
      <c r="G217" s="97" t="s">
        <v>421</v>
      </c>
      <c r="H217" s="84" t="s">
        <v>638</v>
      </c>
      <c r="I217" s="84" t="s">
        <v>355</v>
      </c>
      <c r="J217" s="84"/>
      <c r="K217" s="94">
        <v>2.1499999958331006</v>
      </c>
      <c r="L217" s="97" t="s">
        <v>168</v>
      </c>
      <c r="M217" s="98">
        <v>5.74E-2</v>
      </c>
      <c r="N217" s="98">
        <v>1.1100000004166902E-2</v>
      </c>
      <c r="O217" s="94">
        <v>171.95629</v>
      </c>
      <c r="P217" s="96">
        <v>111.65</v>
      </c>
      <c r="Q217" s="84"/>
      <c r="R217" s="94">
        <v>0.19198927199999996</v>
      </c>
      <c r="S217" s="95">
        <v>1.1141205122654706E-6</v>
      </c>
      <c r="T217" s="95">
        <f t="shared" si="3"/>
        <v>7.6083331629396927E-7</v>
      </c>
      <c r="U217" s="95">
        <f>R217/'סכום נכסי הקרן'!$C$42</f>
        <v>2.0201696976572728E-7</v>
      </c>
    </row>
    <row r="218" spans="2:21">
      <c r="B218" s="87" t="s">
        <v>842</v>
      </c>
      <c r="C218" s="84" t="s">
        <v>843</v>
      </c>
      <c r="D218" s="97" t="s">
        <v>124</v>
      </c>
      <c r="E218" s="97" t="s">
        <v>351</v>
      </c>
      <c r="F218" s="84" t="s">
        <v>588</v>
      </c>
      <c r="G218" s="97" t="s">
        <v>421</v>
      </c>
      <c r="H218" s="84" t="s">
        <v>638</v>
      </c>
      <c r="I218" s="84" t="s">
        <v>355</v>
      </c>
      <c r="J218" s="84"/>
      <c r="K218" s="94">
        <v>4.3300000000204655</v>
      </c>
      <c r="L218" s="97" t="s">
        <v>168</v>
      </c>
      <c r="M218" s="98">
        <v>5.6500000000000002E-2</v>
      </c>
      <c r="N218" s="98">
        <v>1.5900000000085825E-2</v>
      </c>
      <c r="O218" s="94">
        <v>25603.884450000001</v>
      </c>
      <c r="P218" s="96">
        <v>118.32</v>
      </c>
      <c r="Q218" s="84"/>
      <c r="R218" s="94">
        <v>30.294517286000001</v>
      </c>
      <c r="S218" s="95">
        <v>2.9183387426489824E-4</v>
      </c>
      <c r="T218" s="95">
        <f t="shared" si="3"/>
        <v>1.2005398953870903E-4</v>
      </c>
      <c r="U218" s="95">
        <f>R218/'סכום נכסי הקרן'!$C$42</f>
        <v>3.1876815401608306E-5</v>
      </c>
    </row>
    <row r="219" spans="2:21">
      <c r="B219" s="87" t="s">
        <v>844</v>
      </c>
      <c r="C219" s="84" t="s">
        <v>845</v>
      </c>
      <c r="D219" s="97" t="s">
        <v>124</v>
      </c>
      <c r="E219" s="97" t="s">
        <v>351</v>
      </c>
      <c r="F219" s="84" t="s">
        <v>591</v>
      </c>
      <c r="G219" s="97" t="s">
        <v>421</v>
      </c>
      <c r="H219" s="84" t="s">
        <v>638</v>
      </c>
      <c r="I219" s="84" t="s">
        <v>355</v>
      </c>
      <c r="J219" s="84"/>
      <c r="K219" s="94">
        <v>2.7799999999983975</v>
      </c>
      <c r="L219" s="97" t="s">
        <v>168</v>
      </c>
      <c r="M219" s="98">
        <v>3.7000000000000005E-2</v>
      </c>
      <c r="N219" s="98">
        <v>9.7999999999985425E-3</v>
      </c>
      <c r="O219" s="94">
        <v>127429.75455</v>
      </c>
      <c r="P219" s="96">
        <v>107.73</v>
      </c>
      <c r="Q219" s="84"/>
      <c r="R219" s="94">
        <v>137.28007454900001</v>
      </c>
      <c r="S219" s="95">
        <v>5.9331985807582863E-4</v>
      </c>
      <c r="T219" s="95">
        <f t="shared" si="3"/>
        <v>5.4402651404500879E-4</v>
      </c>
      <c r="U219" s="95">
        <f>R219/'סכום נכסי הקרן'!$C$42</f>
        <v>1.4445028298040594E-4</v>
      </c>
    </row>
    <row r="220" spans="2:21">
      <c r="B220" s="87" t="s">
        <v>846</v>
      </c>
      <c r="C220" s="84" t="s">
        <v>847</v>
      </c>
      <c r="D220" s="97" t="s">
        <v>124</v>
      </c>
      <c r="E220" s="97" t="s">
        <v>351</v>
      </c>
      <c r="F220" s="84" t="s">
        <v>848</v>
      </c>
      <c r="G220" s="97" t="s">
        <v>160</v>
      </c>
      <c r="H220" s="84" t="s">
        <v>638</v>
      </c>
      <c r="I220" s="84" t="s">
        <v>355</v>
      </c>
      <c r="J220" s="84"/>
      <c r="K220" s="94">
        <v>2.6700000000019575</v>
      </c>
      <c r="L220" s="97" t="s">
        <v>168</v>
      </c>
      <c r="M220" s="98">
        <v>2.9500000000000002E-2</v>
      </c>
      <c r="N220" s="98">
        <v>1.1499999999998621E-2</v>
      </c>
      <c r="O220" s="94">
        <v>345927.14204300003</v>
      </c>
      <c r="P220" s="96">
        <v>104.84</v>
      </c>
      <c r="Q220" s="84"/>
      <c r="R220" s="94">
        <v>362.67001568699999</v>
      </c>
      <c r="S220" s="95">
        <v>1.9347242268294503E-3</v>
      </c>
      <c r="T220" s="95">
        <f t="shared" si="3"/>
        <v>1.4372231733631767E-3</v>
      </c>
      <c r="U220" s="95">
        <f>R220/'סכום נכסי הקרן'!$C$42</f>
        <v>3.816124558979344E-4</v>
      </c>
    </row>
    <row r="221" spans="2:21">
      <c r="B221" s="87" t="s">
        <v>849</v>
      </c>
      <c r="C221" s="84" t="s">
        <v>850</v>
      </c>
      <c r="D221" s="97" t="s">
        <v>124</v>
      </c>
      <c r="E221" s="97" t="s">
        <v>351</v>
      </c>
      <c r="F221" s="84" t="s">
        <v>608</v>
      </c>
      <c r="G221" s="97" t="s">
        <v>481</v>
      </c>
      <c r="H221" s="84" t="s">
        <v>634</v>
      </c>
      <c r="I221" s="84" t="s">
        <v>164</v>
      </c>
      <c r="J221" s="84"/>
      <c r="K221" s="94">
        <v>8.2800000000033531</v>
      </c>
      <c r="L221" s="97" t="s">
        <v>168</v>
      </c>
      <c r="M221" s="98">
        <v>3.4300000000000004E-2</v>
      </c>
      <c r="N221" s="98">
        <v>2.0400000000010979E-2</v>
      </c>
      <c r="O221" s="94">
        <v>618266.66704600002</v>
      </c>
      <c r="P221" s="96">
        <v>112.04</v>
      </c>
      <c r="Q221" s="84"/>
      <c r="R221" s="94">
        <v>692.70597380599986</v>
      </c>
      <c r="S221" s="95">
        <v>2.4352712582558691E-3</v>
      </c>
      <c r="T221" s="95">
        <f t="shared" si="3"/>
        <v>2.7451210048208444E-3</v>
      </c>
      <c r="U221" s="95">
        <f>R221/'סכום נכסי הקרן'!$C$42</f>
        <v>7.2888636072803781E-4</v>
      </c>
    </row>
    <row r="222" spans="2:21">
      <c r="B222" s="87" t="s">
        <v>851</v>
      </c>
      <c r="C222" s="84" t="s">
        <v>852</v>
      </c>
      <c r="D222" s="97" t="s">
        <v>124</v>
      </c>
      <c r="E222" s="97" t="s">
        <v>351</v>
      </c>
      <c r="F222" s="84" t="s">
        <v>853</v>
      </c>
      <c r="G222" s="97" t="s">
        <v>421</v>
      </c>
      <c r="H222" s="84" t="s">
        <v>638</v>
      </c>
      <c r="I222" s="84" t="s">
        <v>355</v>
      </c>
      <c r="J222" s="84"/>
      <c r="K222" s="94">
        <v>4.3699999999993286</v>
      </c>
      <c r="L222" s="97" t="s">
        <v>168</v>
      </c>
      <c r="M222" s="98">
        <v>3.9E-2</v>
      </c>
      <c r="N222" s="98">
        <v>3.709999999999665E-2</v>
      </c>
      <c r="O222" s="94">
        <v>588166.40914200002</v>
      </c>
      <c r="P222" s="96">
        <v>101.29</v>
      </c>
      <c r="Q222" s="84"/>
      <c r="R222" s="94">
        <v>595.75375581999992</v>
      </c>
      <c r="S222" s="95">
        <v>1.3974349809736512E-3</v>
      </c>
      <c r="T222" s="95">
        <f t="shared" si="3"/>
        <v>2.3609095498581725E-3</v>
      </c>
      <c r="U222" s="95">
        <f>R222/'סכום נכסי הקרן'!$C$42</f>
        <v>6.2687027886280759E-4</v>
      </c>
    </row>
    <row r="223" spans="2:21">
      <c r="B223" s="87" t="s">
        <v>854</v>
      </c>
      <c r="C223" s="84" t="s">
        <v>855</v>
      </c>
      <c r="D223" s="97" t="s">
        <v>124</v>
      </c>
      <c r="E223" s="97" t="s">
        <v>351</v>
      </c>
      <c r="F223" s="84" t="s">
        <v>856</v>
      </c>
      <c r="G223" s="97" t="s">
        <v>195</v>
      </c>
      <c r="H223" s="84" t="s">
        <v>638</v>
      </c>
      <c r="I223" s="84" t="s">
        <v>355</v>
      </c>
      <c r="J223" s="84"/>
      <c r="K223" s="94">
        <v>1.47999999999859</v>
      </c>
      <c r="L223" s="97" t="s">
        <v>168</v>
      </c>
      <c r="M223" s="98">
        <v>1.3300000000000001E-2</v>
      </c>
      <c r="N223" s="98">
        <v>1.3400000000004702E-2</v>
      </c>
      <c r="O223" s="94">
        <v>255242.22261</v>
      </c>
      <c r="P223" s="96">
        <v>100.02</v>
      </c>
      <c r="Q223" s="84"/>
      <c r="R223" s="94">
        <v>255.29327103199998</v>
      </c>
      <c r="S223" s="95">
        <v>1.1683876290873069E-3</v>
      </c>
      <c r="T223" s="95">
        <f t="shared" ref="T223:T241" si="4">R223/$R$11</f>
        <v>1.0117004143169609E-3</v>
      </c>
      <c r="U223" s="95">
        <f>R223/'סכום נכסי הקרן'!$C$42</f>
        <v>2.6862736900979116E-4</v>
      </c>
    </row>
    <row r="224" spans="2:21">
      <c r="B224" s="87" t="s">
        <v>857</v>
      </c>
      <c r="C224" s="84" t="s">
        <v>858</v>
      </c>
      <c r="D224" s="97" t="s">
        <v>124</v>
      </c>
      <c r="E224" s="97" t="s">
        <v>351</v>
      </c>
      <c r="F224" s="84" t="s">
        <v>856</v>
      </c>
      <c r="G224" s="97" t="s">
        <v>195</v>
      </c>
      <c r="H224" s="84" t="s">
        <v>638</v>
      </c>
      <c r="I224" s="84" t="s">
        <v>355</v>
      </c>
      <c r="J224" s="84"/>
      <c r="K224" s="94">
        <v>2.4299999999995574</v>
      </c>
      <c r="L224" s="97" t="s">
        <v>168</v>
      </c>
      <c r="M224" s="98">
        <v>2.1600000000000001E-2</v>
      </c>
      <c r="N224" s="98">
        <v>1.3899999999995263E-2</v>
      </c>
      <c r="O224" s="94">
        <v>1263592.513212</v>
      </c>
      <c r="P224" s="96">
        <v>101.91</v>
      </c>
      <c r="Q224" s="84"/>
      <c r="R224" s="94">
        <v>1287.7271301989999</v>
      </c>
      <c r="S224" s="95">
        <v>1.237865945271424E-3</v>
      </c>
      <c r="T224" s="95">
        <f t="shared" si="4"/>
        <v>5.1031273401100311E-3</v>
      </c>
      <c r="U224" s="95">
        <f>R224/'סכום נכסי הקרן'!$C$42</f>
        <v>1.3549857761214813E-3</v>
      </c>
    </row>
    <row r="225" spans="2:21">
      <c r="B225" s="87" t="s">
        <v>859</v>
      </c>
      <c r="C225" s="84" t="s">
        <v>860</v>
      </c>
      <c r="D225" s="97" t="s">
        <v>124</v>
      </c>
      <c r="E225" s="97" t="s">
        <v>351</v>
      </c>
      <c r="F225" s="84" t="s">
        <v>861</v>
      </c>
      <c r="G225" s="97" t="s">
        <v>862</v>
      </c>
      <c r="H225" s="84" t="s">
        <v>634</v>
      </c>
      <c r="I225" s="84" t="s">
        <v>164</v>
      </c>
      <c r="J225" s="84"/>
      <c r="K225" s="94">
        <v>5.9699999999960669</v>
      </c>
      <c r="L225" s="97" t="s">
        <v>168</v>
      </c>
      <c r="M225" s="98">
        <v>2.1600000000000001E-2</v>
      </c>
      <c r="N225" s="98">
        <v>2.2199999999975649E-2</v>
      </c>
      <c r="O225" s="94">
        <v>502036.95</v>
      </c>
      <c r="P225" s="96">
        <v>99.8</v>
      </c>
      <c r="Q225" s="84"/>
      <c r="R225" s="94">
        <v>501.03290090100006</v>
      </c>
      <c r="S225" s="95">
        <v>2.1921000694259478E-3</v>
      </c>
      <c r="T225" s="95">
        <f t="shared" si="4"/>
        <v>1.9855407523233673E-3</v>
      </c>
      <c r="U225" s="95">
        <f>R225/'סכום נכסי הקרן'!$C$42</f>
        <v>5.2720210529759177E-4</v>
      </c>
    </row>
    <row r="226" spans="2:21">
      <c r="B226" s="87" t="s">
        <v>863</v>
      </c>
      <c r="C226" s="84" t="s">
        <v>864</v>
      </c>
      <c r="D226" s="97" t="s">
        <v>124</v>
      </c>
      <c r="E226" s="97" t="s">
        <v>351</v>
      </c>
      <c r="F226" s="84" t="s">
        <v>812</v>
      </c>
      <c r="G226" s="97" t="s">
        <v>155</v>
      </c>
      <c r="H226" s="84" t="s">
        <v>634</v>
      </c>
      <c r="I226" s="84" t="s">
        <v>164</v>
      </c>
      <c r="J226" s="84"/>
      <c r="K226" s="94">
        <v>2.2299999999974127</v>
      </c>
      <c r="L226" s="97" t="s">
        <v>168</v>
      </c>
      <c r="M226" s="98">
        <v>2.4E-2</v>
      </c>
      <c r="N226" s="98">
        <v>1.5099999999979477E-2</v>
      </c>
      <c r="O226" s="94">
        <v>219289.24866700001</v>
      </c>
      <c r="P226" s="96">
        <v>102.22</v>
      </c>
      <c r="Q226" s="84"/>
      <c r="R226" s="94">
        <v>224.15746994599996</v>
      </c>
      <c r="S226" s="95">
        <v>6.9252430999351244E-4</v>
      </c>
      <c r="T226" s="95">
        <f t="shared" si="4"/>
        <v>8.8831250545645549E-4</v>
      </c>
      <c r="U226" s="95">
        <f>R226/'סכום נכסי הקרן'!$C$42</f>
        <v>2.3586532912548889E-4</v>
      </c>
    </row>
    <row r="227" spans="2:21">
      <c r="B227" s="87" t="s">
        <v>865</v>
      </c>
      <c r="C227" s="84" t="s">
        <v>866</v>
      </c>
      <c r="D227" s="97" t="s">
        <v>124</v>
      </c>
      <c r="E227" s="97" t="s">
        <v>351</v>
      </c>
      <c r="F227" s="84" t="s">
        <v>867</v>
      </c>
      <c r="G227" s="97" t="s">
        <v>421</v>
      </c>
      <c r="H227" s="84" t="s">
        <v>638</v>
      </c>
      <c r="I227" s="84" t="s">
        <v>355</v>
      </c>
      <c r="J227" s="84"/>
      <c r="K227" s="94">
        <v>0.71</v>
      </c>
      <c r="L227" s="97" t="s">
        <v>168</v>
      </c>
      <c r="M227" s="98">
        <v>5.0999999999999997E-2</v>
      </c>
      <c r="N227" s="98">
        <v>1.9900000000009081E-2</v>
      </c>
      <c r="O227" s="94">
        <v>1063542.3035569999</v>
      </c>
      <c r="P227" s="96">
        <v>103.5</v>
      </c>
      <c r="Q227" s="84"/>
      <c r="R227" s="94">
        <v>1100.7662487</v>
      </c>
      <c r="S227" s="95">
        <v>1.4772446747093547E-3</v>
      </c>
      <c r="T227" s="95">
        <f t="shared" si="4"/>
        <v>4.362221007134676E-3</v>
      </c>
      <c r="U227" s="95">
        <f>R227/'סכום נכסי הקרן'!$C$42</f>
        <v>1.1582598322616743E-3</v>
      </c>
    </row>
    <row r="228" spans="2:21">
      <c r="B228" s="87" t="s">
        <v>868</v>
      </c>
      <c r="C228" s="84" t="s">
        <v>869</v>
      </c>
      <c r="D228" s="97" t="s">
        <v>124</v>
      </c>
      <c r="E228" s="97" t="s">
        <v>351</v>
      </c>
      <c r="F228" s="84" t="s">
        <v>870</v>
      </c>
      <c r="G228" s="97" t="s">
        <v>871</v>
      </c>
      <c r="H228" s="84" t="s">
        <v>638</v>
      </c>
      <c r="I228" s="84" t="s">
        <v>355</v>
      </c>
      <c r="J228" s="84"/>
      <c r="K228" s="94">
        <v>5.1800000000099908</v>
      </c>
      <c r="L228" s="97" t="s">
        <v>168</v>
      </c>
      <c r="M228" s="98">
        <v>2.6200000000000001E-2</v>
      </c>
      <c r="N228" s="98">
        <v>1.5600000000027314E-2</v>
      </c>
      <c r="O228" s="94">
        <v>260486.75321399997</v>
      </c>
      <c r="P228" s="96">
        <v>105.52</v>
      </c>
      <c r="Q228" s="94">
        <v>3.4123764759999995</v>
      </c>
      <c r="R228" s="94">
        <v>278.27799557899999</v>
      </c>
      <c r="S228" s="95">
        <v>5.403270868318006E-4</v>
      </c>
      <c r="T228" s="95">
        <f t="shared" si="4"/>
        <v>1.1027864631311748E-3</v>
      </c>
      <c r="U228" s="95">
        <f>R228/'סכום נכסי הקרן'!$C$42</f>
        <v>2.9281259746299806E-4</v>
      </c>
    </row>
    <row r="229" spans="2:21">
      <c r="B229" s="87" t="s">
        <v>872</v>
      </c>
      <c r="C229" s="84" t="s">
        <v>873</v>
      </c>
      <c r="D229" s="97" t="s">
        <v>124</v>
      </c>
      <c r="E229" s="97" t="s">
        <v>351</v>
      </c>
      <c r="F229" s="84" t="s">
        <v>870</v>
      </c>
      <c r="G229" s="97" t="s">
        <v>871</v>
      </c>
      <c r="H229" s="84" t="s">
        <v>638</v>
      </c>
      <c r="I229" s="84" t="s">
        <v>355</v>
      </c>
      <c r="J229" s="84"/>
      <c r="K229" s="94">
        <v>3.099999999999298</v>
      </c>
      <c r="L229" s="97" t="s">
        <v>168</v>
      </c>
      <c r="M229" s="98">
        <v>3.3500000000000002E-2</v>
      </c>
      <c r="N229" s="98">
        <v>1.2999999999978952E-2</v>
      </c>
      <c r="O229" s="94">
        <v>265675.389234</v>
      </c>
      <c r="P229" s="96">
        <v>107.3</v>
      </c>
      <c r="Q229" s="84"/>
      <c r="R229" s="94">
        <v>285.06969261199998</v>
      </c>
      <c r="S229" s="95">
        <v>6.4436897223693634E-4</v>
      </c>
      <c r="T229" s="95">
        <f t="shared" si="4"/>
        <v>1.1297012449992018E-3</v>
      </c>
      <c r="U229" s="95">
        <f>R229/'סכום נכסי הקרן'!$C$42</f>
        <v>2.9995902830197505E-4</v>
      </c>
    </row>
    <row r="230" spans="2:21">
      <c r="B230" s="87" t="s">
        <v>874</v>
      </c>
      <c r="C230" s="84" t="s">
        <v>875</v>
      </c>
      <c r="D230" s="97" t="s">
        <v>124</v>
      </c>
      <c r="E230" s="97" t="s">
        <v>351</v>
      </c>
      <c r="F230" s="84" t="s">
        <v>633</v>
      </c>
      <c r="G230" s="97" t="s">
        <v>359</v>
      </c>
      <c r="H230" s="84" t="s">
        <v>663</v>
      </c>
      <c r="I230" s="84" t="s">
        <v>164</v>
      </c>
      <c r="J230" s="84"/>
      <c r="K230" s="94">
        <v>0.68999999998554984</v>
      </c>
      <c r="L230" s="97" t="s">
        <v>168</v>
      </c>
      <c r="M230" s="98">
        <v>2.63E-2</v>
      </c>
      <c r="N230" s="98">
        <v>7.8999999999372923E-3</v>
      </c>
      <c r="O230" s="94">
        <v>36160.529607999997</v>
      </c>
      <c r="P230" s="96">
        <v>101.43</v>
      </c>
      <c r="Q230" s="84"/>
      <c r="R230" s="94">
        <v>36.677623636999996</v>
      </c>
      <c r="S230" s="95">
        <v>3.7461181841538202E-4</v>
      </c>
      <c r="T230" s="95">
        <f t="shared" si="4"/>
        <v>1.4534956945678082E-4</v>
      </c>
      <c r="U230" s="95">
        <f>R230/'סכום נכסי הקרן'!$C$42</f>
        <v>3.8593314658511515E-5</v>
      </c>
    </row>
    <row r="231" spans="2:21">
      <c r="B231" s="87" t="s">
        <v>876</v>
      </c>
      <c r="C231" s="84" t="s">
        <v>877</v>
      </c>
      <c r="D231" s="97" t="s">
        <v>124</v>
      </c>
      <c r="E231" s="97" t="s">
        <v>351</v>
      </c>
      <c r="F231" s="84" t="s">
        <v>878</v>
      </c>
      <c r="G231" s="97" t="s">
        <v>481</v>
      </c>
      <c r="H231" s="84" t="s">
        <v>663</v>
      </c>
      <c r="I231" s="84" t="s">
        <v>164</v>
      </c>
      <c r="J231" s="84"/>
      <c r="K231" s="94">
        <v>5.3999999999971795</v>
      </c>
      <c r="L231" s="97" t="s">
        <v>168</v>
      </c>
      <c r="M231" s="98">
        <v>3.27E-2</v>
      </c>
      <c r="N231" s="98">
        <v>1.6399999999997177E-2</v>
      </c>
      <c r="O231" s="94">
        <v>258939.262571</v>
      </c>
      <c r="P231" s="96">
        <v>109.55</v>
      </c>
      <c r="Q231" s="84"/>
      <c r="R231" s="94">
        <v>283.66796217200005</v>
      </c>
      <c r="S231" s="95">
        <v>1.1611626124260089E-3</v>
      </c>
      <c r="T231" s="95">
        <f t="shared" si="4"/>
        <v>1.1241463345184988E-3</v>
      </c>
      <c r="U231" s="95">
        <f>R231/'סכום נכסי הקרן'!$C$42</f>
        <v>2.9848408476493635E-4</v>
      </c>
    </row>
    <row r="232" spans="2:21">
      <c r="B232" s="87" t="s">
        <v>879</v>
      </c>
      <c r="C232" s="84" t="s">
        <v>880</v>
      </c>
      <c r="D232" s="97" t="s">
        <v>124</v>
      </c>
      <c r="E232" s="97" t="s">
        <v>351</v>
      </c>
      <c r="F232" s="84" t="s">
        <v>677</v>
      </c>
      <c r="G232" s="97" t="s">
        <v>485</v>
      </c>
      <c r="H232" s="84" t="s">
        <v>671</v>
      </c>
      <c r="I232" s="84" t="s">
        <v>355</v>
      </c>
      <c r="J232" s="84"/>
      <c r="K232" s="94">
        <v>1.4600000000014572</v>
      </c>
      <c r="L232" s="97" t="s">
        <v>168</v>
      </c>
      <c r="M232" s="98">
        <v>0.06</v>
      </c>
      <c r="N232" s="98">
        <v>1.400000000000607E-2</v>
      </c>
      <c r="O232" s="94">
        <v>308412.16286600003</v>
      </c>
      <c r="P232" s="96">
        <v>106.8</v>
      </c>
      <c r="Q232" s="84"/>
      <c r="R232" s="94">
        <v>329.38417971199999</v>
      </c>
      <c r="S232" s="95">
        <v>1.1274474327016466E-3</v>
      </c>
      <c r="T232" s="95">
        <f t="shared" si="4"/>
        <v>1.3053149021006222E-3</v>
      </c>
      <c r="U232" s="95">
        <f>R232/'סכום נכסי הקרן'!$C$42</f>
        <v>3.4658808370390611E-4</v>
      </c>
    </row>
    <row r="233" spans="2:21">
      <c r="B233" s="87" t="s">
        <v>881</v>
      </c>
      <c r="C233" s="84" t="s">
        <v>882</v>
      </c>
      <c r="D233" s="97" t="s">
        <v>124</v>
      </c>
      <c r="E233" s="97" t="s">
        <v>351</v>
      </c>
      <c r="F233" s="84" t="s">
        <v>677</v>
      </c>
      <c r="G233" s="97" t="s">
        <v>485</v>
      </c>
      <c r="H233" s="84" t="s">
        <v>671</v>
      </c>
      <c r="I233" s="84" t="s">
        <v>355</v>
      </c>
      <c r="J233" s="84"/>
      <c r="K233" s="94">
        <v>2.799999999898886</v>
      </c>
      <c r="L233" s="97" t="s">
        <v>168</v>
      </c>
      <c r="M233" s="98">
        <v>5.9000000000000004E-2</v>
      </c>
      <c r="N233" s="98">
        <v>1.6999999999115251E-2</v>
      </c>
      <c r="O233" s="94">
        <v>7057.2277889999996</v>
      </c>
      <c r="P233" s="96">
        <v>112.11</v>
      </c>
      <c r="Q233" s="84"/>
      <c r="R233" s="94">
        <v>7.9118580410000003</v>
      </c>
      <c r="S233" s="95">
        <v>8.3529197542543093E-6</v>
      </c>
      <c r="T233" s="95">
        <f t="shared" si="4"/>
        <v>3.1353862268831033E-5</v>
      </c>
      <c r="U233" s="95">
        <f>R233/'סכום נכסי הקרן'!$C$42</f>
        <v>8.3250984287258708E-6</v>
      </c>
    </row>
    <row r="234" spans="2:21">
      <c r="B234" s="87" t="s">
        <v>883</v>
      </c>
      <c r="C234" s="84" t="s">
        <v>884</v>
      </c>
      <c r="D234" s="97" t="s">
        <v>124</v>
      </c>
      <c r="E234" s="97" t="s">
        <v>351</v>
      </c>
      <c r="F234" s="84" t="s">
        <v>688</v>
      </c>
      <c r="G234" s="97" t="s">
        <v>195</v>
      </c>
      <c r="H234" s="84" t="s">
        <v>671</v>
      </c>
      <c r="I234" s="84" t="s">
        <v>355</v>
      </c>
      <c r="J234" s="84"/>
      <c r="K234" s="94">
        <v>2.9500000000044957</v>
      </c>
      <c r="L234" s="97" t="s">
        <v>168</v>
      </c>
      <c r="M234" s="98">
        <v>4.1399999999999999E-2</v>
      </c>
      <c r="N234" s="98">
        <v>3.0500000000048058E-2</v>
      </c>
      <c r="O234" s="94">
        <v>306348.73477400001</v>
      </c>
      <c r="P234" s="96">
        <v>103.21</v>
      </c>
      <c r="Q234" s="94">
        <v>6.3414188869999997</v>
      </c>
      <c r="R234" s="94">
        <v>322.52394800899998</v>
      </c>
      <c r="S234" s="95">
        <v>4.7628257928397205E-4</v>
      </c>
      <c r="T234" s="95">
        <f t="shared" si="4"/>
        <v>1.2781285245350126E-3</v>
      </c>
      <c r="U234" s="95">
        <f>R234/'סכום נכסי הקרן'!$C$42</f>
        <v>3.3936953859409999E-4</v>
      </c>
    </row>
    <row r="235" spans="2:21">
      <c r="B235" s="87" t="s">
        <v>885</v>
      </c>
      <c r="C235" s="84" t="s">
        <v>886</v>
      </c>
      <c r="D235" s="97" t="s">
        <v>124</v>
      </c>
      <c r="E235" s="97" t="s">
        <v>351</v>
      </c>
      <c r="F235" s="84" t="s">
        <v>688</v>
      </c>
      <c r="G235" s="97" t="s">
        <v>195</v>
      </c>
      <c r="H235" s="84" t="s">
        <v>671</v>
      </c>
      <c r="I235" s="84" t="s">
        <v>355</v>
      </c>
      <c r="J235" s="84"/>
      <c r="K235" s="94">
        <v>5.2899999999979821</v>
      </c>
      <c r="L235" s="97" t="s">
        <v>168</v>
      </c>
      <c r="M235" s="98">
        <v>2.5000000000000001E-2</v>
      </c>
      <c r="N235" s="98">
        <v>4.7099999999987971E-2</v>
      </c>
      <c r="O235" s="94">
        <v>1015305.520849</v>
      </c>
      <c r="P235" s="96">
        <v>89.22</v>
      </c>
      <c r="Q235" s="94">
        <v>25.382638172</v>
      </c>
      <c r="R235" s="94">
        <v>931.23820127199997</v>
      </c>
      <c r="S235" s="95">
        <v>1.667295574837848E-3</v>
      </c>
      <c r="T235" s="95">
        <f t="shared" si="4"/>
        <v>3.6903991642481286E-3</v>
      </c>
      <c r="U235" s="95">
        <f>R235/'סכום נכסי הקרן'!$C$42</f>
        <v>9.7987724830299848E-4</v>
      </c>
    </row>
    <row r="236" spans="2:21">
      <c r="B236" s="87" t="s">
        <v>887</v>
      </c>
      <c r="C236" s="84" t="s">
        <v>888</v>
      </c>
      <c r="D236" s="97" t="s">
        <v>124</v>
      </c>
      <c r="E236" s="97" t="s">
        <v>351</v>
      </c>
      <c r="F236" s="84" t="s">
        <v>688</v>
      </c>
      <c r="G236" s="97" t="s">
        <v>195</v>
      </c>
      <c r="H236" s="84" t="s">
        <v>671</v>
      </c>
      <c r="I236" s="84" t="s">
        <v>355</v>
      </c>
      <c r="J236" s="84"/>
      <c r="K236" s="94">
        <v>3.8799999999963397</v>
      </c>
      <c r="L236" s="97" t="s">
        <v>168</v>
      </c>
      <c r="M236" s="98">
        <v>3.5499999999999997E-2</v>
      </c>
      <c r="N236" s="98">
        <v>4.4099999999959838E-2</v>
      </c>
      <c r="O236" s="94">
        <v>398669.34932799992</v>
      </c>
      <c r="P236" s="96">
        <v>96.92</v>
      </c>
      <c r="Q236" s="94">
        <v>7.0763810009999988</v>
      </c>
      <c r="R236" s="94">
        <v>393.46669663800003</v>
      </c>
      <c r="S236" s="95">
        <v>5.6100517190002161E-4</v>
      </c>
      <c r="T236" s="95">
        <f t="shared" si="4"/>
        <v>1.5592671847535458E-3</v>
      </c>
      <c r="U236" s="95">
        <f>R236/'סכום נכסי הקרן'!$C$42</f>
        <v>4.1401766322932593E-4</v>
      </c>
    </row>
    <row r="237" spans="2:21">
      <c r="B237" s="87" t="s">
        <v>889</v>
      </c>
      <c r="C237" s="84" t="s">
        <v>890</v>
      </c>
      <c r="D237" s="97" t="s">
        <v>124</v>
      </c>
      <c r="E237" s="97" t="s">
        <v>351</v>
      </c>
      <c r="F237" s="84" t="s">
        <v>891</v>
      </c>
      <c r="G237" s="97" t="s">
        <v>485</v>
      </c>
      <c r="H237" s="84" t="s">
        <v>694</v>
      </c>
      <c r="I237" s="84" t="s">
        <v>164</v>
      </c>
      <c r="J237" s="84"/>
      <c r="K237" s="94">
        <v>5.4599999999973718</v>
      </c>
      <c r="L237" s="97" t="s">
        <v>168</v>
      </c>
      <c r="M237" s="98">
        <v>4.4500000000000005E-2</v>
      </c>
      <c r="N237" s="98">
        <v>2.0499999999991289E-2</v>
      </c>
      <c r="O237" s="94">
        <v>556524.854727</v>
      </c>
      <c r="P237" s="96">
        <v>113.46</v>
      </c>
      <c r="Q237" s="84"/>
      <c r="R237" s="94">
        <v>631.43310637099989</v>
      </c>
      <c r="S237" s="95">
        <v>1.9451293714594284E-3</v>
      </c>
      <c r="T237" s="95">
        <f t="shared" si="4"/>
        <v>2.5023030679446013E-3</v>
      </c>
      <c r="U237" s="95">
        <f>R237/'סכום נכסי הקרן'!$C$42</f>
        <v>6.6441318012200996E-4</v>
      </c>
    </row>
    <row r="238" spans="2:21">
      <c r="B238" s="87" t="s">
        <v>892</v>
      </c>
      <c r="C238" s="84" t="s">
        <v>893</v>
      </c>
      <c r="D238" s="97" t="s">
        <v>124</v>
      </c>
      <c r="E238" s="97" t="s">
        <v>351</v>
      </c>
      <c r="F238" s="84" t="s">
        <v>894</v>
      </c>
      <c r="G238" s="97" t="s">
        <v>421</v>
      </c>
      <c r="H238" s="84" t="s">
        <v>694</v>
      </c>
      <c r="I238" s="84" t="s">
        <v>164</v>
      </c>
      <c r="J238" s="84"/>
      <c r="K238" s="94">
        <v>3.5600000000007088</v>
      </c>
      <c r="L238" s="97" t="s">
        <v>168</v>
      </c>
      <c r="M238" s="98">
        <v>4.2000000000000003E-2</v>
      </c>
      <c r="N238" s="98">
        <v>7.1200000000014182E-2</v>
      </c>
      <c r="O238" s="94">
        <v>491052.36586999998</v>
      </c>
      <c r="P238" s="96">
        <v>92</v>
      </c>
      <c r="Q238" s="84"/>
      <c r="R238" s="94">
        <v>451.76817665299995</v>
      </c>
      <c r="S238" s="95">
        <v>8.2558097679267834E-4</v>
      </c>
      <c r="T238" s="95">
        <f t="shared" si="4"/>
        <v>1.7903098254311925E-3</v>
      </c>
      <c r="U238" s="95">
        <f>R238/'סכום נכסי הקרן'!$C$42</f>
        <v>4.7536425933229672E-4</v>
      </c>
    </row>
    <row r="239" spans="2:21">
      <c r="B239" s="87" t="s">
        <v>895</v>
      </c>
      <c r="C239" s="84" t="s">
        <v>896</v>
      </c>
      <c r="D239" s="97" t="s">
        <v>124</v>
      </c>
      <c r="E239" s="97" t="s">
        <v>351</v>
      </c>
      <c r="F239" s="84" t="s">
        <v>894</v>
      </c>
      <c r="G239" s="97" t="s">
        <v>421</v>
      </c>
      <c r="H239" s="84" t="s">
        <v>694</v>
      </c>
      <c r="I239" s="84" t="s">
        <v>164</v>
      </c>
      <c r="J239" s="84"/>
      <c r="K239" s="94">
        <v>4.0699999999978935</v>
      </c>
      <c r="L239" s="97" t="s">
        <v>168</v>
      </c>
      <c r="M239" s="98">
        <v>3.2500000000000001E-2</v>
      </c>
      <c r="N239" s="98">
        <v>4.9599999999975337E-2</v>
      </c>
      <c r="O239" s="94">
        <v>820206.94360300002</v>
      </c>
      <c r="P239" s="96">
        <v>94.88</v>
      </c>
      <c r="Q239" s="84"/>
      <c r="R239" s="94">
        <v>778.21232085199995</v>
      </c>
      <c r="S239" s="95">
        <v>9.9996091822383468E-4</v>
      </c>
      <c r="T239" s="95">
        <f t="shared" si="4"/>
        <v>3.0839736756471145E-3</v>
      </c>
      <c r="U239" s="95">
        <f>R239/'סכום נכסי הקרן'!$C$42</f>
        <v>8.188587479662664E-4</v>
      </c>
    </row>
    <row r="240" spans="2:21">
      <c r="B240" s="87" t="s">
        <v>897</v>
      </c>
      <c r="C240" s="84" t="s">
        <v>898</v>
      </c>
      <c r="D240" s="97" t="s">
        <v>124</v>
      </c>
      <c r="E240" s="97" t="s">
        <v>351</v>
      </c>
      <c r="F240" s="84" t="s">
        <v>899</v>
      </c>
      <c r="G240" s="97" t="s">
        <v>421</v>
      </c>
      <c r="H240" s="84" t="s">
        <v>694</v>
      </c>
      <c r="I240" s="84" t="s">
        <v>164</v>
      </c>
      <c r="J240" s="84"/>
      <c r="K240" s="94">
        <v>3.1200000000050947</v>
      </c>
      <c r="L240" s="97" t="s">
        <v>168</v>
      </c>
      <c r="M240" s="98">
        <v>4.5999999999999999E-2</v>
      </c>
      <c r="N240" s="98">
        <v>5.7200000000050953E-2</v>
      </c>
      <c r="O240" s="94">
        <v>280415.99563800002</v>
      </c>
      <c r="P240" s="96">
        <v>97.99</v>
      </c>
      <c r="Q240" s="84"/>
      <c r="R240" s="94">
        <v>274.77963413000003</v>
      </c>
      <c r="S240" s="95">
        <v>1.1735614812537765E-3</v>
      </c>
      <c r="T240" s="95">
        <f t="shared" si="4"/>
        <v>1.0889228242147379E-3</v>
      </c>
      <c r="U240" s="95">
        <f>R240/'סכום נכסי הקרן'!$C$42</f>
        <v>2.891315148081703E-4</v>
      </c>
    </row>
    <row r="241" spans="2:21">
      <c r="B241" s="87" t="s">
        <v>900</v>
      </c>
      <c r="C241" s="84" t="s">
        <v>901</v>
      </c>
      <c r="D241" s="97" t="s">
        <v>124</v>
      </c>
      <c r="E241" s="97" t="s">
        <v>351</v>
      </c>
      <c r="F241" s="84" t="s">
        <v>902</v>
      </c>
      <c r="G241" s="97" t="s">
        <v>485</v>
      </c>
      <c r="H241" s="84" t="s">
        <v>903</v>
      </c>
      <c r="I241" s="84" t="s">
        <v>355</v>
      </c>
      <c r="J241" s="84"/>
      <c r="K241" s="94">
        <v>0.90999999999098713</v>
      </c>
      <c r="L241" s="97" t="s">
        <v>168</v>
      </c>
      <c r="M241" s="98">
        <v>4.7E-2</v>
      </c>
      <c r="N241" s="98">
        <v>1.1899999999939914E-2</v>
      </c>
      <c r="O241" s="94">
        <v>25708.308136</v>
      </c>
      <c r="P241" s="96">
        <v>103.58</v>
      </c>
      <c r="Q241" s="84"/>
      <c r="R241" s="94">
        <v>26.628664764</v>
      </c>
      <c r="S241" s="95">
        <v>1.1670317101249274E-3</v>
      </c>
      <c r="T241" s="95">
        <f t="shared" si="4"/>
        <v>1.0552660109505748E-4</v>
      </c>
      <c r="U241" s="95">
        <f>R241/'סכום נכסי הקרן'!$C$42</f>
        <v>2.8019493529464899E-5</v>
      </c>
    </row>
    <row r="242" spans="2:21">
      <c r="B242" s="83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94"/>
      <c r="P242" s="96"/>
      <c r="Q242" s="84"/>
      <c r="R242" s="84"/>
      <c r="S242" s="84"/>
      <c r="T242" s="95"/>
      <c r="U242" s="84"/>
    </row>
    <row r="243" spans="2:21">
      <c r="B243" s="102" t="s">
        <v>49</v>
      </c>
      <c r="C243" s="82"/>
      <c r="D243" s="82"/>
      <c r="E243" s="82"/>
      <c r="F243" s="82"/>
      <c r="G243" s="82"/>
      <c r="H243" s="82"/>
      <c r="I243" s="82"/>
      <c r="J243" s="82"/>
      <c r="K243" s="91">
        <v>3.9922233318589733</v>
      </c>
      <c r="L243" s="82"/>
      <c r="M243" s="82"/>
      <c r="N243" s="104">
        <v>5.7877019273484612E-2</v>
      </c>
      <c r="O243" s="91"/>
      <c r="P243" s="93"/>
      <c r="Q243" s="82"/>
      <c r="R243" s="91">
        <f>SUM(R244:R247)</f>
        <v>7268.4356734730009</v>
      </c>
      <c r="S243" s="82"/>
      <c r="T243" s="92">
        <f t="shared" ref="T243:T247" si="5">R243/$R$11</f>
        <v>2.8804047018407643E-2</v>
      </c>
      <c r="U243" s="92">
        <f>R243/'סכום נכסי הקרן'!$C$42</f>
        <v>7.6480697822122537E-3</v>
      </c>
    </row>
    <row r="244" spans="2:21">
      <c r="B244" s="87" t="s">
        <v>904</v>
      </c>
      <c r="C244" s="84" t="s">
        <v>905</v>
      </c>
      <c r="D244" s="97" t="s">
        <v>124</v>
      </c>
      <c r="E244" s="97" t="s">
        <v>351</v>
      </c>
      <c r="F244" s="84" t="s">
        <v>906</v>
      </c>
      <c r="G244" s="97" t="s">
        <v>150</v>
      </c>
      <c r="H244" s="84" t="s">
        <v>451</v>
      </c>
      <c r="I244" s="84" t="s">
        <v>355</v>
      </c>
      <c r="J244" s="84"/>
      <c r="K244" s="94">
        <v>2.8200000000001788</v>
      </c>
      <c r="L244" s="97" t="s">
        <v>168</v>
      </c>
      <c r="M244" s="98">
        <v>3.49E-2</v>
      </c>
      <c r="N244" s="98">
        <v>3.8700000000003079E-2</v>
      </c>
      <c r="O244" s="94">
        <v>3269887.4453400006</v>
      </c>
      <c r="P244" s="96">
        <v>95.52</v>
      </c>
      <c r="Q244" s="84"/>
      <c r="R244" s="94">
        <v>3123.3965538920002</v>
      </c>
      <c r="S244" s="95">
        <v>1.6227917646079197E-3</v>
      </c>
      <c r="T244" s="95">
        <f t="shared" si="5"/>
        <v>1.2377692427516502E-2</v>
      </c>
      <c r="U244" s="95">
        <f>R244/'סכום נכסי הקרן'!$C$42</f>
        <v>3.2865331516751472E-3</v>
      </c>
    </row>
    <row r="245" spans="2:21">
      <c r="B245" s="87" t="s">
        <v>907</v>
      </c>
      <c r="C245" s="84" t="s">
        <v>908</v>
      </c>
      <c r="D245" s="97" t="s">
        <v>124</v>
      </c>
      <c r="E245" s="97" t="s">
        <v>351</v>
      </c>
      <c r="F245" s="84" t="s">
        <v>909</v>
      </c>
      <c r="G245" s="97" t="s">
        <v>150</v>
      </c>
      <c r="H245" s="84" t="s">
        <v>634</v>
      </c>
      <c r="I245" s="84" t="s">
        <v>164</v>
      </c>
      <c r="J245" s="84"/>
      <c r="K245" s="94">
        <v>4.840000000000181</v>
      </c>
      <c r="L245" s="97" t="s">
        <v>168</v>
      </c>
      <c r="M245" s="98">
        <v>4.6900000000000004E-2</v>
      </c>
      <c r="N245" s="98">
        <v>7.359999999999968E-2</v>
      </c>
      <c r="O245" s="94">
        <v>1502870.238538</v>
      </c>
      <c r="P245" s="96">
        <v>88.16</v>
      </c>
      <c r="Q245" s="84"/>
      <c r="R245" s="94">
        <v>1324.9303837890002</v>
      </c>
      <c r="S245" s="95">
        <v>7.2843021959234514E-4</v>
      </c>
      <c r="T245" s="95">
        <f t="shared" si="5"/>
        <v>5.250559925852662E-3</v>
      </c>
      <c r="U245" s="95">
        <f>R245/'סכום נכסי הקרן'!$C$42</f>
        <v>1.3941321746539876E-3</v>
      </c>
    </row>
    <row r="246" spans="2:21">
      <c r="B246" s="87" t="s">
        <v>910</v>
      </c>
      <c r="C246" s="84" t="s">
        <v>911</v>
      </c>
      <c r="D246" s="97" t="s">
        <v>124</v>
      </c>
      <c r="E246" s="97" t="s">
        <v>351</v>
      </c>
      <c r="F246" s="84" t="s">
        <v>909</v>
      </c>
      <c r="G246" s="97" t="s">
        <v>150</v>
      </c>
      <c r="H246" s="84" t="s">
        <v>634</v>
      </c>
      <c r="I246" s="84" t="s">
        <v>164</v>
      </c>
      <c r="J246" s="84"/>
      <c r="K246" s="94">
        <v>5.0400000000003295</v>
      </c>
      <c r="L246" s="97" t="s">
        <v>168</v>
      </c>
      <c r="M246" s="98">
        <v>4.6900000000000004E-2</v>
      </c>
      <c r="N246" s="98">
        <v>7.3700000000006149E-2</v>
      </c>
      <c r="O246" s="94">
        <v>2986498.900568</v>
      </c>
      <c r="P246" s="96">
        <v>89.26</v>
      </c>
      <c r="Q246" s="84"/>
      <c r="R246" s="94">
        <v>2665.749148328</v>
      </c>
      <c r="S246" s="95">
        <v>1.7562992235746124E-3</v>
      </c>
      <c r="T246" s="95">
        <f t="shared" si="5"/>
        <v>1.0564083835529189E-2</v>
      </c>
      <c r="U246" s="95">
        <f>R246/'סכום נכסי הקרן'!$C$42</f>
        <v>2.8049825883020743E-3</v>
      </c>
    </row>
    <row r="247" spans="2:21">
      <c r="B247" s="87" t="s">
        <v>912</v>
      </c>
      <c r="C247" s="84" t="s">
        <v>913</v>
      </c>
      <c r="D247" s="97" t="s">
        <v>124</v>
      </c>
      <c r="E247" s="97" t="s">
        <v>351</v>
      </c>
      <c r="F247" s="84" t="s">
        <v>677</v>
      </c>
      <c r="G247" s="97" t="s">
        <v>485</v>
      </c>
      <c r="H247" s="84" t="s">
        <v>671</v>
      </c>
      <c r="I247" s="84" t="s">
        <v>355</v>
      </c>
      <c r="J247" s="84"/>
      <c r="K247" s="94">
        <v>2.3400000000015546</v>
      </c>
      <c r="L247" s="97" t="s">
        <v>168</v>
      </c>
      <c r="M247" s="98">
        <v>6.7000000000000004E-2</v>
      </c>
      <c r="N247" s="98">
        <v>3.7699999999981859E-2</v>
      </c>
      <c r="O247" s="94">
        <v>161904.329379</v>
      </c>
      <c r="P247" s="96">
        <v>95.34</v>
      </c>
      <c r="Q247" s="84"/>
      <c r="R247" s="94">
        <v>154.35958746400001</v>
      </c>
      <c r="S247" s="95">
        <v>1.4151460135882724E-4</v>
      </c>
      <c r="T247" s="95">
        <f t="shared" si="5"/>
        <v>6.1171082950928712E-4</v>
      </c>
      <c r="U247" s="95">
        <f>R247/'סכום נכסי הקרן'!$C$42</f>
        <v>1.6242186758104398E-4</v>
      </c>
    </row>
    <row r="248" spans="2:21">
      <c r="B248" s="83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94"/>
      <c r="P248" s="96"/>
      <c r="Q248" s="84"/>
      <c r="R248" s="84"/>
      <c r="S248" s="84"/>
      <c r="T248" s="95"/>
      <c r="U248" s="84"/>
    </row>
    <row r="249" spans="2:21">
      <c r="B249" s="81" t="s">
        <v>237</v>
      </c>
      <c r="C249" s="82"/>
      <c r="D249" s="82"/>
      <c r="E249" s="82"/>
      <c r="F249" s="82"/>
      <c r="G249" s="82"/>
      <c r="H249" s="82"/>
      <c r="I249" s="82"/>
      <c r="J249" s="82"/>
      <c r="K249" s="91">
        <v>6.1540101804970755</v>
      </c>
      <c r="L249" s="82"/>
      <c r="M249" s="82"/>
      <c r="N249" s="104">
        <v>3.5833249242472234E-2</v>
      </c>
      <c r="O249" s="91"/>
      <c r="P249" s="93"/>
      <c r="Q249" s="82"/>
      <c r="R249" s="91">
        <f>R250+R257</f>
        <v>18183.616914683003</v>
      </c>
      <c r="S249" s="82"/>
      <c r="T249" s="92">
        <f t="shared" ref="T249:T255" si="6">R249/$R$11</f>
        <v>7.2059763627924919E-2</v>
      </c>
      <c r="U249" s="92">
        <f>R249/'סכום נכסי הקרן'!$C$42</f>
        <v>1.913335651632183E-2</v>
      </c>
    </row>
    <row r="250" spans="2:21">
      <c r="B250" s="102" t="s">
        <v>67</v>
      </c>
      <c r="C250" s="82"/>
      <c r="D250" s="82"/>
      <c r="E250" s="82"/>
      <c r="F250" s="82"/>
      <c r="G250" s="82"/>
      <c r="H250" s="82"/>
      <c r="I250" s="82"/>
      <c r="J250" s="82"/>
      <c r="K250" s="91">
        <v>7.3672739550897575</v>
      </c>
      <c r="L250" s="82"/>
      <c r="M250" s="82"/>
      <c r="N250" s="104">
        <v>4.3495896186821884E-2</v>
      </c>
      <c r="O250" s="91"/>
      <c r="P250" s="93"/>
      <c r="Q250" s="82"/>
      <c r="R250" s="91">
        <f>SUM(R251:R255)</f>
        <v>1516.3813241260002</v>
      </c>
      <c r="S250" s="82"/>
      <c r="T250" s="92">
        <f t="shared" si="6"/>
        <v>6.0092598903183775E-3</v>
      </c>
      <c r="U250" s="92">
        <f>R250/'סכום נכסי הקרן'!$C$42</f>
        <v>1.5955826954189177E-3</v>
      </c>
    </row>
    <row r="251" spans="2:21">
      <c r="B251" s="87" t="s">
        <v>914</v>
      </c>
      <c r="C251" s="84" t="s">
        <v>915</v>
      </c>
      <c r="D251" s="97" t="s">
        <v>30</v>
      </c>
      <c r="E251" s="97" t="s">
        <v>916</v>
      </c>
      <c r="F251" s="84" t="s">
        <v>917</v>
      </c>
      <c r="G251" s="97" t="s">
        <v>918</v>
      </c>
      <c r="H251" s="84" t="s">
        <v>919</v>
      </c>
      <c r="I251" s="84" t="s">
        <v>920</v>
      </c>
      <c r="J251" s="84"/>
      <c r="K251" s="94">
        <v>3.6700000000060844</v>
      </c>
      <c r="L251" s="97" t="s">
        <v>167</v>
      </c>
      <c r="M251" s="98">
        <v>5.0819999999999997E-2</v>
      </c>
      <c r="N251" s="98">
        <v>3.9600000000070447E-2</v>
      </c>
      <c r="O251" s="94">
        <v>69737.635655000005</v>
      </c>
      <c r="P251" s="96">
        <v>103.6541</v>
      </c>
      <c r="Q251" s="84"/>
      <c r="R251" s="94">
        <v>249.82017484400001</v>
      </c>
      <c r="S251" s="95">
        <v>2.17930111421875E-4</v>
      </c>
      <c r="T251" s="95">
        <f t="shared" si="6"/>
        <v>9.900111090774895E-4</v>
      </c>
      <c r="U251" s="95">
        <f>R251/'סכום נכסי הקרן'!$C$42</f>
        <v>2.6286841021163444E-4</v>
      </c>
    </row>
    <row r="252" spans="2:21">
      <c r="B252" s="87" t="s">
        <v>921</v>
      </c>
      <c r="C252" s="84" t="s">
        <v>922</v>
      </c>
      <c r="D252" s="97" t="s">
        <v>30</v>
      </c>
      <c r="E252" s="97" t="s">
        <v>916</v>
      </c>
      <c r="F252" s="84" t="s">
        <v>917</v>
      </c>
      <c r="G252" s="97" t="s">
        <v>918</v>
      </c>
      <c r="H252" s="84" t="s">
        <v>919</v>
      </c>
      <c r="I252" s="84" t="s">
        <v>920</v>
      </c>
      <c r="J252" s="84"/>
      <c r="K252" s="94">
        <v>5.2199999999978894</v>
      </c>
      <c r="L252" s="97" t="s">
        <v>167</v>
      </c>
      <c r="M252" s="98">
        <v>5.4120000000000001E-2</v>
      </c>
      <c r="N252" s="98">
        <v>4.4299999999991152E-2</v>
      </c>
      <c r="O252" s="94">
        <v>96906.710590999995</v>
      </c>
      <c r="P252" s="96">
        <v>104.676</v>
      </c>
      <c r="Q252" s="84"/>
      <c r="R252" s="94">
        <v>350.56996431700003</v>
      </c>
      <c r="S252" s="95">
        <v>3.0283347059687496E-4</v>
      </c>
      <c r="T252" s="95">
        <f t="shared" si="6"/>
        <v>1.389271940904915E-3</v>
      </c>
      <c r="U252" s="95">
        <f>R252/'סכום נכסי הקרן'!$C$42</f>
        <v>3.6888041266284663E-4</v>
      </c>
    </row>
    <row r="253" spans="2:21">
      <c r="B253" s="87" t="s">
        <v>923</v>
      </c>
      <c r="C253" s="84" t="s">
        <v>924</v>
      </c>
      <c r="D253" s="97" t="s">
        <v>30</v>
      </c>
      <c r="E253" s="97" t="s">
        <v>916</v>
      </c>
      <c r="F253" s="84" t="s">
        <v>925</v>
      </c>
      <c r="G253" s="97" t="s">
        <v>534</v>
      </c>
      <c r="H253" s="84" t="s">
        <v>919</v>
      </c>
      <c r="I253" s="84" t="s">
        <v>926</v>
      </c>
      <c r="J253" s="84"/>
      <c r="K253" s="94">
        <v>11.499999999994362</v>
      </c>
      <c r="L253" s="97" t="s">
        <v>167</v>
      </c>
      <c r="M253" s="98">
        <v>6.3750000000000001E-2</v>
      </c>
      <c r="N253" s="98">
        <v>4.7299999999974071E-2</v>
      </c>
      <c r="O253" s="94">
        <v>150292.38</v>
      </c>
      <c r="P253" s="96">
        <v>119.52630000000001</v>
      </c>
      <c r="Q253" s="84"/>
      <c r="R253" s="94">
        <v>620.83185125700004</v>
      </c>
      <c r="S253" s="95">
        <v>2.5048730000000002E-4</v>
      </c>
      <c r="T253" s="95">
        <f t="shared" si="6"/>
        <v>2.4602914075990022E-3</v>
      </c>
      <c r="U253" s="95">
        <f>R253/'סכום נכסי הקרן'!$C$42</f>
        <v>6.5325821603712264E-4</v>
      </c>
    </row>
    <row r="254" spans="2:21">
      <c r="B254" s="87" t="s">
        <v>927</v>
      </c>
      <c r="C254" s="84" t="s">
        <v>928</v>
      </c>
      <c r="D254" s="97" t="s">
        <v>30</v>
      </c>
      <c r="E254" s="97" t="s">
        <v>916</v>
      </c>
      <c r="F254" s="84" t="s">
        <v>929</v>
      </c>
      <c r="G254" s="97" t="s">
        <v>930</v>
      </c>
      <c r="H254" s="84" t="s">
        <v>931</v>
      </c>
      <c r="I254" s="84" t="s">
        <v>926</v>
      </c>
      <c r="J254" s="84"/>
      <c r="K254" s="94">
        <v>4.2599999999911837</v>
      </c>
      <c r="L254" s="97" t="s">
        <v>169</v>
      </c>
      <c r="M254" s="98">
        <v>0.06</v>
      </c>
      <c r="N254" s="98">
        <v>4.5999999999919848E-2</v>
      </c>
      <c r="O254" s="94">
        <v>60617.926599999999</v>
      </c>
      <c r="P254" s="96">
        <v>106.1413</v>
      </c>
      <c r="Q254" s="84"/>
      <c r="R254" s="94">
        <v>249.52600787</v>
      </c>
      <c r="S254" s="95">
        <v>6.0617926600000002E-5</v>
      </c>
      <c r="T254" s="95">
        <f t="shared" si="6"/>
        <v>9.8884535626202696E-4</v>
      </c>
      <c r="U254" s="95">
        <f>R254/'סכום נכסי הקרן'!$C$42</f>
        <v>2.6255887874628969E-4</v>
      </c>
    </row>
    <row r="255" spans="2:21">
      <c r="B255" s="87" t="s">
        <v>932</v>
      </c>
      <c r="C255" s="84" t="s">
        <v>933</v>
      </c>
      <c r="D255" s="97" t="s">
        <v>30</v>
      </c>
      <c r="E255" s="97" t="s">
        <v>916</v>
      </c>
      <c r="F255" s="84" t="s">
        <v>934</v>
      </c>
      <c r="G255" s="97" t="s">
        <v>935</v>
      </c>
      <c r="H255" s="84" t="s">
        <v>936</v>
      </c>
      <c r="I255" s="84"/>
      <c r="J255" s="84"/>
      <c r="K255" s="94">
        <v>4.8699999999548567</v>
      </c>
      <c r="L255" s="97" t="s">
        <v>167</v>
      </c>
      <c r="M255" s="98">
        <v>0</v>
      </c>
      <c r="N255" s="98">
        <v>-6.800000000035061E-3</v>
      </c>
      <c r="O255" s="94">
        <v>12774.8523</v>
      </c>
      <c r="P255" s="96">
        <v>103.36</v>
      </c>
      <c r="Q255" s="84"/>
      <c r="R255" s="94">
        <v>45.633325838000005</v>
      </c>
      <c r="S255" s="95">
        <v>2.2217134434782609E-5</v>
      </c>
      <c r="T255" s="95">
        <f t="shared" si="6"/>
        <v>1.8084007647494398E-4</v>
      </c>
      <c r="U255" s="95">
        <f>R255/'סכום נכסי הקרן'!$C$42</f>
        <v>4.801677776102422E-5</v>
      </c>
    </row>
    <row r="256" spans="2:21">
      <c r="B256" s="83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94"/>
      <c r="P256" s="96"/>
      <c r="Q256" s="84"/>
      <c r="R256" s="84"/>
      <c r="S256" s="84"/>
      <c r="T256" s="95"/>
      <c r="U256" s="84"/>
    </row>
    <row r="257" spans="2:21">
      <c r="B257" s="102" t="s">
        <v>66</v>
      </c>
      <c r="C257" s="82"/>
      <c r="D257" s="82"/>
      <c r="E257" s="82"/>
      <c r="F257" s="82"/>
      <c r="G257" s="82"/>
      <c r="H257" s="82"/>
      <c r="I257" s="82"/>
      <c r="J257" s="82"/>
      <c r="K257" s="91">
        <v>6.0436277167084596</v>
      </c>
      <c r="L257" s="82"/>
      <c r="M257" s="82"/>
      <c r="N257" s="104">
        <v>3.5136103356662229E-2</v>
      </c>
      <c r="O257" s="91"/>
      <c r="P257" s="93"/>
      <c r="Q257" s="82"/>
      <c r="R257" s="91">
        <f>SUM(R258:R338)</f>
        <v>16667.235590557004</v>
      </c>
      <c r="S257" s="82"/>
      <c r="T257" s="92">
        <f t="shared" ref="T257:T320" si="7">R257/$R$11</f>
        <v>6.6050503737606556E-2</v>
      </c>
      <c r="U257" s="92">
        <f>R257/'סכום נכסי הקרן'!$C$42</f>
        <v>1.7537773820902915E-2</v>
      </c>
    </row>
    <row r="258" spans="2:21">
      <c r="B258" s="87" t="s">
        <v>937</v>
      </c>
      <c r="C258" s="84" t="s">
        <v>938</v>
      </c>
      <c r="D258" s="97" t="s">
        <v>30</v>
      </c>
      <c r="E258" s="97" t="s">
        <v>916</v>
      </c>
      <c r="F258" s="84"/>
      <c r="G258" s="97" t="s">
        <v>939</v>
      </c>
      <c r="H258" s="84" t="s">
        <v>940</v>
      </c>
      <c r="I258" s="84" t="s">
        <v>926</v>
      </c>
      <c r="J258" s="84"/>
      <c r="K258" s="94">
        <v>4.2899999866569294</v>
      </c>
      <c r="L258" s="97" t="s">
        <v>167</v>
      </c>
      <c r="M258" s="98">
        <v>4.4999999999999998E-2</v>
      </c>
      <c r="N258" s="98">
        <v>3.3399999904332699E-2</v>
      </c>
      <c r="O258" s="94">
        <v>32.563349000000002</v>
      </c>
      <c r="P258" s="96">
        <v>105.886</v>
      </c>
      <c r="Q258" s="84"/>
      <c r="R258" s="94">
        <v>0.11916297099999999</v>
      </c>
      <c r="S258" s="95">
        <v>6.5126698000000001E-8</v>
      </c>
      <c r="T258" s="95">
        <f t="shared" si="7"/>
        <v>4.7223033589799795E-7</v>
      </c>
      <c r="U258" s="95">
        <f>R258/'סכום נכסי הקרן'!$C$42</f>
        <v>1.2538691385683903E-7</v>
      </c>
    </row>
    <row r="259" spans="2:21">
      <c r="B259" s="87" t="s">
        <v>941</v>
      </c>
      <c r="C259" s="84" t="s">
        <v>942</v>
      </c>
      <c r="D259" s="97" t="s">
        <v>30</v>
      </c>
      <c r="E259" s="97" t="s">
        <v>916</v>
      </c>
      <c r="F259" s="84"/>
      <c r="G259" s="97" t="s">
        <v>939</v>
      </c>
      <c r="H259" s="84" t="s">
        <v>940</v>
      </c>
      <c r="I259" s="84" t="s">
        <v>926</v>
      </c>
      <c r="J259" s="84"/>
      <c r="K259" s="94">
        <v>6.9400000000241846</v>
      </c>
      <c r="L259" s="97" t="s">
        <v>167</v>
      </c>
      <c r="M259" s="98">
        <v>5.1249999999999997E-2</v>
      </c>
      <c r="N259" s="98">
        <v>3.6000000000118382E-2</v>
      </c>
      <c r="O259" s="94">
        <v>30146.146554999999</v>
      </c>
      <c r="P259" s="96">
        <v>113.5123</v>
      </c>
      <c r="Q259" s="84"/>
      <c r="R259" s="94">
        <v>118.26293258099999</v>
      </c>
      <c r="S259" s="95">
        <v>6.0292293110000001E-5</v>
      </c>
      <c r="T259" s="95">
        <f t="shared" si="7"/>
        <v>4.6866357819332917E-4</v>
      </c>
      <c r="U259" s="95">
        <f>R259/'סכום נכסי הקרן'!$C$42</f>
        <v>1.2443986597137637E-4</v>
      </c>
    </row>
    <row r="260" spans="2:21">
      <c r="B260" s="87" t="s">
        <v>943</v>
      </c>
      <c r="C260" s="84" t="s">
        <v>944</v>
      </c>
      <c r="D260" s="97" t="s">
        <v>30</v>
      </c>
      <c r="E260" s="97" t="s">
        <v>916</v>
      </c>
      <c r="F260" s="84"/>
      <c r="G260" s="97" t="s">
        <v>918</v>
      </c>
      <c r="H260" s="84" t="s">
        <v>945</v>
      </c>
      <c r="I260" s="84" t="s">
        <v>926</v>
      </c>
      <c r="J260" s="84"/>
      <c r="K260" s="94">
        <v>4.9199999999943866</v>
      </c>
      <c r="L260" s="97" t="s">
        <v>167</v>
      </c>
      <c r="M260" s="98">
        <v>6.7500000000000004E-2</v>
      </c>
      <c r="N260" s="98">
        <v>3.3899999999954723E-2</v>
      </c>
      <c r="O260" s="94">
        <v>38291.993551</v>
      </c>
      <c r="P260" s="96">
        <v>118.4783</v>
      </c>
      <c r="Q260" s="84"/>
      <c r="R260" s="94">
        <v>156.79071538899998</v>
      </c>
      <c r="S260" s="95">
        <v>1.7018663800444443E-5</v>
      </c>
      <c r="T260" s="95">
        <f t="shared" si="7"/>
        <v>6.2134513408393334E-4</v>
      </c>
      <c r="U260" s="95">
        <f>R260/'סכום נכסי הקרן'!$C$42</f>
        <v>1.6497997455965335E-4</v>
      </c>
    </row>
    <row r="261" spans="2:21">
      <c r="B261" s="87" t="s">
        <v>946</v>
      </c>
      <c r="C261" s="84" t="s">
        <v>947</v>
      </c>
      <c r="D261" s="97" t="s">
        <v>30</v>
      </c>
      <c r="E261" s="97" t="s">
        <v>916</v>
      </c>
      <c r="F261" s="84"/>
      <c r="G261" s="97" t="s">
        <v>948</v>
      </c>
      <c r="H261" s="84" t="s">
        <v>945</v>
      </c>
      <c r="I261" s="84" t="s">
        <v>920</v>
      </c>
      <c r="J261" s="84"/>
      <c r="K261" s="94">
        <v>7.9799999999906479</v>
      </c>
      <c r="L261" s="97" t="s">
        <v>167</v>
      </c>
      <c r="M261" s="98">
        <v>3.9329999999999997E-2</v>
      </c>
      <c r="N261" s="98">
        <v>3.4599999999964777E-2</v>
      </c>
      <c r="O261" s="94">
        <v>90551.158949999997</v>
      </c>
      <c r="P261" s="96">
        <v>105.2379</v>
      </c>
      <c r="Q261" s="84"/>
      <c r="R261" s="94">
        <v>329.33654129600001</v>
      </c>
      <c r="S261" s="95">
        <v>6.0367439299999996E-5</v>
      </c>
      <c r="T261" s="95">
        <f t="shared" si="7"/>
        <v>1.3051261160624719E-3</v>
      </c>
      <c r="U261" s="95">
        <f>R261/'סכום נכסי הקרן'!$C$42</f>
        <v>3.465379571090995E-4</v>
      </c>
    </row>
    <row r="262" spans="2:21">
      <c r="B262" s="87" t="s">
        <v>949</v>
      </c>
      <c r="C262" s="84" t="s">
        <v>950</v>
      </c>
      <c r="D262" s="97" t="s">
        <v>30</v>
      </c>
      <c r="E262" s="97" t="s">
        <v>916</v>
      </c>
      <c r="F262" s="84"/>
      <c r="G262" s="97" t="s">
        <v>948</v>
      </c>
      <c r="H262" s="84" t="s">
        <v>945</v>
      </c>
      <c r="I262" s="84" t="s">
        <v>920</v>
      </c>
      <c r="J262" s="84"/>
      <c r="K262" s="94">
        <v>7.9100000000001351</v>
      </c>
      <c r="L262" s="97" t="s">
        <v>167</v>
      </c>
      <c r="M262" s="98">
        <v>4.1100000000000005E-2</v>
      </c>
      <c r="N262" s="98">
        <v>3.460000000000811E-2</v>
      </c>
      <c r="O262" s="94">
        <v>80155.936000000002</v>
      </c>
      <c r="P262" s="96">
        <v>106.797</v>
      </c>
      <c r="Q262" s="84"/>
      <c r="R262" s="94">
        <v>295.84789045600002</v>
      </c>
      <c r="S262" s="95">
        <v>6.4124748800000004E-5</v>
      </c>
      <c r="T262" s="95">
        <f t="shared" si="7"/>
        <v>1.1724141107958025E-3</v>
      </c>
      <c r="U262" s="95">
        <f>R262/'סכום נכסי הקרן'!$C$42</f>
        <v>3.1130017692605224E-4</v>
      </c>
    </row>
    <row r="263" spans="2:21">
      <c r="B263" s="87" t="s">
        <v>951</v>
      </c>
      <c r="C263" s="84" t="s">
        <v>952</v>
      </c>
      <c r="D263" s="97" t="s">
        <v>30</v>
      </c>
      <c r="E263" s="97" t="s">
        <v>916</v>
      </c>
      <c r="F263" s="84"/>
      <c r="G263" s="97" t="s">
        <v>953</v>
      </c>
      <c r="H263" s="84" t="s">
        <v>954</v>
      </c>
      <c r="I263" s="84" t="s">
        <v>955</v>
      </c>
      <c r="J263" s="84"/>
      <c r="K263" s="94">
        <v>15.929999999997804</v>
      </c>
      <c r="L263" s="97" t="s">
        <v>167</v>
      </c>
      <c r="M263" s="98">
        <v>4.4500000000000005E-2</v>
      </c>
      <c r="N263" s="98">
        <v>3.9599999999993377E-2</v>
      </c>
      <c r="O263" s="94">
        <v>64755.976796000003</v>
      </c>
      <c r="P263" s="96">
        <v>107.8646</v>
      </c>
      <c r="Q263" s="84"/>
      <c r="R263" s="94">
        <v>241.39739242100001</v>
      </c>
      <c r="S263" s="95">
        <v>3.2377988398E-5</v>
      </c>
      <c r="T263" s="95">
        <f t="shared" si="7"/>
        <v>9.5663250715584847E-4</v>
      </c>
      <c r="U263" s="95">
        <f>R263/'סכום נכסי הקרן'!$C$42</f>
        <v>2.5400570155940054E-4</v>
      </c>
    </row>
    <row r="264" spans="2:21">
      <c r="B264" s="87" t="s">
        <v>956</v>
      </c>
      <c r="C264" s="84" t="s">
        <v>957</v>
      </c>
      <c r="D264" s="97" t="s">
        <v>30</v>
      </c>
      <c r="E264" s="97" t="s">
        <v>916</v>
      </c>
      <c r="F264" s="84"/>
      <c r="G264" s="97" t="s">
        <v>958</v>
      </c>
      <c r="H264" s="84" t="s">
        <v>959</v>
      </c>
      <c r="I264" s="84" t="s">
        <v>926</v>
      </c>
      <c r="J264" s="84"/>
      <c r="K264" s="94">
        <v>16.030000000018866</v>
      </c>
      <c r="L264" s="97" t="s">
        <v>167</v>
      </c>
      <c r="M264" s="98">
        <v>5.5500000000000001E-2</v>
      </c>
      <c r="N264" s="98">
        <v>3.8100000000044182E-2</v>
      </c>
      <c r="O264" s="94">
        <v>62621.824999999997</v>
      </c>
      <c r="P264" s="96">
        <v>131.7834</v>
      </c>
      <c r="Q264" s="84"/>
      <c r="R264" s="94">
        <v>285.20702405399999</v>
      </c>
      <c r="S264" s="95">
        <v>1.5655456249999998E-5</v>
      </c>
      <c r="T264" s="95">
        <f t="shared" si="7"/>
        <v>1.1302454750770591E-3</v>
      </c>
      <c r="U264" s="95">
        <f>R264/'סכום נכסי הקרן'!$C$42</f>
        <v>3.0010353263535463E-4</v>
      </c>
    </row>
    <row r="265" spans="2:21">
      <c r="B265" s="87" t="s">
        <v>960</v>
      </c>
      <c r="C265" s="84" t="s">
        <v>961</v>
      </c>
      <c r="D265" s="97" t="s">
        <v>30</v>
      </c>
      <c r="E265" s="97" t="s">
        <v>916</v>
      </c>
      <c r="F265" s="84"/>
      <c r="G265" s="97" t="s">
        <v>948</v>
      </c>
      <c r="H265" s="84" t="s">
        <v>959</v>
      </c>
      <c r="I265" s="84" t="s">
        <v>920</v>
      </c>
      <c r="J265" s="84"/>
      <c r="K265" s="94">
        <v>3.0200000000023883</v>
      </c>
      <c r="L265" s="97" t="s">
        <v>167</v>
      </c>
      <c r="M265" s="98">
        <v>4.4000000000000004E-2</v>
      </c>
      <c r="N265" s="98">
        <v>3.0200000000023885E-2</v>
      </c>
      <c r="O265" s="94">
        <v>80656.910600000003</v>
      </c>
      <c r="P265" s="96">
        <v>105.1437</v>
      </c>
      <c r="Q265" s="84"/>
      <c r="R265" s="94">
        <v>293.088268465</v>
      </c>
      <c r="S265" s="95">
        <v>5.3771273733333334E-5</v>
      </c>
      <c r="T265" s="95">
        <f t="shared" si="7"/>
        <v>1.1614780187461889E-3</v>
      </c>
      <c r="U265" s="95">
        <f>R265/'סכום נכסי הקרן'!$C$42</f>
        <v>3.0839641846854482E-4</v>
      </c>
    </row>
    <row r="266" spans="2:21">
      <c r="B266" s="87" t="s">
        <v>962</v>
      </c>
      <c r="C266" s="84" t="s">
        <v>963</v>
      </c>
      <c r="D266" s="97" t="s">
        <v>30</v>
      </c>
      <c r="E266" s="97" t="s">
        <v>916</v>
      </c>
      <c r="F266" s="84"/>
      <c r="G266" s="97" t="s">
        <v>964</v>
      </c>
      <c r="H266" s="84" t="s">
        <v>959</v>
      </c>
      <c r="I266" s="84" t="s">
        <v>920</v>
      </c>
      <c r="J266" s="84"/>
      <c r="K266" s="94">
        <v>16.720000000011026</v>
      </c>
      <c r="L266" s="97" t="s">
        <v>167</v>
      </c>
      <c r="M266" s="98">
        <v>4.5499999999999999E-2</v>
      </c>
      <c r="N266" s="98">
        <v>3.9200000000041348E-2</v>
      </c>
      <c r="O266" s="94">
        <v>75146.19</v>
      </c>
      <c r="P266" s="96">
        <v>111.7439</v>
      </c>
      <c r="Q266" s="84"/>
      <c r="R266" s="94">
        <v>290.20479874</v>
      </c>
      <c r="S266" s="95">
        <v>3.0125016135640405E-5</v>
      </c>
      <c r="T266" s="95">
        <f t="shared" si="7"/>
        <v>1.1500511311370468E-3</v>
      </c>
      <c r="U266" s="95">
        <f>R266/'סכום נכסי הקרן'!$C$42</f>
        <v>3.0536234364661566E-4</v>
      </c>
    </row>
    <row r="267" spans="2:21">
      <c r="B267" s="87" t="s">
        <v>965</v>
      </c>
      <c r="C267" s="84" t="s">
        <v>966</v>
      </c>
      <c r="D267" s="97" t="s">
        <v>30</v>
      </c>
      <c r="E267" s="97" t="s">
        <v>916</v>
      </c>
      <c r="F267" s="84"/>
      <c r="G267" s="97" t="s">
        <v>948</v>
      </c>
      <c r="H267" s="84" t="s">
        <v>959</v>
      </c>
      <c r="I267" s="84" t="s">
        <v>920</v>
      </c>
      <c r="J267" s="84"/>
      <c r="K267" s="94">
        <v>8.1899999999952744</v>
      </c>
      <c r="L267" s="97" t="s">
        <v>167</v>
      </c>
      <c r="M267" s="98">
        <v>3.61E-2</v>
      </c>
      <c r="N267" s="98">
        <v>3.4599999999977926E-2</v>
      </c>
      <c r="O267" s="94">
        <v>100194.92</v>
      </c>
      <c r="P267" s="96">
        <v>102.033</v>
      </c>
      <c r="Q267" s="84"/>
      <c r="R267" s="94">
        <v>353.31338669299998</v>
      </c>
      <c r="S267" s="95">
        <v>8.0155935999999994E-5</v>
      </c>
      <c r="T267" s="95">
        <f t="shared" si="7"/>
        <v>1.4001438355820673E-3</v>
      </c>
      <c r="U267" s="95">
        <f>R267/'סכום נכסי הקרן'!$C$42</f>
        <v>3.7176712539118594E-4</v>
      </c>
    </row>
    <row r="268" spans="2:21">
      <c r="B268" s="87" t="s">
        <v>967</v>
      </c>
      <c r="C268" s="84" t="s">
        <v>968</v>
      </c>
      <c r="D268" s="97" t="s">
        <v>30</v>
      </c>
      <c r="E268" s="97" t="s">
        <v>916</v>
      </c>
      <c r="F268" s="84"/>
      <c r="G268" s="97" t="s">
        <v>948</v>
      </c>
      <c r="H268" s="84" t="s">
        <v>959</v>
      </c>
      <c r="I268" s="84" t="s">
        <v>926</v>
      </c>
      <c r="J268" s="84"/>
      <c r="K268" s="94">
        <v>3.2099999992025441</v>
      </c>
      <c r="L268" s="97" t="s">
        <v>167</v>
      </c>
      <c r="M268" s="98">
        <v>6.5000000000000002E-2</v>
      </c>
      <c r="N268" s="98">
        <v>3.0100000000646582E-2</v>
      </c>
      <c r="O268" s="94">
        <v>117.72903100000002</v>
      </c>
      <c r="P268" s="96">
        <v>114.03489999999999</v>
      </c>
      <c r="Q268" s="84"/>
      <c r="R268" s="94">
        <v>0.46397569700000002</v>
      </c>
      <c r="S268" s="95">
        <v>4.7091612400000011E-8</v>
      </c>
      <c r="T268" s="95">
        <f t="shared" si="7"/>
        <v>1.8386869461555952E-6</v>
      </c>
      <c r="U268" s="95">
        <f>R268/'סכום נכסי הקרן'!$C$42</f>
        <v>4.8820938470396029E-7</v>
      </c>
    </row>
    <row r="269" spans="2:21">
      <c r="B269" s="87" t="s">
        <v>969</v>
      </c>
      <c r="C269" s="84" t="s">
        <v>970</v>
      </c>
      <c r="D269" s="97" t="s">
        <v>30</v>
      </c>
      <c r="E269" s="97" t="s">
        <v>916</v>
      </c>
      <c r="F269" s="84"/>
      <c r="G269" s="97" t="s">
        <v>971</v>
      </c>
      <c r="H269" s="84" t="s">
        <v>959</v>
      </c>
      <c r="I269" s="84" t="s">
        <v>926</v>
      </c>
      <c r="J269" s="84"/>
      <c r="K269" s="94">
        <v>6.9600000000093827</v>
      </c>
      <c r="L269" s="97" t="s">
        <v>169</v>
      </c>
      <c r="M269" s="98">
        <v>0.03</v>
      </c>
      <c r="N269" s="98">
        <v>2.5200000000050828E-2</v>
      </c>
      <c r="O269" s="94">
        <v>25549.704600000001</v>
      </c>
      <c r="P269" s="96">
        <v>103.2495</v>
      </c>
      <c r="Q269" s="84"/>
      <c r="R269" s="94">
        <v>102.30670019900001</v>
      </c>
      <c r="S269" s="95">
        <v>5.1099409200000002E-5</v>
      </c>
      <c r="T269" s="95">
        <f t="shared" si="7"/>
        <v>4.0543070547972111E-4</v>
      </c>
      <c r="U269" s="95">
        <f>R269/'סכום נכסי הקרן'!$C$42</f>
        <v>1.0765023141987181E-4</v>
      </c>
    </row>
    <row r="270" spans="2:21">
      <c r="B270" s="87" t="s">
        <v>972</v>
      </c>
      <c r="C270" s="84" t="s">
        <v>973</v>
      </c>
      <c r="D270" s="97" t="s">
        <v>30</v>
      </c>
      <c r="E270" s="97" t="s">
        <v>916</v>
      </c>
      <c r="F270" s="84"/>
      <c r="G270" s="97" t="s">
        <v>974</v>
      </c>
      <c r="H270" s="84" t="s">
        <v>954</v>
      </c>
      <c r="I270" s="84" t="s">
        <v>955</v>
      </c>
      <c r="J270" s="84"/>
      <c r="K270" s="94">
        <v>7.7899999999903455</v>
      </c>
      <c r="L270" s="97" t="s">
        <v>167</v>
      </c>
      <c r="M270" s="98">
        <v>4.8750000000000002E-2</v>
      </c>
      <c r="N270" s="98">
        <v>3.2999999999969193E-2</v>
      </c>
      <c r="O270" s="94">
        <v>50097.46</v>
      </c>
      <c r="P270" s="96">
        <v>112.4607</v>
      </c>
      <c r="Q270" s="84"/>
      <c r="R270" s="94">
        <v>194.71082397199999</v>
      </c>
      <c r="S270" s="95">
        <v>4.0077967999999997E-5</v>
      </c>
      <c r="T270" s="95">
        <f t="shared" si="7"/>
        <v>7.7161854085757494E-4</v>
      </c>
      <c r="U270" s="95">
        <f>R270/'סכום נכסי הקרן'!$C$42</f>
        <v>2.0488066978769197E-4</v>
      </c>
    </row>
    <row r="271" spans="2:21">
      <c r="B271" s="87" t="s">
        <v>975</v>
      </c>
      <c r="C271" s="84" t="s">
        <v>976</v>
      </c>
      <c r="D271" s="97" t="s">
        <v>30</v>
      </c>
      <c r="E271" s="97" t="s">
        <v>916</v>
      </c>
      <c r="F271" s="84"/>
      <c r="G271" s="97" t="s">
        <v>977</v>
      </c>
      <c r="H271" s="84" t="s">
        <v>959</v>
      </c>
      <c r="I271" s="84" t="s">
        <v>920</v>
      </c>
      <c r="J271" s="84"/>
      <c r="K271" s="94">
        <v>14.330000000020021</v>
      </c>
      <c r="L271" s="97" t="s">
        <v>167</v>
      </c>
      <c r="M271" s="98">
        <v>5.0999999999999997E-2</v>
      </c>
      <c r="N271" s="98">
        <v>4.3700000000064784E-2</v>
      </c>
      <c r="O271" s="94">
        <v>87670.554999999993</v>
      </c>
      <c r="P271" s="96">
        <v>112.09950000000001</v>
      </c>
      <c r="Q271" s="84"/>
      <c r="R271" s="94">
        <v>339.64964513999996</v>
      </c>
      <c r="S271" s="95">
        <v>1.1689407333333333E-4</v>
      </c>
      <c r="T271" s="95">
        <f t="shared" si="7"/>
        <v>1.3459958631956064E-3</v>
      </c>
      <c r="U271" s="95">
        <f>R271/'סכום נכסי הקרן'!$C$42</f>
        <v>3.5738971963593564E-4</v>
      </c>
    </row>
    <row r="272" spans="2:21">
      <c r="B272" s="87" t="s">
        <v>978</v>
      </c>
      <c r="C272" s="84" t="s">
        <v>979</v>
      </c>
      <c r="D272" s="97" t="s">
        <v>30</v>
      </c>
      <c r="E272" s="97" t="s">
        <v>916</v>
      </c>
      <c r="F272" s="84"/>
      <c r="G272" s="97" t="s">
        <v>939</v>
      </c>
      <c r="H272" s="84" t="s">
        <v>959</v>
      </c>
      <c r="I272" s="84" t="s">
        <v>926</v>
      </c>
      <c r="J272" s="84"/>
      <c r="K272" s="94">
        <v>6.5399999999938041</v>
      </c>
      <c r="L272" s="97" t="s">
        <v>167</v>
      </c>
      <c r="M272" s="98">
        <v>4.4999999999999998E-2</v>
      </c>
      <c r="N272" s="98">
        <v>3.8699999999981166E-2</v>
      </c>
      <c r="O272" s="94">
        <v>45338.201300000001</v>
      </c>
      <c r="P272" s="96">
        <v>105.065</v>
      </c>
      <c r="Q272" s="84"/>
      <c r="R272" s="94">
        <v>164.625112613</v>
      </c>
      <c r="S272" s="95">
        <v>6.0450935066666667E-5</v>
      </c>
      <c r="T272" s="95">
        <f t="shared" si="7"/>
        <v>6.5239202727232048E-4</v>
      </c>
      <c r="U272" s="95">
        <f>R272/'סכום נכסי הקרן'!$C$42</f>
        <v>1.7322356635333185E-4</v>
      </c>
    </row>
    <row r="273" spans="2:21">
      <c r="B273" s="87" t="s">
        <v>980</v>
      </c>
      <c r="C273" s="84" t="s">
        <v>981</v>
      </c>
      <c r="D273" s="97" t="s">
        <v>30</v>
      </c>
      <c r="E273" s="97" t="s">
        <v>916</v>
      </c>
      <c r="F273" s="84"/>
      <c r="G273" s="97" t="s">
        <v>939</v>
      </c>
      <c r="H273" s="84" t="s">
        <v>959</v>
      </c>
      <c r="I273" s="84" t="s">
        <v>926</v>
      </c>
      <c r="J273" s="84"/>
      <c r="K273" s="94">
        <v>4.9000000000000004</v>
      </c>
      <c r="L273" s="97" t="s">
        <v>167</v>
      </c>
      <c r="M273" s="98">
        <v>5.7500000000000002E-2</v>
      </c>
      <c r="N273" s="98">
        <v>3.6599999999951408E-2</v>
      </c>
      <c r="O273" s="94">
        <v>21228.798674999998</v>
      </c>
      <c r="P273" s="96">
        <v>112.2042</v>
      </c>
      <c r="Q273" s="84"/>
      <c r="R273" s="94">
        <v>82.32056673999999</v>
      </c>
      <c r="S273" s="95">
        <v>3.0326855249999999E-5</v>
      </c>
      <c r="T273" s="95">
        <f t="shared" si="7"/>
        <v>3.2622775814261759E-4</v>
      </c>
      <c r="U273" s="95">
        <f>R273/'סכום נכסי הקרן'!$C$42</f>
        <v>8.6620211999200225E-5</v>
      </c>
    </row>
    <row r="274" spans="2:21">
      <c r="B274" s="87" t="s">
        <v>982</v>
      </c>
      <c r="C274" s="84" t="s">
        <v>983</v>
      </c>
      <c r="D274" s="97" t="s">
        <v>30</v>
      </c>
      <c r="E274" s="97" t="s">
        <v>916</v>
      </c>
      <c r="F274" s="84"/>
      <c r="G274" s="97" t="s">
        <v>948</v>
      </c>
      <c r="H274" s="84" t="s">
        <v>919</v>
      </c>
      <c r="I274" s="84" t="s">
        <v>926</v>
      </c>
      <c r="J274" s="84"/>
      <c r="K274" s="94">
        <v>3.4800000000060223</v>
      </c>
      <c r="L274" s="97" t="s">
        <v>167</v>
      </c>
      <c r="M274" s="98">
        <v>7.8750000000000001E-2</v>
      </c>
      <c r="N274" s="98">
        <v>4.0200000000069576E-2</v>
      </c>
      <c r="O274" s="94">
        <v>48845.023500000003</v>
      </c>
      <c r="P274" s="96">
        <v>114.09399999999999</v>
      </c>
      <c r="Q274" s="84"/>
      <c r="R274" s="94">
        <v>192.60025728300002</v>
      </c>
      <c r="S274" s="95">
        <v>2.7911442E-5</v>
      </c>
      <c r="T274" s="95">
        <f t="shared" si="7"/>
        <v>7.6325458678595662E-4</v>
      </c>
      <c r="U274" s="95">
        <f>R274/'סכום נכסי הקרן'!$C$42</f>
        <v>2.0265986712221669E-4</v>
      </c>
    </row>
    <row r="275" spans="2:21">
      <c r="B275" s="87" t="s">
        <v>984</v>
      </c>
      <c r="C275" s="84" t="s">
        <v>985</v>
      </c>
      <c r="D275" s="97" t="s">
        <v>30</v>
      </c>
      <c r="E275" s="97" t="s">
        <v>916</v>
      </c>
      <c r="F275" s="84"/>
      <c r="G275" s="97" t="s">
        <v>986</v>
      </c>
      <c r="H275" s="84" t="s">
        <v>919</v>
      </c>
      <c r="I275" s="84" t="s">
        <v>926</v>
      </c>
      <c r="J275" s="84"/>
      <c r="K275" s="94">
        <v>6.7100000000099778</v>
      </c>
      <c r="L275" s="97" t="s">
        <v>167</v>
      </c>
      <c r="M275" s="98">
        <v>4.2500000000000003E-2</v>
      </c>
      <c r="N275" s="98">
        <v>3.9000000000076751E-2</v>
      </c>
      <c r="O275" s="94">
        <v>55107.205999999998</v>
      </c>
      <c r="P275" s="96">
        <v>102.61109999999999</v>
      </c>
      <c r="Q275" s="84"/>
      <c r="R275" s="94">
        <v>195.42337815500002</v>
      </c>
      <c r="S275" s="95">
        <v>9.1845343333333334E-5</v>
      </c>
      <c r="T275" s="95">
        <f t="shared" si="7"/>
        <v>7.7444231823035989E-4</v>
      </c>
      <c r="U275" s="95">
        <f>R275/'סכום נכסי הקרן'!$C$42</f>
        <v>2.0563044103972091E-4</v>
      </c>
    </row>
    <row r="276" spans="2:21">
      <c r="B276" s="87" t="s">
        <v>987</v>
      </c>
      <c r="C276" s="84" t="s">
        <v>988</v>
      </c>
      <c r="D276" s="97" t="s">
        <v>30</v>
      </c>
      <c r="E276" s="97" t="s">
        <v>916</v>
      </c>
      <c r="F276" s="84"/>
      <c r="G276" s="97" t="s">
        <v>986</v>
      </c>
      <c r="H276" s="84" t="s">
        <v>919</v>
      </c>
      <c r="I276" s="84" t="s">
        <v>926</v>
      </c>
      <c r="J276" s="84"/>
      <c r="K276" s="94">
        <v>1.510000000001591</v>
      </c>
      <c r="L276" s="97" t="s">
        <v>167</v>
      </c>
      <c r="M276" s="98">
        <v>5.2499999999999998E-2</v>
      </c>
      <c r="N276" s="98">
        <v>2.8400000000048484E-2</v>
      </c>
      <c r="O276" s="94">
        <v>69783.256907000003</v>
      </c>
      <c r="P276" s="96">
        <v>109.45489999999999</v>
      </c>
      <c r="Q276" s="84"/>
      <c r="R276" s="94">
        <v>263.97344695800001</v>
      </c>
      <c r="S276" s="95">
        <v>1.1630542817833334E-4</v>
      </c>
      <c r="T276" s="95">
        <f t="shared" si="7"/>
        <v>1.0460990396515769E-3</v>
      </c>
      <c r="U276" s="95">
        <f>R276/'סכום נכסי הקרן'!$C$42</f>
        <v>2.7776091495919163E-4</v>
      </c>
    </row>
    <row r="277" spans="2:21">
      <c r="B277" s="87" t="s">
        <v>989</v>
      </c>
      <c r="C277" s="84" t="s">
        <v>990</v>
      </c>
      <c r="D277" s="97" t="s">
        <v>30</v>
      </c>
      <c r="E277" s="97" t="s">
        <v>916</v>
      </c>
      <c r="F277" s="84"/>
      <c r="G277" s="97" t="s">
        <v>991</v>
      </c>
      <c r="H277" s="84" t="s">
        <v>919</v>
      </c>
      <c r="I277" s="84" t="s">
        <v>926</v>
      </c>
      <c r="J277" s="84"/>
      <c r="K277" s="94">
        <v>7.4600000000042668</v>
      </c>
      <c r="L277" s="97" t="s">
        <v>167</v>
      </c>
      <c r="M277" s="98">
        <v>4.7500000000000001E-2</v>
      </c>
      <c r="N277" s="98">
        <v>3.5300000000024832E-2</v>
      </c>
      <c r="O277" s="94">
        <v>150292.38</v>
      </c>
      <c r="P277" s="96">
        <v>110.1046</v>
      </c>
      <c r="Q277" s="84"/>
      <c r="R277" s="94">
        <v>571.89472858600004</v>
      </c>
      <c r="S277" s="95">
        <v>5.0097460000000003E-5</v>
      </c>
      <c r="T277" s="95">
        <f t="shared" si="7"/>
        <v>2.2663587313416448E-3</v>
      </c>
      <c r="U277" s="95">
        <f>R277/'סכום נכסי הקרן'!$C$42</f>
        <v>6.0176508244656919E-4</v>
      </c>
    </row>
    <row r="278" spans="2:21">
      <c r="B278" s="87" t="s">
        <v>992</v>
      </c>
      <c r="C278" s="84" t="s">
        <v>993</v>
      </c>
      <c r="D278" s="97" t="s">
        <v>30</v>
      </c>
      <c r="E278" s="97" t="s">
        <v>916</v>
      </c>
      <c r="F278" s="84"/>
      <c r="G278" s="97" t="s">
        <v>918</v>
      </c>
      <c r="H278" s="84" t="s">
        <v>919</v>
      </c>
      <c r="I278" s="84" t="s">
        <v>926</v>
      </c>
      <c r="J278" s="84"/>
      <c r="K278" s="94">
        <v>7.9900000000265363</v>
      </c>
      <c r="L278" s="97" t="s">
        <v>167</v>
      </c>
      <c r="M278" s="98">
        <v>3.7000000000000005E-2</v>
      </c>
      <c r="N278" s="98">
        <v>3.420000000012359E-2</v>
      </c>
      <c r="O278" s="94">
        <v>38825.531499999997</v>
      </c>
      <c r="P278" s="96">
        <v>102.51309999999999</v>
      </c>
      <c r="Q278" s="84"/>
      <c r="R278" s="94">
        <v>137.553080865</v>
      </c>
      <c r="S278" s="95">
        <v>2.5883687666666665E-5</v>
      </c>
      <c r="T278" s="95">
        <f t="shared" si="7"/>
        <v>5.4510840939576294E-4</v>
      </c>
      <c r="U278" s="95">
        <f>R278/'סכום נכסי הקרן'!$C$42</f>
        <v>1.4473754855577218E-4</v>
      </c>
    </row>
    <row r="279" spans="2:21">
      <c r="B279" s="87" t="s">
        <v>994</v>
      </c>
      <c r="C279" s="84" t="s">
        <v>995</v>
      </c>
      <c r="D279" s="97" t="s">
        <v>30</v>
      </c>
      <c r="E279" s="97" t="s">
        <v>916</v>
      </c>
      <c r="F279" s="84"/>
      <c r="G279" s="97" t="s">
        <v>996</v>
      </c>
      <c r="H279" s="84" t="s">
        <v>919</v>
      </c>
      <c r="I279" s="84" t="s">
        <v>926</v>
      </c>
      <c r="J279" s="84"/>
      <c r="K279" s="94">
        <v>7.6199999999936407</v>
      </c>
      <c r="L279" s="97" t="s">
        <v>167</v>
      </c>
      <c r="M279" s="98">
        <v>5.2999999999999999E-2</v>
      </c>
      <c r="N279" s="98">
        <v>3.7099999999985395E-2</v>
      </c>
      <c r="O279" s="94">
        <v>59365.49010000001</v>
      </c>
      <c r="P279" s="96">
        <v>113.4543</v>
      </c>
      <c r="Q279" s="84"/>
      <c r="R279" s="94">
        <v>232.77088985400005</v>
      </c>
      <c r="S279" s="95">
        <v>3.3923137200000005E-5</v>
      </c>
      <c r="T279" s="95">
        <f t="shared" si="7"/>
        <v>9.224465837045162E-4</v>
      </c>
      <c r="U279" s="95">
        <f>R279/'סכום נכסי הקרן'!$C$42</f>
        <v>2.4492863235596295E-4</v>
      </c>
    </row>
    <row r="280" spans="2:21">
      <c r="B280" s="87" t="s">
        <v>997</v>
      </c>
      <c r="C280" s="84" t="s">
        <v>998</v>
      </c>
      <c r="D280" s="97" t="s">
        <v>30</v>
      </c>
      <c r="E280" s="97" t="s">
        <v>916</v>
      </c>
      <c r="F280" s="84"/>
      <c r="G280" s="97" t="s">
        <v>918</v>
      </c>
      <c r="H280" s="84" t="s">
        <v>919</v>
      </c>
      <c r="I280" s="84" t="s">
        <v>920</v>
      </c>
      <c r="J280" s="84"/>
      <c r="K280" s="94">
        <v>3.3600000000100803</v>
      </c>
      <c r="L280" s="97" t="s">
        <v>167</v>
      </c>
      <c r="M280" s="98">
        <v>5.8749999999999997E-2</v>
      </c>
      <c r="N280" s="98">
        <v>2.7400000000100802E-2</v>
      </c>
      <c r="O280" s="94">
        <v>25549.704600000001</v>
      </c>
      <c r="P280" s="96">
        <v>112.3496</v>
      </c>
      <c r="Q280" s="84"/>
      <c r="R280" s="94">
        <v>99.204433899999998</v>
      </c>
      <c r="S280" s="95">
        <v>1.4194280333333334E-5</v>
      </c>
      <c r="T280" s="95">
        <f t="shared" si="7"/>
        <v>3.9313675003258973E-4</v>
      </c>
      <c r="U280" s="95">
        <f>R280/'סכום נכסי הקרן'!$C$42</f>
        <v>1.0438593216709731E-4</v>
      </c>
    </row>
    <row r="281" spans="2:21">
      <c r="B281" s="87" t="s">
        <v>999</v>
      </c>
      <c r="C281" s="84" t="s">
        <v>1000</v>
      </c>
      <c r="D281" s="97" t="s">
        <v>30</v>
      </c>
      <c r="E281" s="97" t="s">
        <v>916</v>
      </c>
      <c r="F281" s="84"/>
      <c r="G281" s="97" t="s">
        <v>918</v>
      </c>
      <c r="H281" s="84" t="s">
        <v>919</v>
      </c>
      <c r="I281" s="84" t="s">
        <v>926</v>
      </c>
      <c r="J281" s="84"/>
      <c r="K281" s="94">
        <v>7.3499999999925159</v>
      </c>
      <c r="L281" s="97" t="s">
        <v>167</v>
      </c>
      <c r="M281" s="98">
        <v>5.2499999999999998E-2</v>
      </c>
      <c r="N281" s="98">
        <v>3.6199999999957828E-2</v>
      </c>
      <c r="O281" s="94">
        <v>75146.19</v>
      </c>
      <c r="P281" s="96">
        <v>113.2067</v>
      </c>
      <c r="Q281" s="84"/>
      <c r="R281" s="94">
        <v>294.00385345199999</v>
      </c>
      <c r="S281" s="95">
        <v>5.0097460000000003E-5</v>
      </c>
      <c r="T281" s="95">
        <f t="shared" si="7"/>
        <v>1.1651063858666611E-3</v>
      </c>
      <c r="U281" s="95">
        <f>R281/'סכום נכסי הקרן'!$C$42</f>
        <v>3.0935982492719702E-4</v>
      </c>
    </row>
    <row r="282" spans="2:21">
      <c r="B282" s="87" t="s">
        <v>1001</v>
      </c>
      <c r="C282" s="84" t="s">
        <v>1002</v>
      </c>
      <c r="D282" s="97" t="s">
        <v>30</v>
      </c>
      <c r="E282" s="97" t="s">
        <v>916</v>
      </c>
      <c r="F282" s="84"/>
      <c r="G282" s="97" t="s">
        <v>974</v>
      </c>
      <c r="H282" s="84" t="s">
        <v>919</v>
      </c>
      <c r="I282" s="84" t="s">
        <v>926</v>
      </c>
      <c r="J282" s="84"/>
      <c r="K282" s="94">
        <v>4.5499999999968228</v>
      </c>
      <c r="L282" s="97" t="s">
        <v>167</v>
      </c>
      <c r="M282" s="98">
        <v>4.1250000000000002E-2</v>
      </c>
      <c r="N282" s="98">
        <v>3.7499999999977308E-2</v>
      </c>
      <c r="O282" s="94">
        <v>62621.824999999997</v>
      </c>
      <c r="P282" s="96">
        <v>101.78530000000001</v>
      </c>
      <c r="Q282" s="84"/>
      <c r="R282" s="94">
        <v>220.284863914</v>
      </c>
      <c r="S282" s="95">
        <v>1.473454705882353E-4</v>
      </c>
      <c r="T282" s="95">
        <f t="shared" si="7"/>
        <v>8.7296577457231239E-4</v>
      </c>
      <c r="U282" s="95">
        <f>R282/'סכום נכסי הקרן'!$C$42</f>
        <v>2.3179045490188586E-4</v>
      </c>
    </row>
    <row r="283" spans="2:21">
      <c r="B283" s="87" t="s">
        <v>1003</v>
      </c>
      <c r="C283" s="84" t="s">
        <v>1004</v>
      </c>
      <c r="D283" s="97" t="s">
        <v>30</v>
      </c>
      <c r="E283" s="97" t="s">
        <v>916</v>
      </c>
      <c r="F283" s="84"/>
      <c r="G283" s="97" t="s">
        <v>1005</v>
      </c>
      <c r="H283" s="84" t="s">
        <v>1006</v>
      </c>
      <c r="I283" s="84" t="s">
        <v>955</v>
      </c>
      <c r="J283" s="84"/>
      <c r="K283" s="94">
        <v>5.1199999999923849</v>
      </c>
      <c r="L283" s="97" t="s">
        <v>167</v>
      </c>
      <c r="M283" s="98">
        <v>5.2499999999999998E-2</v>
      </c>
      <c r="N283" s="98">
        <v>3.1999999999960609E-2</v>
      </c>
      <c r="O283" s="94">
        <v>39201.262450000002</v>
      </c>
      <c r="P283" s="96">
        <v>112.44</v>
      </c>
      <c r="Q283" s="84"/>
      <c r="R283" s="94">
        <v>152.333220668</v>
      </c>
      <c r="S283" s="95">
        <v>3.1361009960000001E-5</v>
      </c>
      <c r="T283" s="95">
        <f t="shared" si="7"/>
        <v>6.0368055076835475E-4</v>
      </c>
      <c r="U283" s="95">
        <f>R283/'סכום נכסי הקרן'!$C$42</f>
        <v>1.6028966261199856E-4</v>
      </c>
    </row>
    <row r="284" spans="2:21">
      <c r="B284" s="87" t="s">
        <v>1007</v>
      </c>
      <c r="C284" s="84" t="s">
        <v>1008</v>
      </c>
      <c r="D284" s="97" t="s">
        <v>30</v>
      </c>
      <c r="E284" s="97" t="s">
        <v>916</v>
      </c>
      <c r="F284" s="84"/>
      <c r="G284" s="97" t="s">
        <v>1009</v>
      </c>
      <c r="H284" s="84" t="s">
        <v>919</v>
      </c>
      <c r="I284" s="84" t="s">
        <v>920</v>
      </c>
      <c r="J284" s="84"/>
      <c r="K284" s="94">
        <v>7.9999999998235483E-2</v>
      </c>
      <c r="L284" s="97" t="s">
        <v>167</v>
      </c>
      <c r="M284" s="98">
        <v>5.2499999999999998E-2</v>
      </c>
      <c r="N284" s="98">
        <v>9.9999999999632392E-4</v>
      </c>
      <c r="O284" s="94">
        <v>74647.720272999999</v>
      </c>
      <c r="P284" s="96">
        <v>105.44580000000001</v>
      </c>
      <c r="Q284" s="84"/>
      <c r="R284" s="94">
        <v>272.03181938099999</v>
      </c>
      <c r="S284" s="95">
        <v>1.1484264657384615E-4</v>
      </c>
      <c r="T284" s="95">
        <f t="shared" si="7"/>
        <v>1.078033523024809E-3</v>
      </c>
      <c r="U284" s="95">
        <f>R284/'סכום נכסי הקרן'!$C$42</f>
        <v>2.8624018029094498E-4</v>
      </c>
    </row>
    <row r="285" spans="2:21">
      <c r="B285" s="87" t="s">
        <v>1010</v>
      </c>
      <c r="C285" s="84" t="s">
        <v>1011</v>
      </c>
      <c r="D285" s="97" t="s">
        <v>30</v>
      </c>
      <c r="E285" s="97" t="s">
        <v>916</v>
      </c>
      <c r="F285" s="84"/>
      <c r="G285" s="97" t="s">
        <v>948</v>
      </c>
      <c r="H285" s="84" t="s">
        <v>919</v>
      </c>
      <c r="I285" s="84" t="s">
        <v>920</v>
      </c>
      <c r="J285" s="84"/>
      <c r="K285" s="94">
        <v>4.8500000000125612</v>
      </c>
      <c r="L285" s="97" t="s">
        <v>167</v>
      </c>
      <c r="M285" s="98">
        <v>4.8750000000000002E-2</v>
      </c>
      <c r="N285" s="98">
        <v>3.3800000000076789E-2</v>
      </c>
      <c r="O285" s="94">
        <v>56803.005021000004</v>
      </c>
      <c r="P285" s="96">
        <v>107.4684</v>
      </c>
      <c r="Q285" s="84"/>
      <c r="R285" s="94">
        <v>210.97244085099999</v>
      </c>
      <c r="S285" s="95">
        <v>7.5737340028000002E-5</v>
      </c>
      <c r="T285" s="95">
        <f t="shared" si="7"/>
        <v>8.3606162025188374E-4</v>
      </c>
      <c r="U285" s="95">
        <f>R285/'סכום נכסי הקרן'!$C$42</f>
        <v>2.2199163922449877E-4</v>
      </c>
    </row>
    <row r="286" spans="2:21">
      <c r="B286" s="87" t="s">
        <v>1012</v>
      </c>
      <c r="C286" s="84" t="s">
        <v>1013</v>
      </c>
      <c r="D286" s="97" t="s">
        <v>30</v>
      </c>
      <c r="E286" s="97" t="s">
        <v>916</v>
      </c>
      <c r="F286" s="84"/>
      <c r="G286" s="97" t="s">
        <v>1014</v>
      </c>
      <c r="H286" s="84" t="s">
        <v>1006</v>
      </c>
      <c r="I286" s="84" t="s">
        <v>955</v>
      </c>
      <c r="J286" s="84"/>
      <c r="K286" s="94">
        <v>8.36</v>
      </c>
      <c r="L286" s="97" t="s">
        <v>169</v>
      </c>
      <c r="M286" s="98">
        <v>2.8750000000000001E-2</v>
      </c>
      <c r="N286" s="98">
        <v>1.9899999999981505E-2</v>
      </c>
      <c r="O286" s="94">
        <v>64124.748800000001</v>
      </c>
      <c r="P286" s="96">
        <v>108.71259999999999</v>
      </c>
      <c r="Q286" s="84"/>
      <c r="R286" s="94">
        <v>270.35592124999999</v>
      </c>
      <c r="S286" s="95">
        <v>6.4124748800000004E-5</v>
      </c>
      <c r="T286" s="95">
        <f t="shared" si="7"/>
        <v>1.07139211478623E-3</v>
      </c>
      <c r="U286" s="95">
        <f>R286/'סכום נכסי הקרן'!$C$42</f>
        <v>2.8447674914433037E-4</v>
      </c>
    </row>
    <row r="287" spans="2:21">
      <c r="B287" s="87" t="s">
        <v>1015</v>
      </c>
      <c r="C287" s="84" t="s">
        <v>1016</v>
      </c>
      <c r="D287" s="97" t="s">
        <v>30</v>
      </c>
      <c r="E287" s="97" t="s">
        <v>916</v>
      </c>
      <c r="F287" s="84"/>
      <c r="G287" s="97" t="s">
        <v>958</v>
      </c>
      <c r="H287" s="84" t="s">
        <v>919</v>
      </c>
      <c r="I287" s="84" t="s">
        <v>926</v>
      </c>
      <c r="J287" s="84"/>
      <c r="K287" s="94">
        <v>15.909999999989115</v>
      </c>
      <c r="L287" s="97" t="s">
        <v>167</v>
      </c>
      <c r="M287" s="98">
        <v>4.2000000000000003E-2</v>
      </c>
      <c r="N287" s="98">
        <v>4.2199999999973266E-2</v>
      </c>
      <c r="O287" s="94">
        <v>75146.19</v>
      </c>
      <c r="P287" s="96">
        <v>100.79300000000001</v>
      </c>
      <c r="Q287" s="84"/>
      <c r="R287" s="94">
        <v>261.76469513500001</v>
      </c>
      <c r="S287" s="95">
        <v>4.1747883333333337E-5</v>
      </c>
      <c r="T287" s="95">
        <f t="shared" si="7"/>
        <v>1.0373459882083512E-3</v>
      </c>
      <c r="U287" s="95">
        <f>R287/'סכום נכסי הקרן'!$C$42</f>
        <v>2.7543679890000377E-4</v>
      </c>
    </row>
    <row r="288" spans="2:21">
      <c r="B288" s="87" t="s">
        <v>1017</v>
      </c>
      <c r="C288" s="84" t="s">
        <v>1018</v>
      </c>
      <c r="D288" s="97" t="s">
        <v>30</v>
      </c>
      <c r="E288" s="97" t="s">
        <v>916</v>
      </c>
      <c r="F288" s="84"/>
      <c r="G288" s="97" t="s">
        <v>996</v>
      </c>
      <c r="H288" s="84" t="s">
        <v>919</v>
      </c>
      <c r="I288" s="84" t="s">
        <v>926</v>
      </c>
      <c r="J288" s="84"/>
      <c r="K288" s="94">
        <v>7.6100000000014933</v>
      </c>
      <c r="L288" s="97" t="s">
        <v>167</v>
      </c>
      <c r="M288" s="98">
        <v>4.5999999999999999E-2</v>
      </c>
      <c r="N288" s="98">
        <v>3.3500000000016003E-2</v>
      </c>
      <c r="O288" s="94">
        <v>98789.686247000005</v>
      </c>
      <c r="P288" s="96">
        <v>109.8048</v>
      </c>
      <c r="Q288" s="84"/>
      <c r="R288" s="94">
        <v>374.892349104</v>
      </c>
      <c r="S288" s="95">
        <v>1.2348710780875E-4</v>
      </c>
      <c r="T288" s="95">
        <f t="shared" si="7"/>
        <v>1.4856589967278632E-3</v>
      </c>
      <c r="U288" s="95">
        <f>R288/'סכום נכסי הקרן'!$C$42</f>
        <v>3.9447316803381213E-4</v>
      </c>
    </row>
    <row r="289" spans="2:21">
      <c r="B289" s="87" t="s">
        <v>1019</v>
      </c>
      <c r="C289" s="84" t="s">
        <v>1020</v>
      </c>
      <c r="D289" s="97" t="s">
        <v>30</v>
      </c>
      <c r="E289" s="97" t="s">
        <v>916</v>
      </c>
      <c r="F289" s="84"/>
      <c r="G289" s="97" t="s">
        <v>991</v>
      </c>
      <c r="H289" s="84" t="s">
        <v>919</v>
      </c>
      <c r="I289" s="84" t="s">
        <v>926</v>
      </c>
      <c r="J289" s="84"/>
      <c r="K289" s="94">
        <v>7.7599999999974338</v>
      </c>
      <c r="L289" s="97" t="s">
        <v>167</v>
      </c>
      <c r="M289" s="98">
        <v>4.2999999999999997E-2</v>
      </c>
      <c r="N289" s="98">
        <v>3.2499999999979955E-2</v>
      </c>
      <c r="O289" s="94">
        <v>100194.92</v>
      </c>
      <c r="P289" s="96">
        <v>108.0483</v>
      </c>
      <c r="Q289" s="84"/>
      <c r="R289" s="94">
        <v>374.14290057099998</v>
      </c>
      <c r="S289" s="95">
        <v>1.0019491999999999E-4</v>
      </c>
      <c r="T289" s="95">
        <f t="shared" si="7"/>
        <v>1.4826890109218122E-3</v>
      </c>
      <c r="U289" s="95">
        <f>R289/'סכום נכסי הקרן'!$C$42</f>
        <v>3.9368457542103303E-4</v>
      </c>
    </row>
    <row r="290" spans="2:21">
      <c r="B290" s="87" t="s">
        <v>1021</v>
      </c>
      <c r="C290" s="84" t="s">
        <v>1022</v>
      </c>
      <c r="D290" s="97" t="s">
        <v>30</v>
      </c>
      <c r="E290" s="97" t="s">
        <v>916</v>
      </c>
      <c r="F290" s="84"/>
      <c r="G290" s="97" t="s">
        <v>991</v>
      </c>
      <c r="H290" s="84" t="s">
        <v>919</v>
      </c>
      <c r="I290" s="84" t="s">
        <v>926</v>
      </c>
      <c r="J290" s="84"/>
      <c r="K290" s="94">
        <v>7.1100000000476795</v>
      </c>
      <c r="L290" s="97" t="s">
        <v>167</v>
      </c>
      <c r="M290" s="98">
        <v>5.5500000000000001E-2</v>
      </c>
      <c r="N290" s="98">
        <v>3.2700000000185199E-2</v>
      </c>
      <c r="O290" s="94">
        <v>12524.365</v>
      </c>
      <c r="P290" s="96">
        <v>117.2621</v>
      </c>
      <c r="Q290" s="84"/>
      <c r="R290" s="94">
        <v>50.755961077999999</v>
      </c>
      <c r="S290" s="95">
        <v>2.5048729999999998E-5</v>
      </c>
      <c r="T290" s="95">
        <f t="shared" si="7"/>
        <v>2.0114054179372259E-4</v>
      </c>
      <c r="U290" s="95">
        <f>R290/'סכום נכסי הקרן'!$C$42</f>
        <v>5.3406970856813078E-5</v>
      </c>
    </row>
    <row r="291" spans="2:21">
      <c r="B291" s="87" t="s">
        <v>1023</v>
      </c>
      <c r="C291" s="84" t="s">
        <v>1024</v>
      </c>
      <c r="D291" s="97" t="s">
        <v>30</v>
      </c>
      <c r="E291" s="97" t="s">
        <v>916</v>
      </c>
      <c r="F291" s="84"/>
      <c r="G291" s="97" t="s">
        <v>971</v>
      </c>
      <c r="H291" s="84" t="s">
        <v>919</v>
      </c>
      <c r="I291" s="84" t="s">
        <v>926</v>
      </c>
      <c r="J291" s="84"/>
      <c r="K291" s="94">
        <v>2.5399999999991731</v>
      </c>
      <c r="L291" s="97" t="s">
        <v>167</v>
      </c>
      <c r="M291" s="98">
        <v>4.7500000000000001E-2</v>
      </c>
      <c r="N291" s="98">
        <v>3.539999999999173E-2</v>
      </c>
      <c r="O291" s="94">
        <v>100936.362408</v>
      </c>
      <c r="P291" s="96">
        <v>103.9772</v>
      </c>
      <c r="Q291" s="84"/>
      <c r="R291" s="94">
        <v>362.71005414500002</v>
      </c>
      <c r="S291" s="95">
        <v>1.1215151378666667E-4</v>
      </c>
      <c r="T291" s="95">
        <f t="shared" si="7"/>
        <v>1.4373818415661557E-3</v>
      </c>
      <c r="U291" s="95">
        <f>R291/'סכום נכסי הקרן'!$C$42</f>
        <v>3.8165458558505179E-4</v>
      </c>
    </row>
    <row r="292" spans="2:21">
      <c r="B292" s="87" t="s">
        <v>1025</v>
      </c>
      <c r="C292" s="84" t="s">
        <v>1026</v>
      </c>
      <c r="D292" s="97" t="s">
        <v>30</v>
      </c>
      <c r="E292" s="97" t="s">
        <v>916</v>
      </c>
      <c r="F292" s="84"/>
      <c r="G292" s="97" t="s">
        <v>948</v>
      </c>
      <c r="H292" s="84" t="s">
        <v>919</v>
      </c>
      <c r="I292" s="84" t="s">
        <v>920</v>
      </c>
      <c r="J292" s="84"/>
      <c r="K292" s="94">
        <v>4.7099999999943813</v>
      </c>
      <c r="L292" s="97" t="s">
        <v>167</v>
      </c>
      <c r="M292" s="98">
        <v>3.5159999999999997E-2</v>
      </c>
      <c r="N292" s="98">
        <v>3.2599999999960841E-2</v>
      </c>
      <c r="O292" s="94">
        <v>67047.935591000001</v>
      </c>
      <c r="P292" s="96">
        <v>101.39279999999999</v>
      </c>
      <c r="Q292" s="84"/>
      <c r="R292" s="94">
        <v>234.945029092</v>
      </c>
      <c r="S292" s="95">
        <v>6.7047935591000001E-5</v>
      </c>
      <c r="T292" s="95">
        <f t="shared" si="7"/>
        <v>9.3106246910946912E-4</v>
      </c>
      <c r="U292" s="95">
        <f>R292/'סכום נכסי הקרן'!$C$42</f>
        <v>2.4721632799715231E-4</v>
      </c>
    </row>
    <row r="293" spans="2:21">
      <c r="B293" s="87" t="s">
        <v>1027</v>
      </c>
      <c r="C293" s="84" t="s">
        <v>1028</v>
      </c>
      <c r="D293" s="97" t="s">
        <v>30</v>
      </c>
      <c r="E293" s="97" t="s">
        <v>916</v>
      </c>
      <c r="F293" s="84"/>
      <c r="G293" s="97" t="s">
        <v>948</v>
      </c>
      <c r="H293" s="84" t="s">
        <v>919</v>
      </c>
      <c r="I293" s="84" t="s">
        <v>920</v>
      </c>
      <c r="J293" s="84"/>
      <c r="K293" s="94">
        <v>6.1499999999826231</v>
      </c>
      <c r="L293" s="97" t="s">
        <v>167</v>
      </c>
      <c r="M293" s="98">
        <v>4.2999999999999997E-2</v>
      </c>
      <c r="N293" s="98">
        <v>3.4399999999920571E-2</v>
      </c>
      <c r="O293" s="94">
        <v>32813.836300000003</v>
      </c>
      <c r="P293" s="96">
        <v>106.57769999999999</v>
      </c>
      <c r="Q293" s="84"/>
      <c r="R293" s="94">
        <v>120.86405903400001</v>
      </c>
      <c r="S293" s="95">
        <v>2.6251069040000001E-5</v>
      </c>
      <c r="T293" s="95">
        <f t="shared" si="7"/>
        <v>4.7897156907594459E-4</v>
      </c>
      <c r="U293" s="95">
        <f>R293/'סכום נכסי הקרן'!$C$42</f>
        <v>1.2717685058795714E-4</v>
      </c>
    </row>
    <row r="294" spans="2:21">
      <c r="B294" s="87" t="s">
        <v>1029</v>
      </c>
      <c r="C294" s="84" t="s">
        <v>1030</v>
      </c>
      <c r="D294" s="97" t="s">
        <v>30</v>
      </c>
      <c r="E294" s="97" t="s">
        <v>916</v>
      </c>
      <c r="F294" s="84"/>
      <c r="G294" s="97" t="s">
        <v>948</v>
      </c>
      <c r="H294" s="84" t="s">
        <v>1006</v>
      </c>
      <c r="I294" s="84" t="s">
        <v>955</v>
      </c>
      <c r="J294" s="84"/>
      <c r="K294" s="94">
        <v>3.6300000000070991</v>
      </c>
      <c r="L294" s="97" t="s">
        <v>167</v>
      </c>
      <c r="M294" s="98">
        <v>6.25E-2</v>
      </c>
      <c r="N294" s="98">
        <v>4.1600000000070442E-2</v>
      </c>
      <c r="O294" s="94">
        <v>46590.637799999997</v>
      </c>
      <c r="P294" s="96">
        <v>112.8502</v>
      </c>
      <c r="Q294" s="84"/>
      <c r="R294" s="94">
        <v>181.70831791700002</v>
      </c>
      <c r="S294" s="95">
        <v>9.318127559999999E-5</v>
      </c>
      <c r="T294" s="95">
        <f t="shared" si="7"/>
        <v>7.2009097528631715E-4</v>
      </c>
      <c r="U294" s="95">
        <f>R294/'סכום נכסי הקרן'!$C$42</f>
        <v>1.9119903619833382E-4</v>
      </c>
    </row>
    <row r="295" spans="2:21">
      <c r="B295" s="87" t="s">
        <v>1031</v>
      </c>
      <c r="C295" s="84" t="s">
        <v>1032</v>
      </c>
      <c r="D295" s="97" t="s">
        <v>30</v>
      </c>
      <c r="E295" s="97" t="s">
        <v>916</v>
      </c>
      <c r="F295" s="84"/>
      <c r="G295" s="97" t="s">
        <v>971</v>
      </c>
      <c r="H295" s="84" t="s">
        <v>919</v>
      </c>
      <c r="I295" s="84" t="s">
        <v>920</v>
      </c>
      <c r="J295" s="84"/>
      <c r="K295" s="94">
        <v>5.9999999999927853</v>
      </c>
      <c r="L295" s="97" t="s">
        <v>167</v>
      </c>
      <c r="M295" s="98">
        <v>5.2999999999999999E-2</v>
      </c>
      <c r="N295" s="98">
        <v>4.9099999999941565E-2</v>
      </c>
      <c r="O295" s="94">
        <v>77525.819350000005</v>
      </c>
      <c r="P295" s="96">
        <v>103.4688</v>
      </c>
      <c r="Q295" s="84"/>
      <c r="R295" s="94">
        <v>277.22325018200002</v>
      </c>
      <c r="S295" s="95">
        <v>5.1683879566666672E-5</v>
      </c>
      <c r="T295" s="95">
        <f t="shared" si="7"/>
        <v>1.0986066179247964E-3</v>
      </c>
      <c r="U295" s="95">
        <f>R295/'סכום נכסי הקרן'!$C$42</f>
        <v>2.9170276217503318E-4</v>
      </c>
    </row>
    <row r="296" spans="2:21">
      <c r="B296" s="87" t="s">
        <v>1033</v>
      </c>
      <c r="C296" s="84" t="s">
        <v>1034</v>
      </c>
      <c r="D296" s="97" t="s">
        <v>30</v>
      </c>
      <c r="E296" s="97" t="s">
        <v>916</v>
      </c>
      <c r="F296" s="84"/>
      <c r="G296" s="97" t="s">
        <v>971</v>
      </c>
      <c r="H296" s="84" t="s">
        <v>919</v>
      </c>
      <c r="I296" s="84" t="s">
        <v>920</v>
      </c>
      <c r="J296" s="84"/>
      <c r="K296" s="94">
        <v>5.5099999999884677</v>
      </c>
      <c r="L296" s="97" t="s">
        <v>167</v>
      </c>
      <c r="M296" s="98">
        <v>5.8749999999999997E-2</v>
      </c>
      <c r="N296" s="98">
        <v>4.3899999999920628E-2</v>
      </c>
      <c r="O296" s="94">
        <v>17534.111000000001</v>
      </c>
      <c r="P296" s="96">
        <v>110.19410000000001</v>
      </c>
      <c r="Q296" s="84"/>
      <c r="R296" s="94">
        <v>66.775312027000012</v>
      </c>
      <c r="S296" s="95">
        <v>1.4611759166666667E-5</v>
      </c>
      <c r="T296" s="95">
        <f t="shared" si="7"/>
        <v>2.6462354675769068E-4</v>
      </c>
      <c r="U296" s="95">
        <f>R296/'סכום נכסי הקרן'!$C$42</f>
        <v>7.0263020690319983E-5</v>
      </c>
    </row>
    <row r="297" spans="2:21">
      <c r="B297" s="87" t="s">
        <v>1035</v>
      </c>
      <c r="C297" s="84" t="s">
        <v>1036</v>
      </c>
      <c r="D297" s="97" t="s">
        <v>30</v>
      </c>
      <c r="E297" s="97" t="s">
        <v>916</v>
      </c>
      <c r="F297" s="84"/>
      <c r="G297" s="97" t="s">
        <v>1009</v>
      </c>
      <c r="H297" s="84" t="s">
        <v>919</v>
      </c>
      <c r="I297" s="84" t="s">
        <v>926</v>
      </c>
      <c r="J297" s="84"/>
      <c r="K297" s="94">
        <v>7.149999999985388</v>
      </c>
      <c r="L297" s="97" t="s">
        <v>169</v>
      </c>
      <c r="M297" s="98">
        <v>4.6249999999999999E-2</v>
      </c>
      <c r="N297" s="98">
        <v>2.8299999999962879E-2</v>
      </c>
      <c r="O297" s="94">
        <v>56610.129800000002</v>
      </c>
      <c r="P297" s="96">
        <v>115.33710000000001</v>
      </c>
      <c r="Q297" s="84"/>
      <c r="R297" s="94">
        <v>253.21718621799999</v>
      </c>
      <c r="S297" s="95">
        <v>3.7740086533333336E-5</v>
      </c>
      <c r="T297" s="95">
        <f t="shared" si="7"/>
        <v>1.0034731082936162E-3</v>
      </c>
      <c r="U297" s="95">
        <f>R297/'סכום נכסי הקרן'!$C$42</f>
        <v>2.6644284922526426E-4</v>
      </c>
    </row>
    <row r="298" spans="2:21">
      <c r="B298" s="87" t="s">
        <v>1037</v>
      </c>
      <c r="C298" s="84" t="s">
        <v>1038</v>
      </c>
      <c r="D298" s="97" t="s">
        <v>30</v>
      </c>
      <c r="E298" s="97" t="s">
        <v>916</v>
      </c>
      <c r="F298" s="84"/>
      <c r="G298" s="97" t="s">
        <v>1014</v>
      </c>
      <c r="H298" s="84" t="s">
        <v>1039</v>
      </c>
      <c r="I298" s="84" t="s">
        <v>920</v>
      </c>
      <c r="J298" s="84"/>
      <c r="K298" s="94">
        <v>7.0699999999844652</v>
      </c>
      <c r="L298" s="97" t="s">
        <v>169</v>
      </c>
      <c r="M298" s="98">
        <v>3.125E-2</v>
      </c>
      <c r="N298" s="98">
        <v>2.7499999999944357E-2</v>
      </c>
      <c r="O298" s="94">
        <v>56359.642500000002</v>
      </c>
      <c r="P298" s="96">
        <v>102.7824</v>
      </c>
      <c r="Q298" s="84"/>
      <c r="R298" s="94">
        <v>224.65551140700001</v>
      </c>
      <c r="S298" s="95">
        <v>7.5146190000000002E-5</v>
      </c>
      <c r="T298" s="95">
        <f t="shared" si="7"/>
        <v>8.9028619144670485E-4</v>
      </c>
      <c r="U298" s="95">
        <f>R298/'סכום נכסי הקרן'!$C$42</f>
        <v>2.3638938354645113E-4</v>
      </c>
    </row>
    <row r="299" spans="2:21">
      <c r="B299" s="87" t="s">
        <v>1040</v>
      </c>
      <c r="C299" s="84" t="s">
        <v>1041</v>
      </c>
      <c r="D299" s="97" t="s">
        <v>30</v>
      </c>
      <c r="E299" s="97" t="s">
        <v>916</v>
      </c>
      <c r="F299" s="84"/>
      <c r="G299" s="97" t="s">
        <v>948</v>
      </c>
      <c r="H299" s="84" t="s">
        <v>1042</v>
      </c>
      <c r="I299" s="84" t="s">
        <v>955</v>
      </c>
      <c r="J299" s="84"/>
      <c r="K299" s="94">
        <v>6.6299999999854231</v>
      </c>
      <c r="L299" s="97" t="s">
        <v>167</v>
      </c>
      <c r="M299" s="98">
        <v>7.0000000000000007E-2</v>
      </c>
      <c r="N299" s="98">
        <v>4.669999999991746E-2</v>
      </c>
      <c r="O299" s="94">
        <v>27804.090299999996</v>
      </c>
      <c r="P299" s="96">
        <v>118.5286</v>
      </c>
      <c r="Q299" s="84"/>
      <c r="R299" s="94">
        <v>113.89519858200001</v>
      </c>
      <c r="S299" s="95">
        <v>3.7072120399999995E-5</v>
      </c>
      <c r="T299" s="95">
        <f t="shared" si="7"/>
        <v>4.5135470718959373E-4</v>
      </c>
      <c r="U299" s="95">
        <f>R299/'סכום נכסי הקרן'!$C$42</f>
        <v>1.1984400299409128E-4</v>
      </c>
    </row>
    <row r="300" spans="2:21">
      <c r="B300" s="87" t="s">
        <v>1043</v>
      </c>
      <c r="C300" s="84" t="s">
        <v>1044</v>
      </c>
      <c r="D300" s="97" t="s">
        <v>30</v>
      </c>
      <c r="E300" s="97" t="s">
        <v>916</v>
      </c>
      <c r="F300" s="84"/>
      <c r="G300" s="97" t="s">
        <v>918</v>
      </c>
      <c r="H300" s="84" t="s">
        <v>1042</v>
      </c>
      <c r="I300" s="84" t="s">
        <v>955</v>
      </c>
      <c r="J300" s="84"/>
      <c r="K300" s="94">
        <v>3.5899999999951455</v>
      </c>
      <c r="L300" s="97" t="s">
        <v>167</v>
      </c>
      <c r="M300" s="98">
        <v>7.0000000000000007E-2</v>
      </c>
      <c r="N300" s="98">
        <v>2.8699999999958394E-2</v>
      </c>
      <c r="O300" s="94">
        <v>72360.771223999996</v>
      </c>
      <c r="P300" s="96">
        <v>115.316</v>
      </c>
      <c r="Q300" s="84"/>
      <c r="R300" s="94">
        <v>288.38089825999998</v>
      </c>
      <c r="S300" s="95">
        <v>5.7891858923299705E-5</v>
      </c>
      <c r="T300" s="95">
        <f t="shared" si="7"/>
        <v>1.1428232051371578E-3</v>
      </c>
      <c r="U300" s="95">
        <f>R300/'סכום נכסי הקרן'!$C$42</f>
        <v>3.0344317991269691E-4</v>
      </c>
    </row>
    <row r="301" spans="2:21">
      <c r="B301" s="87" t="s">
        <v>1045</v>
      </c>
      <c r="C301" s="84" t="s">
        <v>1046</v>
      </c>
      <c r="D301" s="97" t="s">
        <v>30</v>
      </c>
      <c r="E301" s="97" t="s">
        <v>916</v>
      </c>
      <c r="F301" s="84"/>
      <c r="G301" s="97" t="s">
        <v>918</v>
      </c>
      <c r="H301" s="84" t="s">
        <v>1042</v>
      </c>
      <c r="I301" s="84" t="s">
        <v>955</v>
      </c>
      <c r="J301" s="84"/>
      <c r="K301" s="94">
        <v>6.019999999992403</v>
      </c>
      <c r="L301" s="97" t="s">
        <v>167</v>
      </c>
      <c r="M301" s="98">
        <v>5.1249999999999997E-2</v>
      </c>
      <c r="N301" s="98">
        <v>3.3999999999953491E-2</v>
      </c>
      <c r="O301" s="94">
        <v>33815.785499999998</v>
      </c>
      <c r="P301" s="96">
        <v>110.384</v>
      </c>
      <c r="Q301" s="84"/>
      <c r="R301" s="94">
        <v>129.00286079899999</v>
      </c>
      <c r="S301" s="95">
        <v>2.2543856999999998E-5</v>
      </c>
      <c r="T301" s="95">
        <f t="shared" si="7"/>
        <v>5.1122478548234953E-4</v>
      </c>
      <c r="U301" s="95">
        <f>R301/'סכום נכסי הקרן'!$C$42</f>
        <v>1.3574074612733523E-4</v>
      </c>
    </row>
    <row r="302" spans="2:21">
      <c r="B302" s="87" t="s">
        <v>1047</v>
      </c>
      <c r="C302" s="84" t="s">
        <v>1048</v>
      </c>
      <c r="D302" s="97" t="s">
        <v>30</v>
      </c>
      <c r="E302" s="97" t="s">
        <v>916</v>
      </c>
      <c r="F302" s="84"/>
      <c r="G302" s="97" t="s">
        <v>953</v>
      </c>
      <c r="H302" s="84" t="s">
        <v>1039</v>
      </c>
      <c r="I302" s="84" t="s">
        <v>926</v>
      </c>
      <c r="J302" s="84"/>
      <c r="K302" s="94">
        <v>6.7599999999455944</v>
      </c>
      <c r="L302" s="97" t="s">
        <v>167</v>
      </c>
      <c r="M302" s="98">
        <v>4.6249999999999999E-2</v>
      </c>
      <c r="N302" s="98">
        <v>3.8399999999929796E-2</v>
      </c>
      <c r="O302" s="94">
        <v>6262.1824999999999</v>
      </c>
      <c r="P302" s="96">
        <v>105.3143</v>
      </c>
      <c r="Q302" s="84"/>
      <c r="R302" s="94">
        <v>22.792236174000006</v>
      </c>
      <c r="S302" s="95">
        <v>1.789195E-6</v>
      </c>
      <c r="T302" s="95">
        <f t="shared" si="7"/>
        <v>9.0323237613088082E-5</v>
      </c>
      <c r="U302" s="95">
        <f>R302/'סכום נכסי הקרן'!$C$42</f>
        <v>2.3982686314140907E-5</v>
      </c>
    </row>
    <row r="303" spans="2:21">
      <c r="B303" s="87" t="s">
        <v>1049</v>
      </c>
      <c r="C303" s="84" t="s">
        <v>1050</v>
      </c>
      <c r="D303" s="97" t="s">
        <v>30</v>
      </c>
      <c r="E303" s="97" t="s">
        <v>916</v>
      </c>
      <c r="F303" s="84"/>
      <c r="G303" s="97" t="s">
        <v>918</v>
      </c>
      <c r="H303" s="84" t="s">
        <v>1042</v>
      </c>
      <c r="I303" s="84" t="s">
        <v>955</v>
      </c>
      <c r="J303" s="84"/>
      <c r="K303" s="94">
        <v>0.20000000000000004</v>
      </c>
      <c r="L303" s="97" t="s">
        <v>167</v>
      </c>
      <c r="M303" s="98">
        <v>0.05</v>
      </c>
      <c r="N303" s="98">
        <v>1.3100000000053512E-2</v>
      </c>
      <c r="O303" s="94">
        <v>29119.148625000002</v>
      </c>
      <c r="P303" s="96">
        <v>102.1332</v>
      </c>
      <c r="Q303" s="84"/>
      <c r="R303" s="94">
        <v>102.78256239499999</v>
      </c>
      <c r="S303" s="95">
        <v>2.6496040605095544E-5</v>
      </c>
      <c r="T303" s="95">
        <f t="shared" si="7"/>
        <v>4.0731649737272646E-4</v>
      </c>
      <c r="U303" s="95">
        <f>R303/'סכום נכסי הקרן'!$C$42</f>
        <v>1.0815094814149144E-4</v>
      </c>
    </row>
    <row r="304" spans="2:21">
      <c r="B304" s="87" t="s">
        <v>1051</v>
      </c>
      <c r="C304" s="84" t="s">
        <v>1052</v>
      </c>
      <c r="D304" s="97" t="s">
        <v>30</v>
      </c>
      <c r="E304" s="97" t="s">
        <v>916</v>
      </c>
      <c r="F304" s="84"/>
      <c r="G304" s="97" t="s">
        <v>935</v>
      </c>
      <c r="H304" s="84" t="s">
        <v>1042</v>
      </c>
      <c r="I304" s="84" t="s">
        <v>955</v>
      </c>
      <c r="J304" s="84"/>
      <c r="K304" s="94">
        <v>6.5900000000106003</v>
      </c>
      <c r="L304" s="97" t="s">
        <v>167</v>
      </c>
      <c r="M304" s="98">
        <v>4.4999999999999998E-2</v>
      </c>
      <c r="N304" s="98">
        <v>3.2200000000060458E-2</v>
      </c>
      <c r="O304" s="94">
        <v>62621.824999999997</v>
      </c>
      <c r="P304" s="96">
        <v>108.527</v>
      </c>
      <c r="Q304" s="84"/>
      <c r="R304" s="94">
        <v>234.87524818900002</v>
      </c>
      <c r="S304" s="95">
        <v>8.3495766666666661E-5</v>
      </c>
      <c r="T304" s="95">
        <f t="shared" si="7"/>
        <v>9.3078593472142553E-4</v>
      </c>
      <c r="U304" s="95">
        <f>R304/'סכום נכסי הקרן'!$C$42</f>
        <v>2.4714290240193692E-4</v>
      </c>
    </row>
    <row r="305" spans="2:21">
      <c r="B305" s="87" t="s">
        <v>1053</v>
      </c>
      <c r="C305" s="84" t="s">
        <v>1054</v>
      </c>
      <c r="D305" s="97" t="s">
        <v>30</v>
      </c>
      <c r="E305" s="97" t="s">
        <v>916</v>
      </c>
      <c r="F305" s="84"/>
      <c r="G305" s="97" t="s">
        <v>971</v>
      </c>
      <c r="H305" s="84" t="s">
        <v>1042</v>
      </c>
      <c r="I305" s="84" t="s">
        <v>955</v>
      </c>
      <c r="J305" s="84"/>
      <c r="K305" s="94">
        <v>5.7300000000058313</v>
      </c>
      <c r="L305" s="97" t="s">
        <v>167</v>
      </c>
      <c r="M305" s="98">
        <v>0.06</v>
      </c>
      <c r="N305" s="98">
        <v>5.020000000004339E-2</v>
      </c>
      <c r="O305" s="94">
        <v>78928.54823</v>
      </c>
      <c r="P305" s="96">
        <v>108.1367</v>
      </c>
      <c r="Q305" s="84"/>
      <c r="R305" s="94">
        <v>294.97202293600003</v>
      </c>
      <c r="S305" s="95">
        <v>1.0523806430666667E-4</v>
      </c>
      <c r="T305" s="95">
        <f t="shared" si="7"/>
        <v>1.1689431398246965E-3</v>
      </c>
      <c r="U305" s="95">
        <f>R305/'סכום נכסי הקרן'!$C$42</f>
        <v>3.1037856239799351E-4</v>
      </c>
    </row>
    <row r="306" spans="2:21">
      <c r="B306" s="87" t="s">
        <v>1055</v>
      </c>
      <c r="C306" s="84" t="s">
        <v>1056</v>
      </c>
      <c r="D306" s="97" t="s">
        <v>30</v>
      </c>
      <c r="E306" s="97" t="s">
        <v>916</v>
      </c>
      <c r="F306" s="84"/>
      <c r="G306" s="97" t="s">
        <v>1005</v>
      </c>
      <c r="H306" s="84" t="s">
        <v>1042</v>
      </c>
      <c r="I306" s="84" t="s">
        <v>955</v>
      </c>
      <c r="J306" s="84"/>
      <c r="K306" s="94">
        <v>3.9500000000063946</v>
      </c>
      <c r="L306" s="97" t="s">
        <v>167</v>
      </c>
      <c r="M306" s="98">
        <v>5.2499999999999998E-2</v>
      </c>
      <c r="N306" s="98">
        <v>3.1600000000076726E-2</v>
      </c>
      <c r="O306" s="94">
        <v>41593.416165000002</v>
      </c>
      <c r="P306" s="96">
        <v>108.795</v>
      </c>
      <c r="Q306" s="84"/>
      <c r="R306" s="94">
        <v>156.38938138</v>
      </c>
      <c r="S306" s="95">
        <v>6.9322360275000003E-5</v>
      </c>
      <c r="T306" s="95">
        <f t="shared" si="7"/>
        <v>6.1975468956675735E-4</v>
      </c>
      <c r="U306" s="95">
        <f>R306/'סכום נכסי הקרן'!$C$42</f>
        <v>1.645576786703179E-4</v>
      </c>
    </row>
    <row r="307" spans="2:21">
      <c r="B307" s="87" t="s">
        <v>1057</v>
      </c>
      <c r="C307" s="84" t="s">
        <v>1058</v>
      </c>
      <c r="D307" s="97" t="s">
        <v>30</v>
      </c>
      <c r="E307" s="97" t="s">
        <v>916</v>
      </c>
      <c r="F307" s="84"/>
      <c r="G307" s="97" t="s">
        <v>1009</v>
      </c>
      <c r="H307" s="84" t="s">
        <v>1042</v>
      </c>
      <c r="I307" s="84" t="s">
        <v>955</v>
      </c>
      <c r="J307" s="84"/>
      <c r="K307" s="94">
        <v>1.8800000000022272</v>
      </c>
      <c r="L307" s="97" t="s">
        <v>167</v>
      </c>
      <c r="M307" s="98">
        <v>5.5960000000000003E-2</v>
      </c>
      <c r="N307" s="98">
        <v>2.870000000003127E-2</v>
      </c>
      <c r="O307" s="94">
        <v>62621.824999999997</v>
      </c>
      <c r="P307" s="96">
        <v>107.8712</v>
      </c>
      <c r="Q307" s="84"/>
      <c r="R307" s="94">
        <v>233.45593502100002</v>
      </c>
      <c r="S307" s="95">
        <v>4.4729874999999998E-5</v>
      </c>
      <c r="T307" s="95">
        <f t="shared" si="7"/>
        <v>9.2516134573673923E-4</v>
      </c>
      <c r="U307" s="95">
        <f>R307/'סכום נכסי הקרן'!$C$42</f>
        <v>2.4564945778203149E-4</v>
      </c>
    </row>
    <row r="308" spans="2:21">
      <c r="B308" s="87" t="s">
        <v>1059</v>
      </c>
      <c r="C308" s="84" t="s">
        <v>1060</v>
      </c>
      <c r="D308" s="97" t="s">
        <v>30</v>
      </c>
      <c r="E308" s="97" t="s">
        <v>916</v>
      </c>
      <c r="F308" s="84"/>
      <c r="G308" s="97" t="s">
        <v>918</v>
      </c>
      <c r="H308" s="84" t="s">
        <v>1039</v>
      </c>
      <c r="I308" s="84" t="s">
        <v>926</v>
      </c>
      <c r="J308" s="84"/>
      <c r="K308" s="94">
        <v>5.5600000000049477</v>
      </c>
      <c r="L308" s="97" t="s">
        <v>167</v>
      </c>
      <c r="M308" s="98">
        <v>5.1249999999999997E-2</v>
      </c>
      <c r="N308" s="98">
        <v>4.9000000000028542E-2</v>
      </c>
      <c r="O308" s="94">
        <v>60116.952000000005</v>
      </c>
      <c r="P308" s="96">
        <v>101.16670000000001</v>
      </c>
      <c r="Q308" s="84"/>
      <c r="R308" s="94">
        <v>210.18821701600001</v>
      </c>
      <c r="S308" s="95">
        <v>1.093035490909091E-4</v>
      </c>
      <c r="T308" s="95">
        <f t="shared" si="7"/>
        <v>8.3295382357718311E-4</v>
      </c>
      <c r="U308" s="95">
        <f>R308/'סכום נכסי הקרן'!$C$42</f>
        <v>2.2116645497792924E-4</v>
      </c>
    </row>
    <row r="309" spans="2:21">
      <c r="B309" s="87" t="s">
        <v>1061</v>
      </c>
      <c r="C309" s="84" t="s">
        <v>1062</v>
      </c>
      <c r="D309" s="97" t="s">
        <v>30</v>
      </c>
      <c r="E309" s="97" t="s">
        <v>916</v>
      </c>
      <c r="F309" s="84"/>
      <c r="G309" s="97" t="s">
        <v>1005</v>
      </c>
      <c r="H309" s="84" t="s">
        <v>1039</v>
      </c>
      <c r="I309" s="84" t="s">
        <v>920</v>
      </c>
      <c r="J309" s="84"/>
      <c r="K309" s="94">
        <v>4.2300000000041091</v>
      </c>
      <c r="L309" s="97" t="s">
        <v>169</v>
      </c>
      <c r="M309" s="98">
        <v>0.03</v>
      </c>
      <c r="N309" s="98">
        <v>1.6199999999998046E-2</v>
      </c>
      <c r="O309" s="94">
        <v>49345.998099999997</v>
      </c>
      <c r="P309" s="96">
        <v>106.84820000000001</v>
      </c>
      <c r="Q309" s="84"/>
      <c r="R309" s="94">
        <v>204.47932519199995</v>
      </c>
      <c r="S309" s="95">
        <v>9.8691996199999995E-5</v>
      </c>
      <c r="T309" s="95">
        <f t="shared" si="7"/>
        <v>8.1033008500278243E-4</v>
      </c>
      <c r="U309" s="95">
        <f>R309/'סכום נכסי הקרן'!$C$42</f>
        <v>2.1515938481723386E-4</v>
      </c>
    </row>
    <row r="310" spans="2:21">
      <c r="B310" s="87" t="s">
        <v>1063</v>
      </c>
      <c r="C310" s="84" t="s">
        <v>1064</v>
      </c>
      <c r="D310" s="97" t="s">
        <v>30</v>
      </c>
      <c r="E310" s="97" t="s">
        <v>916</v>
      </c>
      <c r="F310" s="84"/>
      <c r="G310" s="97" t="s">
        <v>1065</v>
      </c>
      <c r="H310" s="84" t="s">
        <v>1039</v>
      </c>
      <c r="I310" s="84" t="s">
        <v>920</v>
      </c>
      <c r="J310" s="84"/>
      <c r="K310" s="94">
        <v>1.7099999999946325</v>
      </c>
      <c r="L310" s="97" t="s">
        <v>167</v>
      </c>
      <c r="M310" s="98">
        <v>4.1250000000000002E-2</v>
      </c>
      <c r="N310" s="98">
        <v>2.4399999999960568E-2</v>
      </c>
      <c r="O310" s="94">
        <v>50535.812774999999</v>
      </c>
      <c r="P310" s="96">
        <v>104.5321</v>
      </c>
      <c r="Q310" s="84"/>
      <c r="R310" s="94">
        <v>182.56713273799997</v>
      </c>
      <c r="S310" s="95">
        <v>8.4226354624999995E-5</v>
      </c>
      <c r="T310" s="95">
        <f t="shared" si="7"/>
        <v>7.2349436820268696E-4</v>
      </c>
      <c r="U310" s="95">
        <f>R310/'סכום נכסי הקרן'!$C$42</f>
        <v>1.9210270735621138E-4</v>
      </c>
    </row>
    <row r="311" spans="2:21">
      <c r="B311" s="87" t="s">
        <v>1066</v>
      </c>
      <c r="C311" s="84" t="s">
        <v>1067</v>
      </c>
      <c r="D311" s="97" t="s">
        <v>30</v>
      </c>
      <c r="E311" s="97" t="s">
        <v>916</v>
      </c>
      <c r="F311" s="84"/>
      <c r="G311" s="97" t="s">
        <v>918</v>
      </c>
      <c r="H311" s="84" t="s">
        <v>1039</v>
      </c>
      <c r="I311" s="84" t="s">
        <v>926</v>
      </c>
      <c r="J311" s="84"/>
      <c r="K311" s="94">
        <v>5.6100000000020334</v>
      </c>
      <c r="L311" s="97" t="s">
        <v>167</v>
      </c>
      <c r="M311" s="98">
        <v>6.4899999999999999E-2</v>
      </c>
      <c r="N311" s="98">
        <v>5.3600000000029568E-2</v>
      </c>
      <c r="O311" s="94">
        <v>72553.646445000006</v>
      </c>
      <c r="P311" s="96">
        <v>107.8847</v>
      </c>
      <c r="Q311" s="84"/>
      <c r="R311" s="94">
        <v>270.51591094500003</v>
      </c>
      <c r="S311" s="95">
        <v>3.0737470056303303E-5</v>
      </c>
      <c r="T311" s="95">
        <f t="shared" si="7"/>
        <v>1.0720261371404568E-3</v>
      </c>
      <c r="U311" s="95">
        <f>R311/'סכום נכסי הקרן'!$C$42</f>
        <v>2.8464509518284049E-4</v>
      </c>
    </row>
    <row r="312" spans="2:21">
      <c r="B312" s="87" t="s">
        <v>1068</v>
      </c>
      <c r="C312" s="84" t="s">
        <v>1069</v>
      </c>
      <c r="D312" s="97" t="s">
        <v>30</v>
      </c>
      <c r="E312" s="97" t="s">
        <v>916</v>
      </c>
      <c r="F312" s="84"/>
      <c r="G312" s="97" t="s">
        <v>948</v>
      </c>
      <c r="H312" s="84" t="s">
        <v>1039</v>
      </c>
      <c r="I312" s="84" t="s">
        <v>920</v>
      </c>
      <c r="J312" s="84"/>
      <c r="K312" s="94">
        <v>4.4399999999936988</v>
      </c>
      <c r="L312" s="97" t="s">
        <v>167</v>
      </c>
      <c r="M312" s="98">
        <v>3.7539999999999997E-2</v>
      </c>
      <c r="N312" s="98">
        <v>3.2599999999961271E-2</v>
      </c>
      <c r="O312" s="94">
        <v>85917.143899999981</v>
      </c>
      <c r="P312" s="96">
        <v>102.6082</v>
      </c>
      <c r="Q312" s="84"/>
      <c r="R312" s="94">
        <v>304.67428389299999</v>
      </c>
      <c r="S312" s="95">
        <v>1.1455619186666664E-4</v>
      </c>
      <c r="T312" s="95">
        <f t="shared" si="7"/>
        <v>1.207392180766233E-3</v>
      </c>
      <c r="U312" s="95">
        <f>R312/'סכום נכסי הקרן'!$C$42</f>
        <v>3.2058757740175607E-4</v>
      </c>
    </row>
    <row r="313" spans="2:21">
      <c r="B313" s="87" t="s">
        <v>1070</v>
      </c>
      <c r="C313" s="84" t="s">
        <v>1071</v>
      </c>
      <c r="D313" s="97" t="s">
        <v>30</v>
      </c>
      <c r="E313" s="97" t="s">
        <v>916</v>
      </c>
      <c r="F313" s="84"/>
      <c r="G313" s="97" t="s">
        <v>918</v>
      </c>
      <c r="H313" s="84" t="s">
        <v>1039</v>
      </c>
      <c r="I313" s="84" t="s">
        <v>926</v>
      </c>
      <c r="J313" s="84"/>
      <c r="K313" s="94">
        <v>4.6700000000008242</v>
      </c>
      <c r="L313" s="97" t="s">
        <v>169</v>
      </c>
      <c r="M313" s="98">
        <v>4.4999999999999998E-2</v>
      </c>
      <c r="N313" s="98">
        <v>1.389999999999026E-2</v>
      </c>
      <c r="O313" s="94">
        <v>58077.985377999998</v>
      </c>
      <c r="P313" s="96">
        <v>118.5042</v>
      </c>
      <c r="Q313" s="84"/>
      <c r="R313" s="94">
        <v>266.91657033399997</v>
      </c>
      <c r="S313" s="95">
        <v>5.8077985378E-5</v>
      </c>
      <c r="T313" s="95">
        <f t="shared" si="7"/>
        <v>1.0577623284129631E-3</v>
      </c>
      <c r="U313" s="95">
        <f>R313/'סכום נכסי הקרן'!$C$42</f>
        <v>2.8085775917279014E-4</v>
      </c>
    </row>
    <row r="314" spans="2:21">
      <c r="B314" s="87" t="s">
        <v>1072</v>
      </c>
      <c r="C314" s="84" t="s">
        <v>1073</v>
      </c>
      <c r="D314" s="97" t="s">
        <v>30</v>
      </c>
      <c r="E314" s="97" t="s">
        <v>916</v>
      </c>
      <c r="F314" s="84"/>
      <c r="G314" s="97" t="s">
        <v>1005</v>
      </c>
      <c r="H314" s="84" t="s">
        <v>1039</v>
      </c>
      <c r="I314" s="84" t="s">
        <v>920</v>
      </c>
      <c r="J314" s="84"/>
      <c r="K314" s="94">
        <v>3.7999999999833713</v>
      </c>
      <c r="L314" s="97" t="s">
        <v>169</v>
      </c>
      <c r="M314" s="98">
        <v>4.2500000000000003E-2</v>
      </c>
      <c r="N314" s="98">
        <v>1.4099999999925167E-2</v>
      </c>
      <c r="O314" s="94">
        <v>29807.988700000002</v>
      </c>
      <c r="P314" s="96">
        <v>114.4438</v>
      </c>
      <c r="Q314" s="84"/>
      <c r="R314" s="94">
        <v>132.29860373900001</v>
      </c>
      <c r="S314" s="95">
        <v>9.9359962333333337E-5</v>
      </c>
      <c r="T314" s="95">
        <f t="shared" si="7"/>
        <v>5.2428546853287264E-4</v>
      </c>
      <c r="U314" s="95">
        <f>R314/'סכום נכסי הקרן'!$C$42</f>
        <v>1.3920862740491826E-4</v>
      </c>
    </row>
    <row r="315" spans="2:21">
      <c r="B315" s="87" t="s">
        <v>1074</v>
      </c>
      <c r="C315" s="84" t="s">
        <v>1075</v>
      </c>
      <c r="D315" s="97" t="s">
        <v>30</v>
      </c>
      <c r="E315" s="97" t="s">
        <v>916</v>
      </c>
      <c r="F315" s="84"/>
      <c r="G315" s="97" t="s">
        <v>986</v>
      </c>
      <c r="H315" s="84" t="s">
        <v>1039</v>
      </c>
      <c r="I315" s="84" t="s">
        <v>920</v>
      </c>
      <c r="J315" s="84"/>
      <c r="K315" s="94">
        <v>8.2000000000171962</v>
      </c>
      <c r="L315" s="97" t="s">
        <v>167</v>
      </c>
      <c r="M315" s="98">
        <v>3.7999999999999999E-2</v>
      </c>
      <c r="N315" s="98">
        <v>3.8100000000080243E-2</v>
      </c>
      <c r="O315" s="94">
        <v>50097.46</v>
      </c>
      <c r="P315" s="96">
        <v>100.774</v>
      </c>
      <c r="Q315" s="84"/>
      <c r="R315" s="94">
        <v>174.47690075999998</v>
      </c>
      <c r="S315" s="95">
        <v>1.2524364999999998E-4</v>
      </c>
      <c r="T315" s="95">
        <f t="shared" si="7"/>
        <v>6.9143362875986414E-4</v>
      </c>
      <c r="U315" s="95">
        <f>R315/'סכום נכסי הקרן'!$C$42</f>
        <v>1.8358991842862304E-4</v>
      </c>
    </row>
    <row r="316" spans="2:21">
      <c r="B316" s="87" t="s">
        <v>1076</v>
      </c>
      <c r="C316" s="84" t="s">
        <v>1077</v>
      </c>
      <c r="D316" s="97" t="s">
        <v>30</v>
      </c>
      <c r="E316" s="97" t="s">
        <v>916</v>
      </c>
      <c r="F316" s="84"/>
      <c r="G316" s="97" t="s">
        <v>935</v>
      </c>
      <c r="H316" s="84" t="s">
        <v>1042</v>
      </c>
      <c r="I316" s="84" t="s">
        <v>955</v>
      </c>
      <c r="J316" s="84"/>
      <c r="K316" s="94">
        <v>8.0000000001689331E-2</v>
      </c>
      <c r="L316" s="97" t="s">
        <v>167</v>
      </c>
      <c r="M316" s="98">
        <v>4.6249999999999999E-2</v>
      </c>
      <c r="N316" s="98">
        <v>4.0999999999941925E-3</v>
      </c>
      <c r="O316" s="94">
        <v>53569.213978000007</v>
      </c>
      <c r="P316" s="96">
        <v>102.3168</v>
      </c>
      <c r="Q316" s="84"/>
      <c r="R316" s="94">
        <v>189.42447757099998</v>
      </c>
      <c r="S316" s="95">
        <v>7.1425618637333338E-5</v>
      </c>
      <c r="T316" s="95">
        <f t="shared" si="7"/>
        <v>7.5066930540575486E-4</v>
      </c>
      <c r="U316" s="95">
        <f>R316/'סכום נכסי הקרן'!$C$42</f>
        <v>1.9931821481332246E-4</v>
      </c>
    </row>
    <row r="317" spans="2:21">
      <c r="B317" s="87" t="s">
        <v>1078</v>
      </c>
      <c r="C317" s="84" t="s">
        <v>1079</v>
      </c>
      <c r="D317" s="97" t="s">
        <v>30</v>
      </c>
      <c r="E317" s="97" t="s">
        <v>916</v>
      </c>
      <c r="F317" s="84"/>
      <c r="G317" s="97" t="s">
        <v>964</v>
      </c>
      <c r="H317" s="84" t="s">
        <v>1039</v>
      </c>
      <c r="I317" s="84" t="s">
        <v>926</v>
      </c>
      <c r="J317" s="84"/>
      <c r="K317" s="94">
        <v>4.2200000000010789</v>
      </c>
      <c r="L317" s="97" t="s">
        <v>167</v>
      </c>
      <c r="M317" s="98">
        <v>6.2539999999999998E-2</v>
      </c>
      <c r="N317" s="98">
        <v>4.0599999999994286E-2</v>
      </c>
      <c r="O317" s="94">
        <v>82660.808999999994</v>
      </c>
      <c r="P317" s="96">
        <v>110.30840000000001</v>
      </c>
      <c r="Q317" s="84"/>
      <c r="R317" s="94">
        <v>315.12430790299999</v>
      </c>
      <c r="S317" s="95">
        <v>6.3585237692307685E-5</v>
      </c>
      <c r="T317" s="95">
        <f t="shared" si="7"/>
        <v>1.2488045281336417E-3</v>
      </c>
      <c r="U317" s="95">
        <f>R317/'סכום נכסי הקרן'!$C$42</f>
        <v>3.3158341150481627E-4</v>
      </c>
    </row>
    <row r="318" spans="2:21">
      <c r="B318" s="87" t="s">
        <v>1080</v>
      </c>
      <c r="C318" s="84" t="s">
        <v>1081</v>
      </c>
      <c r="D318" s="97" t="s">
        <v>30</v>
      </c>
      <c r="E318" s="97" t="s">
        <v>916</v>
      </c>
      <c r="F318" s="84"/>
      <c r="G318" s="97" t="s">
        <v>918</v>
      </c>
      <c r="H318" s="84" t="s">
        <v>1082</v>
      </c>
      <c r="I318" s="84" t="s">
        <v>926</v>
      </c>
      <c r="J318" s="84"/>
      <c r="K318" s="94">
        <v>6.560000000008861</v>
      </c>
      <c r="L318" s="97" t="s">
        <v>167</v>
      </c>
      <c r="M318" s="98">
        <v>4.4999999999999998E-2</v>
      </c>
      <c r="N318" s="98">
        <v>4.0700000000062353E-2</v>
      </c>
      <c r="O318" s="94">
        <v>67882.058300000004</v>
      </c>
      <c r="P318" s="96">
        <v>103.90600000000001</v>
      </c>
      <c r="Q318" s="84"/>
      <c r="R318" s="94">
        <v>243.76388486400003</v>
      </c>
      <c r="S318" s="95">
        <v>4.5254705533333339E-5</v>
      </c>
      <c r="T318" s="95">
        <f t="shared" si="7"/>
        <v>9.660106681053433E-4</v>
      </c>
      <c r="U318" s="95">
        <f>R318/'סכום נכסי הקרן'!$C$42</f>
        <v>2.5649579711176221E-4</v>
      </c>
    </row>
    <row r="319" spans="2:21">
      <c r="B319" s="87" t="s">
        <v>1083</v>
      </c>
      <c r="C319" s="84" t="s">
        <v>1084</v>
      </c>
      <c r="D319" s="97" t="s">
        <v>30</v>
      </c>
      <c r="E319" s="97" t="s">
        <v>916</v>
      </c>
      <c r="F319" s="84"/>
      <c r="G319" s="97" t="s">
        <v>971</v>
      </c>
      <c r="H319" s="84" t="s">
        <v>1082</v>
      </c>
      <c r="I319" s="84" t="s">
        <v>920</v>
      </c>
      <c r="J319" s="84"/>
      <c r="K319" s="94">
        <v>5.1200000000056054</v>
      </c>
      <c r="L319" s="97" t="s">
        <v>170</v>
      </c>
      <c r="M319" s="98">
        <v>0.06</v>
      </c>
      <c r="N319" s="98">
        <v>3.8800000000041711E-2</v>
      </c>
      <c r="O319" s="94">
        <v>59365.49010000001</v>
      </c>
      <c r="P319" s="96">
        <v>113.3723</v>
      </c>
      <c r="Q319" s="84"/>
      <c r="R319" s="94">
        <v>306.88623721900001</v>
      </c>
      <c r="S319" s="95">
        <v>4.749239208000001E-5</v>
      </c>
      <c r="T319" s="95">
        <f t="shared" si="7"/>
        <v>1.2161579194295271E-3</v>
      </c>
      <c r="U319" s="95">
        <f>R319/'סכום נכסי הקרן'!$C$42</f>
        <v>3.2291506218008135E-4</v>
      </c>
    </row>
    <row r="320" spans="2:21">
      <c r="B320" s="87" t="s">
        <v>1085</v>
      </c>
      <c r="C320" s="84" t="s">
        <v>1086</v>
      </c>
      <c r="D320" s="97" t="s">
        <v>30</v>
      </c>
      <c r="E320" s="97" t="s">
        <v>916</v>
      </c>
      <c r="F320" s="84"/>
      <c r="G320" s="97" t="s">
        <v>971</v>
      </c>
      <c r="H320" s="84" t="s">
        <v>1082</v>
      </c>
      <c r="I320" s="84" t="s">
        <v>920</v>
      </c>
      <c r="J320" s="84"/>
      <c r="K320" s="94">
        <v>5.2100000000169473</v>
      </c>
      <c r="L320" s="97" t="s">
        <v>169</v>
      </c>
      <c r="M320" s="98">
        <v>0.05</v>
      </c>
      <c r="N320" s="98">
        <v>2.3600000000031124E-2</v>
      </c>
      <c r="O320" s="94">
        <v>25048.73</v>
      </c>
      <c r="P320" s="96">
        <v>119.05159999999999</v>
      </c>
      <c r="Q320" s="84"/>
      <c r="R320" s="94">
        <v>115.65149732399999</v>
      </c>
      <c r="S320" s="95">
        <v>2.5048729999999998E-5</v>
      </c>
      <c r="T320" s="95">
        <f t="shared" si="7"/>
        <v>4.5831473460341074E-4</v>
      </c>
      <c r="U320" s="95">
        <f>R320/'סכום נכסי הקרן'!$C$42</f>
        <v>1.2169203411669585E-4</v>
      </c>
    </row>
    <row r="321" spans="2:21">
      <c r="B321" s="87" t="s">
        <v>1087</v>
      </c>
      <c r="C321" s="84" t="s">
        <v>1088</v>
      </c>
      <c r="D321" s="97" t="s">
        <v>30</v>
      </c>
      <c r="E321" s="97" t="s">
        <v>916</v>
      </c>
      <c r="F321" s="84"/>
      <c r="G321" s="97" t="s">
        <v>1089</v>
      </c>
      <c r="H321" s="84" t="s">
        <v>1090</v>
      </c>
      <c r="I321" s="84" t="s">
        <v>955</v>
      </c>
      <c r="J321" s="84"/>
      <c r="K321" s="94">
        <v>4.4400000000020414</v>
      </c>
      <c r="L321" s="97" t="s">
        <v>167</v>
      </c>
      <c r="M321" s="98">
        <v>4.8750000000000002E-2</v>
      </c>
      <c r="N321" s="98">
        <v>3.9300000000034446E-2</v>
      </c>
      <c r="O321" s="94">
        <v>62621.824999999997</v>
      </c>
      <c r="P321" s="96">
        <v>108.63590000000001</v>
      </c>
      <c r="Q321" s="84"/>
      <c r="R321" s="94">
        <v>235.11096678300001</v>
      </c>
      <c r="S321" s="95">
        <v>6.2621824999999992E-5</v>
      </c>
      <c r="T321" s="95">
        <f t="shared" ref="T321:T337" si="8">R321/$R$11</f>
        <v>9.3172006274700174E-4</v>
      </c>
      <c r="U321" s="95">
        <f>R321/'סכום נכסי הקרן'!$C$42</f>
        <v>2.473909326985324E-4</v>
      </c>
    </row>
    <row r="322" spans="2:21">
      <c r="B322" s="87" t="s">
        <v>1091</v>
      </c>
      <c r="C322" s="84" t="s">
        <v>1092</v>
      </c>
      <c r="D322" s="97" t="s">
        <v>30</v>
      </c>
      <c r="E322" s="97" t="s">
        <v>916</v>
      </c>
      <c r="F322" s="84"/>
      <c r="G322" s="97" t="s">
        <v>948</v>
      </c>
      <c r="H322" s="84" t="s">
        <v>1082</v>
      </c>
      <c r="I322" s="84" t="s">
        <v>920</v>
      </c>
      <c r="J322" s="84"/>
      <c r="K322" s="94">
        <v>3.5400000000063976</v>
      </c>
      <c r="L322" s="97" t="s">
        <v>167</v>
      </c>
      <c r="M322" s="98">
        <v>7.0000000000000007E-2</v>
      </c>
      <c r="N322" s="98">
        <v>4.4100000000106811E-2</v>
      </c>
      <c r="O322" s="94">
        <v>47592.587</v>
      </c>
      <c r="P322" s="96">
        <v>112.1427</v>
      </c>
      <c r="Q322" s="84"/>
      <c r="R322" s="94">
        <v>184.45223648299998</v>
      </c>
      <c r="S322" s="95">
        <v>1.90370348E-5</v>
      </c>
      <c r="T322" s="95">
        <f t="shared" si="8"/>
        <v>7.3096483631231418E-4</v>
      </c>
      <c r="U322" s="95">
        <f>R322/'סכום נכסי הקרן'!$C$42</f>
        <v>1.9408627103293039E-4</v>
      </c>
    </row>
    <row r="323" spans="2:21">
      <c r="B323" s="87" t="s">
        <v>1093</v>
      </c>
      <c r="C323" s="84" t="s">
        <v>1094</v>
      </c>
      <c r="D323" s="97" t="s">
        <v>30</v>
      </c>
      <c r="E323" s="97" t="s">
        <v>916</v>
      </c>
      <c r="F323" s="84"/>
      <c r="G323" s="97" t="s">
        <v>1009</v>
      </c>
      <c r="H323" s="84" t="s">
        <v>1095</v>
      </c>
      <c r="I323" s="84" t="s">
        <v>955</v>
      </c>
      <c r="J323" s="84"/>
      <c r="K323" s="94">
        <v>0.72999999999802223</v>
      </c>
      <c r="L323" s="97" t="s">
        <v>167</v>
      </c>
      <c r="M323" s="98">
        <v>0.05</v>
      </c>
      <c r="N323" s="98">
        <v>3.2800000000016663E-2</v>
      </c>
      <c r="O323" s="94">
        <v>53604.282199999994</v>
      </c>
      <c r="P323" s="96">
        <v>103.70610000000001</v>
      </c>
      <c r="Q323" s="84"/>
      <c r="R323" s="94">
        <v>192.12220730600001</v>
      </c>
      <c r="S323" s="95">
        <v>5.3604282199999992E-5</v>
      </c>
      <c r="T323" s="95">
        <f t="shared" si="8"/>
        <v>7.6136012494667647E-4</v>
      </c>
      <c r="U323" s="95">
        <f>R323/'סכום נכסי הקרן'!$C$42</f>
        <v>2.0215684835067765E-4</v>
      </c>
    </row>
    <row r="324" spans="2:21">
      <c r="B324" s="87" t="s">
        <v>1096</v>
      </c>
      <c r="C324" s="84" t="s">
        <v>1097</v>
      </c>
      <c r="D324" s="97" t="s">
        <v>30</v>
      </c>
      <c r="E324" s="97" t="s">
        <v>916</v>
      </c>
      <c r="F324" s="84"/>
      <c r="G324" s="97" t="s">
        <v>948</v>
      </c>
      <c r="H324" s="84" t="s">
        <v>931</v>
      </c>
      <c r="I324" s="84" t="s">
        <v>920</v>
      </c>
      <c r="J324" s="84"/>
      <c r="K324" s="94">
        <v>4.7299999999964424</v>
      </c>
      <c r="L324" s="97" t="s">
        <v>167</v>
      </c>
      <c r="M324" s="98">
        <v>7.2499999999999995E-2</v>
      </c>
      <c r="N324" s="98">
        <v>4.8500000000025419E-2</v>
      </c>
      <c r="O324" s="94">
        <v>25048.73</v>
      </c>
      <c r="P324" s="96">
        <v>113.667</v>
      </c>
      <c r="Q324" s="84"/>
      <c r="R324" s="94">
        <v>98.399715595000004</v>
      </c>
      <c r="S324" s="95">
        <v>1.6699153333333332E-5</v>
      </c>
      <c r="T324" s="95">
        <f t="shared" si="8"/>
        <v>3.8994773592624109E-4</v>
      </c>
      <c r="U324" s="95">
        <f>R324/'סכום נכסי הקרן'!$C$42</f>
        <v>1.0353918301388883E-4</v>
      </c>
    </row>
    <row r="325" spans="2:21">
      <c r="B325" s="87" t="s">
        <v>1098</v>
      </c>
      <c r="C325" s="84" t="s">
        <v>1099</v>
      </c>
      <c r="D325" s="97" t="s">
        <v>30</v>
      </c>
      <c r="E325" s="97" t="s">
        <v>916</v>
      </c>
      <c r="F325" s="84"/>
      <c r="G325" s="97" t="s">
        <v>974</v>
      </c>
      <c r="H325" s="84" t="s">
        <v>931</v>
      </c>
      <c r="I325" s="84" t="s">
        <v>920</v>
      </c>
      <c r="J325" s="84"/>
      <c r="K325" s="94">
        <v>3.1000000000025612</v>
      </c>
      <c r="L325" s="97" t="s">
        <v>167</v>
      </c>
      <c r="M325" s="98">
        <v>7.4999999999999997E-2</v>
      </c>
      <c r="N325" s="98">
        <v>4.4799999999994879E-2</v>
      </c>
      <c r="O325" s="94">
        <v>20038.984</v>
      </c>
      <c r="P325" s="96">
        <v>112.75579999999999</v>
      </c>
      <c r="Q325" s="84"/>
      <c r="R325" s="94">
        <v>78.088746497999992</v>
      </c>
      <c r="S325" s="95">
        <v>1.0019492000000001E-5</v>
      </c>
      <c r="T325" s="95">
        <f t="shared" si="8"/>
        <v>3.0945749908001328E-4</v>
      </c>
      <c r="U325" s="95">
        <f>R325/'סכום נכסי הקרן'!$C$42</f>
        <v>8.2167361623882872E-5</v>
      </c>
    </row>
    <row r="326" spans="2:21">
      <c r="B326" s="87" t="s">
        <v>1100</v>
      </c>
      <c r="C326" s="84" t="s">
        <v>1101</v>
      </c>
      <c r="D326" s="97" t="s">
        <v>30</v>
      </c>
      <c r="E326" s="97" t="s">
        <v>916</v>
      </c>
      <c r="F326" s="84"/>
      <c r="G326" s="97" t="s">
        <v>953</v>
      </c>
      <c r="H326" s="84" t="s">
        <v>931</v>
      </c>
      <c r="I326" s="84" t="s">
        <v>920</v>
      </c>
      <c r="J326" s="84"/>
      <c r="K326" s="94">
        <v>6.8499999999973005</v>
      </c>
      <c r="L326" s="97" t="s">
        <v>167</v>
      </c>
      <c r="M326" s="98">
        <v>5.8749999999999997E-2</v>
      </c>
      <c r="N326" s="98">
        <v>3.7399999999969576E-2</v>
      </c>
      <c r="O326" s="94">
        <v>50097.46</v>
      </c>
      <c r="P326" s="96">
        <v>117.6726</v>
      </c>
      <c r="Q326" s="84"/>
      <c r="R326" s="94">
        <v>203.73459486299998</v>
      </c>
      <c r="S326" s="95">
        <v>5.0097459999999997E-5</v>
      </c>
      <c r="T326" s="95">
        <f t="shared" si="8"/>
        <v>8.073787969435322E-4</v>
      </c>
      <c r="U326" s="95">
        <f>R326/'סכום נכסי הקרן'!$C$42</f>
        <v>2.1437575684266031E-4</v>
      </c>
    </row>
    <row r="327" spans="2:21">
      <c r="B327" s="87" t="s">
        <v>1102</v>
      </c>
      <c r="C327" s="84" t="s">
        <v>1103</v>
      </c>
      <c r="D327" s="97" t="s">
        <v>30</v>
      </c>
      <c r="E327" s="97" t="s">
        <v>916</v>
      </c>
      <c r="F327" s="84"/>
      <c r="G327" s="97" t="s">
        <v>948</v>
      </c>
      <c r="H327" s="84" t="s">
        <v>931</v>
      </c>
      <c r="I327" s="84" t="s">
        <v>920</v>
      </c>
      <c r="J327" s="84"/>
      <c r="K327" s="94">
        <v>4.7799999999910581</v>
      </c>
      <c r="L327" s="97" t="s">
        <v>167</v>
      </c>
      <c r="M327" s="98">
        <v>7.4999999999999997E-2</v>
      </c>
      <c r="N327" s="98">
        <v>4.9899999999920223E-2</v>
      </c>
      <c r="O327" s="94">
        <v>58864.515500000001</v>
      </c>
      <c r="P327" s="96">
        <v>112.14449999999999</v>
      </c>
      <c r="Q327" s="84"/>
      <c r="R327" s="94">
        <v>228.14202221799999</v>
      </c>
      <c r="S327" s="95">
        <v>3.9243010333333334E-5</v>
      </c>
      <c r="T327" s="95">
        <f t="shared" si="8"/>
        <v>9.0410286752966795E-4</v>
      </c>
      <c r="U327" s="95">
        <f>R327/'סכום נכסי הקרן'!$C$42</f>
        <v>2.4005799659840158E-4</v>
      </c>
    </row>
    <row r="328" spans="2:21">
      <c r="B328" s="87" t="s">
        <v>1104</v>
      </c>
      <c r="C328" s="84" t="s">
        <v>1105</v>
      </c>
      <c r="D328" s="97" t="s">
        <v>30</v>
      </c>
      <c r="E328" s="97" t="s">
        <v>916</v>
      </c>
      <c r="F328" s="84"/>
      <c r="G328" s="97" t="s">
        <v>974</v>
      </c>
      <c r="H328" s="84" t="s">
        <v>1095</v>
      </c>
      <c r="I328" s="84" t="s">
        <v>955</v>
      </c>
      <c r="J328" s="84"/>
      <c r="K328" s="94">
        <v>2.3200000000721261</v>
      </c>
      <c r="L328" s="97" t="s">
        <v>167</v>
      </c>
      <c r="M328" s="98">
        <v>6.5000000000000002E-2</v>
      </c>
      <c r="N328" s="98">
        <v>4.3600000001133406E-2</v>
      </c>
      <c r="O328" s="94">
        <v>5009.7460000000001</v>
      </c>
      <c r="P328" s="96">
        <v>112.1112</v>
      </c>
      <c r="Q328" s="84"/>
      <c r="R328" s="94">
        <v>19.410571055000002</v>
      </c>
      <c r="S328" s="95">
        <v>6.6796613333333337E-6</v>
      </c>
      <c r="T328" s="95">
        <f t="shared" si="8"/>
        <v>7.6922053993388665E-5</v>
      </c>
      <c r="U328" s="95">
        <f>R328/'סכום נכסי הקרן'!$C$42</f>
        <v>2.0424395098250269E-5</v>
      </c>
    </row>
    <row r="329" spans="2:21">
      <c r="B329" s="87" t="s">
        <v>1106</v>
      </c>
      <c r="C329" s="84" t="s">
        <v>1107</v>
      </c>
      <c r="D329" s="97" t="s">
        <v>30</v>
      </c>
      <c r="E329" s="97" t="s">
        <v>916</v>
      </c>
      <c r="F329" s="84"/>
      <c r="G329" s="97" t="s">
        <v>974</v>
      </c>
      <c r="H329" s="84" t="s">
        <v>1095</v>
      </c>
      <c r="I329" s="84" t="s">
        <v>955</v>
      </c>
      <c r="J329" s="84"/>
      <c r="K329" s="94">
        <v>3.5200000000007083</v>
      </c>
      <c r="L329" s="97" t="s">
        <v>167</v>
      </c>
      <c r="M329" s="98">
        <v>6.8750000000000006E-2</v>
      </c>
      <c r="N329" s="98">
        <v>4.6300000000023891E-2</v>
      </c>
      <c r="O329" s="94">
        <v>57612.078999999998</v>
      </c>
      <c r="P329" s="96">
        <v>113.53</v>
      </c>
      <c r="Q329" s="84"/>
      <c r="R329" s="94">
        <v>226.04665174199999</v>
      </c>
      <c r="S329" s="95">
        <v>7.6816105333333328E-5</v>
      </c>
      <c r="T329" s="95">
        <f t="shared" si="8"/>
        <v>8.957991344537929E-4</v>
      </c>
      <c r="U329" s="95">
        <f>R329/'סכום נכסי הקרן'!$C$42</f>
        <v>2.3785318385189516E-4</v>
      </c>
    </row>
    <row r="330" spans="2:21">
      <c r="B330" s="87" t="s">
        <v>1108</v>
      </c>
      <c r="C330" s="84" t="s">
        <v>1109</v>
      </c>
      <c r="D330" s="97" t="s">
        <v>30</v>
      </c>
      <c r="E330" s="97" t="s">
        <v>916</v>
      </c>
      <c r="F330" s="84"/>
      <c r="G330" s="97" t="s">
        <v>1110</v>
      </c>
      <c r="H330" s="84" t="s">
        <v>1095</v>
      </c>
      <c r="I330" s="84" t="s">
        <v>955</v>
      </c>
      <c r="J330" s="84"/>
      <c r="K330" s="94">
        <v>1.4700000000025986</v>
      </c>
      <c r="L330" s="97" t="s">
        <v>167</v>
      </c>
      <c r="M330" s="98">
        <v>4.6249999999999999E-2</v>
      </c>
      <c r="N330" s="98">
        <v>2.8900000000025985E-2</v>
      </c>
      <c r="O330" s="94">
        <v>52163.980224999999</v>
      </c>
      <c r="P330" s="96">
        <v>106.73480000000001</v>
      </c>
      <c r="Q330" s="84"/>
      <c r="R330" s="94">
        <v>192.42013664999999</v>
      </c>
      <c r="S330" s="95">
        <v>3.4775986816666669E-5</v>
      </c>
      <c r="T330" s="95">
        <f t="shared" si="8"/>
        <v>7.6254078763920855E-4</v>
      </c>
      <c r="U330" s="95">
        <f>R330/'סכום נכסי הקרן'!$C$42</f>
        <v>2.024703386965297E-4</v>
      </c>
    </row>
    <row r="331" spans="2:21">
      <c r="B331" s="87" t="s">
        <v>1111</v>
      </c>
      <c r="C331" s="84" t="s">
        <v>1112</v>
      </c>
      <c r="D331" s="97" t="s">
        <v>30</v>
      </c>
      <c r="E331" s="97" t="s">
        <v>916</v>
      </c>
      <c r="F331" s="84"/>
      <c r="G331" s="97" t="s">
        <v>1110</v>
      </c>
      <c r="H331" s="84" t="s">
        <v>1095</v>
      </c>
      <c r="I331" s="84" t="s">
        <v>955</v>
      </c>
      <c r="J331" s="84"/>
      <c r="K331" s="94">
        <v>7.9999999994261661E-2</v>
      </c>
      <c r="L331" s="97" t="s">
        <v>167</v>
      </c>
      <c r="M331" s="98">
        <v>4.6249999999999999E-2</v>
      </c>
      <c r="N331" s="98">
        <v>2.9000000001147669E-3</v>
      </c>
      <c r="O331" s="94">
        <v>9861.6850009999998</v>
      </c>
      <c r="P331" s="96">
        <v>102.26300000000001</v>
      </c>
      <c r="Q331" s="84"/>
      <c r="R331" s="94">
        <v>34.853249140000003</v>
      </c>
      <c r="S331" s="95">
        <v>1.9723370002E-5</v>
      </c>
      <c r="T331" s="95">
        <f t="shared" si="8"/>
        <v>1.3811976497731673E-4</v>
      </c>
      <c r="U331" s="95">
        <f>R331/'סכום נכסי הקרן'!$C$42</f>
        <v>3.6673652149442717E-5</v>
      </c>
    </row>
    <row r="332" spans="2:21">
      <c r="B332" s="87" t="s">
        <v>1113</v>
      </c>
      <c r="C332" s="84" t="s">
        <v>1114</v>
      </c>
      <c r="D332" s="97" t="s">
        <v>30</v>
      </c>
      <c r="E332" s="97" t="s">
        <v>916</v>
      </c>
      <c r="F332" s="84"/>
      <c r="G332" s="97" t="s">
        <v>977</v>
      </c>
      <c r="H332" s="84" t="s">
        <v>1095</v>
      </c>
      <c r="I332" s="84" t="s">
        <v>955</v>
      </c>
      <c r="J332" s="84"/>
      <c r="K332" s="94">
        <v>4.410000000010009</v>
      </c>
      <c r="L332" s="97" t="s">
        <v>167</v>
      </c>
      <c r="M332" s="98">
        <v>4.8750000000000002E-2</v>
      </c>
      <c r="N332" s="98">
        <v>3.4600000000093174E-2</v>
      </c>
      <c r="O332" s="94">
        <v>57469.301239</v>
      </c>
      <c r="P332" s="96">
        <v>109.1601</v>
      </c>
      <c r="Q332" s="84"/>
      <c r="R332" s="94">
        <v>216.80718706299999</v>
      </c>
      <c r="S332" s="95">
        <v>1.6419800354E-4</v>
      </c>
      <c r="T332" s="95">
        <f t="shared" si="8"/>
        <v>8.5918410654481391E-4</v>
      </c>
      <c r="U332" s="95">
        <f>R332/'סכום נכסי הקרן'!$C$42</f>
        <v>2.2813113721217951E-4</v>
      </c>
    </row>
    <row r="333" spans="2:21">
      <c r="B333" s="87" t="s">
        <v>1115</v>
      </c>
      <c r="C333" s="84" t="s">
        <v>1116</v>
      </c>
      <c r="D333" s="97" t="s">
        <v>30</v>
      </c>
      <c r="E333" s="97" t="s">
        <v>916</v>
      </c>
      <c r="F333" s="84"/>
      <c r="G333" s="97" t="s">
        <v>977</v>
      </c>
      <c r="H333" s="84" t="s">
        <v>1117</v>
      </c>
      <c r="I333" s="84" t="s">
        <v>955</v>
      </c>
      <c r="J333" s="84"/>
      <c r="K333" s="94">
        <v>2.2999999999978131</v>
      </c>
      <c r="L333" s="97" t="s">
        <v>167</v>
      </c>
      <c r="M333" s="98">
        <v>0.05</v>
      </c>
      <c r="N333" s="98">
        <v>2.7300000000003277E-2</v>
      </c>
      <c r="O333" s="94">
        <v>50097.46</v>
      </c>
      <c r="P333" s="96">
        <v>105.6628</v>
      </c>
      <c r="Q333" s="84"/>
      <c r="R333" s="94">
        <v>182.941175278</v>
      </c>
      <c r="S333" s="95">
        <v>6.6796613333333329E-5</v>
      </c>
      <c r="T333" s="95">
        <f t="shared" si="8"/>
        <v>7.2497665949520899E-4</v>
      </c>
      <c r="U333" s="95">
        <f>R333/'סכום נכסי הקרן'!$C$42</f>
        <v>1.9249628632917755E-4</v>
      </c>
    </row>
    <row r="334" spans="2:21">
      <c r="B334" s="87" t="s">
        <v>1118</v>
      </c>
      <c r="C334" s="84" t="s">
        <v>1119</v>
      </c>
      <c r="D334" s="97" t="s">
        <v>30</v>
      </c>
      <c r="E334" s="97" t="s">
        <v>916</v>
      </c>
      <c r="F334" s="84"/>
      <c r="G334" s="97" t="s">
        <v>948</v>
      </c>
      <c r="H334" s="84" t="s">
        <v>1120</v>
      </c>
      <c r="I334" s="84" t="s">
        <v>920</v>
      </c>
      <c r="J334" s="84"/>
      <c r="K334" s="94">
        <v>3.8200000000152485</v>
      </c>
      <c r="L334" s="97" t="s">
        <v>167</v>
      </c>
      <c r="M334" s="98">
        <v>0.08</v>
      </c>
      <c r="N334" s="98">
        <v>4.9200000000279555E-2</v>
      </c>
      <c r="O334" s="94">
        <v>20289.471300000001</v>
      </c>
      <c r="P334" s="96">
        <v>112.22929999999999</v>
      </c>
      <c r="Q334" s="84"/>
      <c r="R334" s="94">
        <v>78.695671839999989</v>
      </c>
      <c r="S334" s="95">
        <v>1.0144735650000001E-5</v>
      </c>
      <c r="T334" s="95">
        <f t="shared" si="8"/>
        <v>3.1186268045231785E-4</v>
      </c>
      <c r="U334" s="95">
        <f>R334/'סכום נכסי הקרן'!$C$42</f>
        <v>8.2805986986579519E-5</v>
      </c>
    </row>
    <row r="335" spans="2:21">
      <c r="B335" s="87" t="s">
        <v>1121</v>
      </c>
      <c r="C335" s="84" t="s">
        <v>1122</v>
      </c>
      <c r="D335" s="97" t="s">
        <v>30</v>
      </c>
      <c r="E335" s="97" t="s">
        <v>916</v>
      </c>
      <c r="F335" s="84"/>
      <c r="G335" s="97" t="s">
        <v>948</v>
      </c>
      <c r="H335" s="84" t="s">
        <v>1120</v>
      </c>
      <c r="I335" s="84" t="s">
        <v>920</v>
      </c>
      <c r="J335" s="84"/>
      <c r="K335" s="94">
        <v>3.269999999995659</v>
      </c>
      <c r="L335" s="97" t="s">
        <v>167</v>
      </c>
      <c r="M335" s="98">
        <v>7.7499999999999999E-2</v>
      </c>
      <c r="N335" s="98">
        <v>4.969999999988859E-2</v>
      </c>
      <c r="O335" s="94">
        <v>50598.434600000001</v>
      </c>
      <c r="P335" s="96">
        <v>109.3349</v>
      </c>
      <c r="Q335" s="84"/>
      <c r="R335" s="94">
        <v>191.19198982899999</v>
      </c>
      <c r="S335" s="95">
        <v>2.023937384E-5</v>
      </c>
      <c r="T335" s="95">
        <f t="shared" si="8"/>
        <v>7.5767377080549023E-4</v>
      </c>
      <c r="U335" s="95">
        <f>R335/'סכום נכסי הקרן'!$C$42</f>
        <v>2.0117804513959686E-4</v>
      </c>
    </row>
    <row r="336" spans="2:21">
      <c r="B336" s="87" t="s">
        <v>1123</v>
      </c>
      <c r="C336" s="84" t="s">
        <v>1124</v>
      </c>
      <c r="D336" s="97" t="s">
        <v>30</v>
      </c>
      <c r="E336" s="97" t="s">
        <v>916</v>
      </c>
      <c r="F336" s="84"/>
      <c r="G336" s="97" t="s">
        <v>1125</v>
      </c>
      <c r="H336" s="84" t="s">
        <v>1117</v>
      </c>
      <c r="I336" s="84" t="s">
        <v>955</v>
      </c>
      <c r="J336" s="84"/>
      <c r="K336" s="94">
        <v>6.4499999999912392</v>
      </c>
      <c r="L336" s="97" t="s">
        <v>167</v>
      </c>
      <c r="M336" s="98">
        <v>4.7500000000000001E-2</v>
      </c>
      <c r="N336" s="98">
        <v>4.3799999999927675E-2</v>
      </c>
      <c r="O336" s="94">
        <v>75146.19</v>
      </c>
      <c r="P336" s="96">
        <v>103.2903</v>
      </c>
      <c r="Q336" s="84"/>
      <c r="R336" s="94">
        <v>268.25032836299999</v>
      </c>
      <c r="S336" s="95">
        <v>2.4638095081967212E-5</v>
      </c>
      <c r="T336" s="95">
        <f t="shared" si="8"/>
        <v>1.0630478713694353E-3</v>
      </c>
      <c r="U336" s="95">
        <f>R336/'סכום נכסי הקרן'!$C$42</f>
        <v>2.8226118006507468E-4</v>
      </c>
    </row>
    <row r="337" spans="2:21">
      <c r="B337" s="87" t="s">
        <v>1126</v>
      </c>
      <c r="C337" s="84" t="s">
        <v>1127</v>
      </c>
      <c r="D337" s="97" t="s">
        <v>30</v>
      </c>
      <c r="E337" s="97" t="s">
        <v>916</v>
      </c>
      <c r="F337" s="84"/>
      <c r="G337" s="97" t="s">
        <v>948</v>
      </c>
      <c r="H337" s="84" t="s">
        <v>1120</v>
      </c>
      <c r="I337" s="84" t="s">
        <v>920</v>
      </c>
      <c r="J337" s="84"/>
      <c r="K337" s="94">
        <v>4.5800000000011254</v>
      </c>
      <c r="L337" s="97" t="s">
        <v>167</v>
      </c>
      <c r="M337" s="98">
        <v>0.08</v>
      </c>
      <c r="N337" s="98">
        <v>4.8500000000004019E-2</v>
      </c>
      <c r="O337" s="94">
        <v>62621.824999999997</v>
      </c>
      <c r="P337" s="96">
        <v>115.015</v>
      </c>
      <c r="Q337" s="84"/>
      <c r="R337" s="94">
        <v>248.91664443399998</v>
      </c>
      <c r="S337" s="95">
        <v>5.4453760869565217E-5</v>
      </c>
      <c r="T337" s="95">
        <f t="shared" si="8"/>
        <v>9.8643051297932433E-4</v>
      </c>
      <c r="U337" s="95">
        <f>R337/'סכום נכסי הקרן'!$C$42</f>
        <v>2.6191768794669773E-4</v>
      </c>
    </row>
    <row r="338" spans="2:21">
      <c r="B338" s="87" t="s">
        <v>1128</v>
      </c>
      <c r="C338" s="84" t="s">
        <v>1129</v>
      </c>
      <c r="D338" s="97" t="s">
        <v>30</v>
      </c>
      <c r="E338" s="97" t="s">
        <v>916</v>
      </c>
      <c r="F338" s="84"/>
      <c r="G338" s="97" t="s">
        <v>918</v>
      </c>
      <c r="H338" s="84" t="s">
        <v>1130</v>
      </c>
      <c r="I338" s="84" t="s">
        <v>920</v>
      </c>
      <c r="J338" s="84"/>
      <c r="K338" s="94">
        <v>2.8100000000034124</v>
      </c>
      <c r="L338" s="97" t="s">
        <v>167</v>
      </c>
      <c r="M338" s="98">
        <v>7.7499999999999999E-2</v>
      </c>
      <c r="N338" s="98">
        <v>5.6300000000048846E-2</v>
      </c>
      <c r="O338" s="94">
        <v>40407.358800000002</v>
      </c>
      <c r="P338" s="96">
        <v>107.0091</v>
      </c>
      <c r="Q338" s="84"/>
      <c r="R338" s="94">
        <v>149.43590372900002</v>
      </c>
      <c r="S338" s="95">
        <v>9.6207997142857144E-5</v>
      </c>
      <c r="T338" s="95">
        <f>R338/$R$11</f>
        <v>5.9219878810479285E-4</v>
      </c>
      <c r="U338" s="95">
        <f>R338/'סכום נכסי הקרן'!$C$42</f>
        <v>1.572410173290075E-4</v>
      </c>
    </row>
    <row r="339" spans="2:21">
      <c r="C339" s="1"/>
      <c r="D339" s="1"/>
      <c r="E339" s="1"/>
      <c r="F339" s="1"/>
    </row>
    <row r="340" spans="2:21">
      <c r="C340" s="1"/>
      <c r="D340" s="1"/>
      <c r="E340" s="1"/>
      <c r="F340" s="1"/>
    </row>
    <row r="341" spans="2:21">
      <c r="C341" s="1"/>
      <c r="D341" s="1"/>
      <c r="E341" s="1"/>
      <c r="F341" s="1"/>
    </row>
    <row r="342" spans="2:21">
      <c r="B342" s="99" t="s">
        <v>259</v>
      </c>
      <c r="C342" s="100"/>
      <c r="D342" s="100"/>
      <c r="E342" s="100"/>
      <c r="F342" s="100"/>
      <c r="G342" s="100"/>
      <c r="H342" s="100"/>
      <c r="I342" s="100"/>
      <c r="J342" s="100"/>
      <c r="K342" s="100"/>
    </row>
    <row r="343" spans="2:21">
      <c r="B343" s="99" t="s">
        <v>116</v>
      </c>
      <c r="C343" s="100"/>
      <c r="D343" s="100"/>
      <c r="E343" s="100"/>
      <c r="F343" s="100"/>
      <c r="G343" s="100"/>
      <c r="H343" s="100"/>
      <c r="I343" s="100"/>
      <c r="J343" s="100"/>
      <c r="K343" s="100"/>
    </row>
    <row r="344" spans="2:21">
      <c r="B344" s="99" t="s">
        <v>241</v>
      </c>
      <c r="C344" s="100"/>
      <c r="D344" s="100"/>
      <c r="E344" s="100"/>
      <c r="F344" s="100"/>
      <c r="G344" s="100"/>
      <c r="H344" s="100"/>
      <c r="I344" s="100"/>
      <c r="J344" s="100"/>
      <c r="K344" s="100"/>
    </row>
    <row r="345" spans="2:21">
      <c r="B345" s="99" t="s">
        <v>249</v>
      </c>
      <c r="C345" s="100"/>
      <c r="D345" s="100"/>
      <c r="E345" s="100"/>
      <c r="F345" s="100"/>
      <c r="G345" s="100"/>
      <c r="H345" s="100"/>
      <c r="I345" s="100"/>
      <c r="J345" s="100"/>
      <c r="K345" s="100"/>
    </row>
    <row r="346" spans="2:21">
      <c r="B346" s="150" t="s">
        <v>255</v>
      </c>
      <c r="C346" s="150"/>
      <c r="D346" s="150"/>
      <c r="E346" s="150"/>
      <c r="F346" s="150"/>
      <c r="G346" s="150"/>
      <c r="H346" s="150"/>
      <c r="I346" s="150"/>
      <c r="J346" s="150"/>
      <c r="K346" s="150"/>
    </row>
    <row r="347" spans="2:21">
      <c r="C347" s="1"/>
      <c r="D347" s="1"/>
      <c r="E347" s="1"/>
      <c r="F347" s="1"/>
    </row>
    <row r="348" spans="2:21">
      <c r="C348" s="1"/>
      <c r="D348" s="1"/>
      <c r="E348" s="1"/>
      <c r="F348" s="1"/>
    </row>
    <row r="349" spans="2:21">
      <c r="C349" s="1"/>
      <c r="D349" s="1"/>
      <c r="E349" s="1"/>
      <c r="F349" s="1"/>
    </row>
    <row r="350" spans="2:21">
      <c r="C350" s="1"/>
      <c r="D350" s="1"/>
      <c r="E350" s="1"/>
      <c r="F350" s="1"/>
    </row>
    <row r="351" spans="2:21">
      <c r="C351" s="1"/>
      <c r="D351" s="1"/>
      <c r="E351" s="1"/>
      <c r="F351" s="1"/>
    </row>
    <row r="352" spans="2:21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4"/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46:K346"/>
  </mergeCells>
  <phoneticPr fontId="3" type="noConversion"/>
  <conditionalFormatting sqref="B12:B338">
    <cfRule type="cellIs" dxfId="12" priority="2" operator="equal">
      <formula>"NR3"</formula>
    </cfRule>
  </conditionalFormatting>
  <conditionalFormatting sqref="B12:B338">
    <cfRule type="containsText" dxfId="11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$BK$7:$BK$24</formula1>
    </dataValidation>
    <dataValidation allowBlank="1" showInputMessage="1" showErrorMessage="1" sqref="H2 B34 Q9 B36 B344 B346"/>
    <dataValidation type="list" allowBlank="1" showInputMessage="1" showErrorMessage="1" sqref="I12:I35 I347:I827 I37:I345">
      <formula1>$BM$7:$BM$10</formula1>
    </dataValidation>
    <dataValidation type="list" allowBlank="1" showInputMessage="1" showErrorMessage="1" sqref="E12:E35 E347:E821 E37:E345">
      <formula1>$BI$7:$BI$24</formula1>
    </dataValidation>
    <dataValidation type="list" allowBlank="1" showInputMessage="1" showErrorMessage="1" sqref="G12:G35 G347:G554 G37:G345">
      <formula1>$BK$7:$BK$29</formula1>
    </dataValidation>
    <dataValidation type="list" allowBlank="1" showInputMessage="1" showErrorMessage="1" sqref="L12:L827">
      <formula1>$BN$7:$BN$20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topLeftCell="A196" workbookViewId="0">
      <selection activeCell="O213" sqref="O213"/>
    </sheetView>
  </sheetViews>
  <sheetFormatPr defaultColWidth="9.140625" defaultRowHeight="18"/>
  <cols>
    <col min="1" max="1" width="6.28515625" style="1" customWidth="1"/>
    <col min="2" max="2" width="43" style="2" bestFit="1" customWidth="1"/>
    <col min="3" max="3" width="58.140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183</v>
      </c>
      <c r="C1" s="78" t="s" vm="1">
        <v>267</v>
      </c>
    </row>
    <row r="2" spans="2:62">
      <c r="B2" s="57" t="s">
        <v>182</v>
      </c>
      <c r="C2" s="78" t="s">
        <v>268</v>
      </c>
    </row>
    <row r="3" spans="2:62">
      <c r="B3" s="57" t="s">
        <v>184</v>
      </c>
      <c r="C3" s="78" t="s">
        <v>269</v>
      </c>
    </row>
    <row r="4" spans="2:62">
      <c r="B4" s="57" t="s">
        <v>185</v>
      </c>
      <c r="C4" s="78">
        <v>8803</v>
      </c>
    </row>
    <row r="6" spans="2:62" ht="26.25" customHeight="1">
      <c r="B6" s="153" t="s">
        <v>213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  <c r="BJ6" s="3"/>
    </row>
    <row r="7" spans="2:62" ht="26.25" customHeight="1">
      <c r="B7" s="153" t="s">
        <v>94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BF7" s="3"/>
      <c r="BJ7" s="3"/>
    </row>
    <row r="8" spans="2:62" s="3" customFormat="1" ht="78.75">
      <c r="B8" s="23" t="s">
        <v>119</v>
      </c>
      <c r="C8" s="31" t="s">
        <v>47</v>
      </c>
      <c r="D8" s="31" t="s">
        <v>123</v>
      </c>
      <c r="E8" s="31" t="s">
        <v>229</v>
      </c>
      <c r="F8" s="31" t="s">
        <v>121</v>
      </c>
      <c r="G8" s="31" t="s">
        <v>68</v>
      </c>
      <c r="H8" s="31" t="s">
        <v>105</v>
      </c>
      <c r="I8" s="14" t="s">
        <v>243</v>
      </c>
      <c r="J8" s="14" t="s">
        <v>242</v>
      </c>
      <c r="K8" s="31" t="s">
        <v>258</v>
      </c>
      <c r="L8" s="14" t="s">
        <v>65</v>
      </c>
      <c r="M8" s="14" t="s">
        <v>62</v>
      </c>
      <c r="N8" s="14" t="s">
        <v>186</v>
      </c>
      <c r="O8" s="15" t="s">
        <v>188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250</v>
      </c>
      <c r="J9" s="17"/>
      <c r="K9" s="17" t="s">
        <v>246</v>
      </c>
      <c r="L9" s="17" t="s">
        <v>246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79" t="s">
        <v>32</v>
      </c>
      <c r="C11" s="80"/>
      <c r="D11" s="80"/>
      <c r="E11" s="80"/>
      <c r="F11" s="80"/>
      <c r="G11" s="80"/>
      <c r="H11" s="80"/>
      <c r="I11" s="88"/>
      <c r="J11" s="90"/>
      <c r="K11" s="88">
        <v>118.55322982000001</v>
      </c>
      <c r="L11" s="88">
        <v>74824.42346873098</v>
      </c>
      <c r="M11" s="80"/>
      <c r="N11" s="89">
        <f>L11/$L$11</f>
        <v>1</v>
      </c>
      <c r="O11" s="89">
        <f>L11/'סכום נכסי הקרן'!$C$42</f>
        <v>7.873254133502107E-2</v>
      </c>
      <c r="BF11" s="1"/>
      <c r="BG11" s="3"/>
      <c r="BH11" s="1"/>
      <c r="BJ11" s="1"/>
    </row>
    <row r="12" spans="2:62" ht="20.25">
      <c r="B12" s="81" t="s">
        <v>238</v>
      </c>
      <c r="C12" s="82"/>
      <c r="D12" s="82"/>
      <c r="E12" s="82"/>
      <c r="F12" s="82"/>
      <c r="G12" s="82"/>
      <c r="H12" s="82"/>
      <c r="I12" s="91"/>
      <c r="J12" s="93"/>
      <c r="K12" s="91">
        <v>110.372375706</v>
      </c>
      <c r="L12" s="91">
        <v>51715.905906578999</v>
      </c>
      <c r="M12" s="82"/>
      <c r="N12" s="92">
        <f t="shared" ref="N12:N40" si="0">L12/$L$11</f>
        <v>0.6911634398117481</v>
      </c>
      <c r="O12" s="92">
        <f>L12/'סכום נכסי הקרן'!$C$42</f>
        <v>5.4417054094233808E-2</v>
      </c>
      <c r="BG12" s="4"/>
    </row>
    <row r="13" spans="2:62">
      <c r="B13" s="102" t="s">
        <v>1131</v>
      </c>
      <c r="C13" s="82"/>
      <c r="D13" s="82"/>
      <c r="E13" s="82"/>
      <c r="F13" s="82"/>
      <c r="G13" s="82"/>
      <c r="H13" s="82"/>
      <c r="I13" s="91"/>
      <c r="J13" s="93"/>
      <c r="K13" s="91">
        <v>21.172356450999999</v>
      </c>
      <c r="L13" s="91">
        <v>33666.213332626001</v>
      </c>
      <c r="M13" s="82"/>
      <c r="N13" s="92">
        <f t="shared" si="0"/>
        <v>0.44993615415820831</v>
      </c>
      <c r="O13" s="92">
        <f>L13/'סכום נכסי הקרן'!$C$42</f>
        <v>3.5424616855381549E-2</v>
      </c>
    </row>
    <row r="14" spans="2:62">
      <c r="B14" s="87" t="s">
        <v>1132</v>
      </c>
      <c r="C14" s="84" t="s">
        <v>1133</v>
      </c>
      <c r="D14" s="97" t="s">
        <v>124</v>
      </c>
      <c r="E14" s="97" t="s">
        <v>351</v>
      </c>
      <c r="F14" s="84" t="s">
        <v>1134</v>
      </c>
      <c r="G14" s="97" t="s">
        <v>194</v>
      </c>
      <c r="H14" s="97" t="s">
        <v>168</v>
      </c>
      <c r="I14" s="94">
        <v>4283.4855109999999</v>
      </c>
      <c r="J14" s="96">
        <v>26040</v>
      </c>
      <c r="K14" s="84"/>
      <c r="L14" s="94">
        <v>1115.4196285</v>
      </c>
      <c r="M14" s="95">
        <v>8.4000023277311755E-5</v>
      </c>
      <c r="N14" s="95">
        <f t="shared" si="0"/>
        <v>1.4907159678498991E-2</v>
      </c>
      <c r="O14" s="95">
        <f>L14/'סכום נכסי הקרן'!$C$42</f>
        <v>1.1736785655751814E-3</v>
      </c>
    </row>
    <row r="15" spans="2:62">
      <c r="B15" s="87" t="s">
        <v>1135</v>
      </c>
      <c r="C15" s="84" t="s">
        <v>1136</v>
      </c>
      <c r="D15" s="97" t="s">
        <v>124</v>
      </c>
      <c r="E15" s="97" t="s">
        <v>351</v>
      </c>
      <c r="F15" s="84">
        <v>1760</v>
      </c>
      <c r="G15" s="97" t="s">
        <v>742</v>
      </c>
      <c r="H15" s="97" t="s">
        <v>168</v>
      </c>
      <c r="I15" s="94">
        <v>328.52348400000005</v>
      </c>
      <c r="J15" s="96">
        <v>44270</v>
      </c>
      <c r="K15" s="94">
        <v>0.85153296300000003</v>
      </c>
      <c r="L15" s="94">
        <v>146.28887935999998</v>
      </c>
      <c r="M15" s="95">
        <v>3.0767562372348334E-6</v>
      </c>
      <c r="N15" s="95">
        <f t="shared" si="0"/>
        <v>1.9550953095032386E-3</v>
      </c>
      <c r="O15" s="95">
        <f>L15/'סכום נכסי הקרן'!$C$42</f>
        <v>1.5392962226936955E-4</v>
      </c>
    </row>
    <row r="16" spans="2:62" ht="20.25">
      <c r="B16" s="87" t="s">
        <v>1137</v>
      </c>
      <c r="C16" s="84" t="s">
        <v>1138</v>
      </c>
      <c r="D16" s="97" t="s">
        <v>124</v>
      </c>
      <c r="E16" s="97" t="s">
        <v>351</v>
      </c>
      <c r="F16" s="84" t="s">
        <v>450</v>
      </c>
      <c r="G16" s="97" t="s">
        <v>421</v>
      </c>
      <c r="H16" s="97" t="s">
        <v>168</v>
      </c>
      <c r="I16" s="94">
        <v>11077.437054999999</v>
      </c>
      <c r="J16" s="96">
        <v>6482</v>
      </c>
      <c r="K16" s="84"/>
      <c r="L16" s="94">
        <v>718.03946992300007</v>
      </c>
      <c r="M16" s="95">
        <v>8.4245862384790129E-5</v>
      </c>
      <c r="N16" s="95">
        <f t="shared" si="0"/>
        <v>9.5963247912370184E-3</v>
      </c>
      <c r="O16" s="95">
        <f>L16/'סכום נכסי הקרן'!$C$42</f>
        <v>7.5554303829035603E-4</v>
      </c>
      <c r="BF16" s="4"/>
    </row>
    <row r="17" spans="2:15">
      <c r="B17" s="87" t="s">
        <v>1139</v>
      </c>
      <c r="C17" s="84" t="s">
        <v>1140</v>
      </c>
      <c r="D17" s="97" t="s">
        <v>124</v>
      </c>
      <c r="E17" s="97" t="s">
        <v>351</v>
      </c>
      <c r="F17" s="84" t="s">
        <v>731</v>
      </c>
      <c r="G17" s="97" t="s">
        <v>732</v>
      </c>
      <c r="H17" s="97" t="s">
        <v>168</v>
      </c>
      <c r="I17" s="94">
        <v>2885.193064</v>
      </c>
      <c r="J17" s="96">
        <v>53760</v>
      </c>
      <c r="K17" s="94">
        <v>4.387340032</v>
      </c>
      <c r="L17" s="94">
        <v>1555.4671311319998</v>
      </c>
      <c r="M17" s="95">
        <v>6.5331876609227605E-5</v>
      </c>
      <c r="N17" s="95">
        <f t="shared" si="0"/>
        <v>2.0788227413232625E-2</v>
      </c>
      <c r="O17" s="95">
        <f>L17/'סכום נכסי הקרן'!$C$42</f>
        <v>1.6367099740941559E-3</v>
      </c>
    </row>
    <row r="18" spans="2:15">
      <c r="B18" s="87" t="s">
        <v>1141</v>
      </c>
      <c r="C18" s="84" t="s">
        <v>1142</v>
      </c>
      <c r="D18" s="97" t="s">
        <v>124</v>
      </c>
      <c r="E18" s="97" t="s">
        <v>351</v>
      </c>
      <c r="F18" s="84" t="s">
        <v>458</v>
      </c>
      <c r="G18" s="97" t="s">
        <v>421</v>
      </c>
      <c r="H18" s="97" t="s">
        <v>168</v>
      </c>
      <c r="I18" s="94">
        <v>25006.230032000003</v>
      </c>
      <c r="J18" s="96">
        <v>2507</v>
      </c>
      <c r="K18" s="84"/>
      <c r="L18" s="94">
        <v>626.90618690400004</v>
      </c>
      <c r="M18" s="95">
        <v>6.6068081419297172E-5</v>
      </c>
      <c r="N18" s="95">
        <f t="shared" si="0"/>
        <v>8.3783630777453742E-3</v>
      </c>
      <c r="O18" s="95">
        <f>L18/'סכום נכסי הקרן'!$C$42</f>
        <v>6.5964981733840204E-4</v>
      </c>
    </row>
    <row r="19" spans="2:15">
      <c r="B19" s="87" t="s">
        <v>1143</v>
      </c>
      <c r="C19" s="84" t="s">
        <v>1144</v>
      </c>
      <c r="D19" s="97" t="s">
        <v>124</v>
      </c>
      <c r="E19" s="97" t="s">
        <v>351</v>
      </c>
      <c r="F19" s="84" t="s">
        <v>1145</v>
      </c>
      <c r="G19" s="97" t="s">
        <v>150</v>
      </c>
      <c r="H19" s="97" t="s">
        <v>168</v>
      </c>
      <c r="I19" s="94">
        <v>1209.7427459999999</v>
      </c>
      <c r="J19" s="96">
        <v>4225</v>
      </c>
      <c r="K19" s="84"/>
      <c r="L19" s="94">
        <v>51.111631037999999</v>
      </c>
      <c r="M19" s="95">
        <v>6.843545480498858E-6</v>
      </c>
      <c r="N19" s="95">
        <f t="shared" si="0"/>
        <v>6.8308753570763534E-4</v>
      </c>
      <c r="O19" s="95">
        <f>L19/'סכום נכסי הקרן'!$C$42</f>
        <v>5.378121764053908E-5</v>
      </c>
    </row>
    <row r="20" spans="2:15">
      <c r="B20" s="87" t="s">
        <v>1146</v>
      </c>
      <c r="C20" s="84" t="s">
        <v>1147</v>
      </c>
      <c r="D20" s="97" t="s">
        <v>124</v>
      </c>
      <c r="E20" s="97" t="s">
        <v>351</v>
      </c>
      <c r="F20" s="84" t="s">
        <v>538</v>
      </c>
      <c r="G20" s="97" t="s">
        <v>195</v>
      </c>
      <c r="H20" s="97" t="s">
        <v>168</v>
      </c>
      <c r="I20" s="94">
        <v>313751.18872500001</v>
      </c>
      <c r="J20" s="96">
        <v>277.5</v>
      </c>
      <c r="K20" s="84"/>
      <c r="L20" s="94">
        <v>870.659548718</v>
      </c>
      <c r="M20" s="95">
        <v>1.1345246974591809E-4</v>
      </c>
      <c r="N20" s="95">
        <f t="shared" si="0"/>
        <v>1.1636034176485802E-2</v>
      </c>
      <c r="O20" s="95">
        <f>L20/'סכום נכסי הקרן'!$C$42</f>
        <v>9.1613454177588629E-4</v>
      </c>
    </row>
    <row r="21" spans="2:15">
      <c r="B21" s="87" t="s">
        <v>1148</v>
      </c>
      <c r="C21" s="84" t="s">
        <v>1149</v>
      </c>
      <c r="D21" s="97" t="s">
        <v>124</v>
      </c>
      <c r="E21" s="97" t="s">
        <v>351</v>
      </c>
      <c r="F21" s="84" t="s">
        <v>366</v>
      </c>
      <c r="G21" s="97" t="s">
        <v>359</v>
      </c>
      <c r="H21" s="97" t="s">
        <v>168</v>
      </c>
      <c r="I21" s="94">
        <v>7499.1414649999988</v>
      </c>
      <c r="J21" s="96">
        <v>9989</v>
      </c>
      <c r="K21" s="84"/>
      <c r="L21" s="94">
        <v>749.08924093500002</v>
      </c>
      <c r="M21" s="95">
        <v>7.4744727152505853E-5</v>
      </c>
      <c r="N21" s="95">
        <f t="shared" si="0"/>
        <v>1.0011293187551834E-2</v>
      </c>
      <c r="O21" s="95">
        <f>L21/'סכום נכסי הקרן'!$C$42</f>
        <v>7.8821455470593968E-4</v>
      </c>
    </row>
    <row r="22" spans="2:15">
      <c r="B22" s="87" t="s">
        <v>1150</v>
      </c>
      <c r="C22" s="84" t="s">
        <v>1151</v>
      </c>
      <c r="D22" s="97" t="s">
        <v>124</v>
      </c>
      <c r="E22" s="97" t="s">
        <v>351</v>
      </c>
      <c r="F22" s="84" t="s">
        <v>677</v>
      </c>
      <c r="G22" s="97" t="s">
        <v>485</v>
      </c>
      <c r="H22" s="97" t="s">
        <v>168</v>
      </c>
      <c r="I22" s="94">
        <v>249938.29467100001</v>
      </c>
      <c r="J22" s="96">
        <v>173.4</v>
      </c>
      <c r="K22" s="84"/>
      <c r="L22" s="94">
        <v>433.39300295699996</v>
      </c>
      <c r="M22" s="95">
        <v>7.7966518732074932E-5</v>
      </c>
      <c r="N22" s="95">
        <f t="shared" si="0"/>
        <v>5.792132874075726E-3</v>
      </c>
      <c r="O22" s="95">
        <f>L22/'סכום נכסי הקרן'!$C$42</f>
        <v>4.5602934092610153E-4</v>
      </c>
    </row>
    <row r="23" spans="2:15">
      <c r="B23" s="87" t="s">
        <v>1152</v>
      </c>
      <c r="C23" s="84" t="s">
        <v>1153</v>
      </c>
      <c r="D23" s="97" t="s">
        <v>124</v>
      </c>
      <c r="E23" s="97" t="s">
        <v>351</v>
      </c>
      <c r="F23" s="84" t="s">
        <v>415</v>
      </c>
      <c r="G23" s="97" t="s">
        <v>359</v>
      </c>
      <c r="H23" s="97" t="s">
        <v>168</v>
      </c>
      <c r="I23" s="94">
        <v>104128.091992</v>
      </c>
      <c r="J23" s="96">
        <v>1601</v>
      </c>
      <c r="K23" s="84"/>
      <c r="L23" s="94">
        <v>1667.090752801</v>
      </c>
      <c r="M23" s="95">
        <v>8.9455817757121015E-5</v>
      </c>
      <c r="N23" s="95">
        <f t="shared" si="0"/>
        <v>2.2280034720182973E-2</v>
      </c>
      <c r="O23" s="95">
        <f>L23/'סכום נכסי הקרן'!$C$42</f>
        <v>1.7541637545525107E-3</v>
      </c>
    </row>
    <row r="24" spans="2:15">
      <c r="B24" s="87" t="s">
        <v>1154</v>
      </c>
      <c r="C24" s="84" t="s">
        <v>1155</v>
      </c>
      <c r="D24" s="97" t="s">
        <v>124</v>
      </c>
      <c r="E24" s="97" t="s">
        <v>351</v>
      </c>
      <c r="F24" s="84" t="s">
        <v>1156</v>
      </c>
      <c r="G24" s="97" t="s">
        <v>150</v>
      </c>
      <c r="H24" s="97" t="s">
        <v>168</v>
      </c>
      <c r="I24" s="94">
        <v>160789.983943</v>
      </c>
      <c r="J24" s="96">
        <v>876.1</v>
      </c>
      <c r="K24" s="94">
        <v>15.933483455999998</v>
      </c>
      <c r="L24" s="94">
        <v>1424.6145328859998</v>
      </c>
      <c r="M24" s="95">
        <v>1.3698072206441657E-4</v>
      </c>
      <c r="N24" s="95">
        <f t="shared" si="0"/>
        <v>1.9039432137841251E-2</v>
      </c>
      <c r="O24" s="95">
        <f>L24/'סכום נכסי הקרן'!$C$42</f>
        <v>1.4990228777879151E-3</v>
      </c>
    </row>
    <row r="25" spans="2:15">
      <c r="B25" s="87" t="s">
        <v>1157</v>
      </c>
      <c r="C25" s="84" t="s">
        <v>1158</v>
      </c>
      <c r="D25" s="97" t="s">
        <v>124</v>
      </c>
      <c r="E25" s="97" t="s">
        <v>351</v>
      </c>
      <c r="F25" s="84" t="s">
        <v>625</v>
      </c>
      <c r="G25" s="97" t="s">
        <v>481</v>
      </c>
      <c r="H25" s="97" t="s">
        <v>168</v>
      </c>
      <c r="I25" s="94">
        <v>26782.550736000001</v>
      </c>
      <c r="J25" s="96">
        <v>2088</v>
      </c>
      <c r="K25" s="84"/>
      <c r="L25" s="94">
        <v>559.21965937000004</v>
      </c>
      <c r="M25" s="95">
        <v>1.0455674648800966E-4</v>
      </c>
      <c r="N25" s="95">
        <f t="shared" si="0"/>
        <v>7.473758345812008E-3</v>
      </c>
      <c r="O25" s="95">
        <f>L25/'סכום נכסי הקרן'!$C$42</f>
        <v>5.8842798788960268E-4</v>
      </c>
    </row>
    <row r="26" spans="2:15">
      <c r="B26" s="87" t="s">
        <v>1159</v>
      </c>
      <c r="C26" s="84" t="s">
        <v>1160</v>
      </c>
      <c r="D26" s="97" t="s">
        <v>124</v>
      </c>
      <c r="E26" s="97" t="s">
        <v>351</v>
      </c>
      <c r="F26" s="84" t="s">
        <v>480</v>
      </c>
      <c r="G26" s="97" t="s">
        <v>481</v>
      </c>
      <c r="H26" s="97" t="s">
        <v>168</v>
      </c>
      <c r="I26" s="94">
        <v>20191.644562000001</v>
      </c>
      <c r="J26" s="96">
        <v>2695</v>
      </c>
      <c r="K26" s="84"/>
      <c r="L26" s="94">
        <v>544.16482093599996</v>
      </c>
      <c r="M26" s="95">
        <v>9.4186771756548868E-5</v>
      </c>
      <c r="N26" s="95">
        <f t="shared" si="0"/>
        <v>7.2725561482395607E-3</v>
      </c>
      <c r="O26" s="95">
        <f>L26/'סכום נכסי הקרן'!$C$42</f>
        <v>5.7258682755253283E-4</v>
      </c>
    </row>
    <row r="27" spans="2:15">
      <c r="B27" s="87" t="s">
        <v>1161</v>
      </c>
      <c r="C27" s="84" t="s">
        <v>1162</v>
      </c>
      <c r="D27" s="97" t="s">
        <v>124</v>
      </c>
      <c r="E27" s="97" t="s">
        <v>351</v>
      </c>
      <c r="F27" s="84" t="s">
        <v>1163</v>
      </c>
      <c r="G27" s="97" t="s">
        <v>1164</v>
      </c>
      <c r="H27" s="97" t="s">
        <v>168</v>
      </c>
      <c r="I27" s="94">
        <v>5307.9555140000002</v>
      </c>
      <c r="J27" s="96">
        <v>8257</v>
      </c>
      <c r="K27" s="84"/>
      <c r="L27" s="94">
        <v>438.27788646899995</v>
      </c>
      <c r="M27" s="95">
        <v>4.9754302459220746E-5</v>
      </c>
      <c r="N27" s="95">
        <f t="shared" si="0"/>
        <v>5.857417486847134E-3</v>
      </c>
      <c r="O27" s="95">
        <f>L27/'סכום נכסי הקרן'!$C$42</f>
        <v>4.6116936439966728E-4</v>
      </c>
    </row>
    <row r="28" spans="2:15">
      <c r="B28" s="87" t="s">
        <v>1165</v>
      </c>
      <c r="C28" s="84" t="s">
        <v>1166</v>
      </c>
      <c r="D28" s="97" t="s">
        <v>124</v>
      </c>
      <c r="E28" s="97" t="s">
        <v>351</v>
      </c>
      <c r="F28" s="84" t="s">
        <v>929</v>
      </c>
      <c r="G28" s="97" t="s">
        <v>930</v>
      </c>
      <c r="H28" s="97" t="s">
        <v>168</v>
      </c>
      <c r="I28" s="94">
        <v>9780.3806519999998</v>
      </c>
      <c r="J28" s="96">
        <v>3421</v>
      </c>
      <c r="K28" s="84"/>
      <c r="L28" s="94">
        <v>334.58682211900003</v>
      </c>
      <c r="M28" s="95">
        <v>8.9556591831503504E-6</v>
      </c>
      <c r="N28" s="95">
        <f t="shared" si="0"/>
        <v>4.4716257955375142E-3</v>
      </c>
      <c r="O28" s="95">
        <f>L28/'סכום נכסי הקרן'!$C$42</f>
        <v>3.5206246278190388E-4</v>
      </c>
    </row>
    <row r="29" spans="2:15">
      <c r="B29" s="87" t="s">
        <v>1167</v>
      </c>
      <c r="C29" s="84" t="s">
        <v>1168</v>
      </c>
      <c r="D29" s="97" t="s">
        <v>124</v>
      </c>
      <c r="E29" s="97" t="s">
        <v>351</v>
      </c>
      <c r="F29" s="84" t="s">
        <v>925</v>
      </c>
      <c r="G29" s="97" t="s">
        <v>534</v>
      </c>
      <c r="H29" s="97" t="s">
        <v>168</v>
      </c>
      <c r="I29" s="94">
        <v>137562.75039100001</v>
      </c>
      <c r="J29" s="96">
        <v>1625</v>
      </c>
      <c r="K29" s="84"/>
      <c r="L29" s="94">
        <v>2235.3946938510003</v>
      </c>
      <c r="M29" s="95">
        <v>1.0744142395101866E-4</v>
      </c>
      <c r="N29" s="95">
        <f t="shared" si="0"/>
        <v>2.9875201040274885E-2</v>
      </c>
      <c r="O29" s="95">
        <f>L29/'סכום נכסי הקרן'!$C$42</f>
        <v>2.352150500795507E-3</v>
      </c>
    </row>
    <row r="30" spans="2:15">
      <c r="B30" s="87" t="s">
        <v>1169</v>
      </c>
      <c r="C30" s="84" t="s">
        <v>1170</v>
      </c>
      <c r="D30" s="97" t="s">
        <v>124</v>
      </c>
      <c r="E30" s="97" t="s">
        <v>351</v>
      </c>
      <c r="F30" s="84" t="s">
        <v>372</v>
      </c>
      <c r="G30" s="97" t="s">
        <v>359</v>
      </c>
      <c r="H30" s="97" t="s">
        <v>168</v>
      </c>
      <c r="I30" s="94">
        <v>167514.230821</v>
      </c>
      <c r="J30" s="96">
        <v>2514</v>
      </c>
      <c r="K30" s="84"/>
      <c r="L30" s="94">
        <v>4211.3077628330002</v>
      </c>
      <c r="M30" s="95">
        <v>1.1425129972388387E-4</v>
      </c>
      <c r="N30" s="95">
        <f t="shared" si="0"/>
        <v>5.6282528719955989E-2</v>
      </c>
      <c r="O30" s="95">
        <f>L30/'סכום נכסי הקרן'!$C$42</f>
        <v>4.4312665188834454E-3</v>
      </c>
    </row>
    <row r="31" spans="2:15">
      <c r="B31" s="87" t="s">
        <v>1171</v>
      </c>
      <c r="C31" s="84" t="s">
        <v>1172</v>
      </c>
      <c r="D31" s="97" t="s">
        <v>124</v>
      </c>
      <c r="E31" s="97" t="s">
        <v>351</v>
      </c>
      <c r="F31" s="84" t="s">
        <v>377</v>
      </c>
      <c r="G31" s="97" t="s">
        <v>359</v>
      </c>
      <c r="H31" s="97" t="s">
        <v>168</v>
      </c>
      <c r="I31" s="94">
        <v>27249.930138</v>
      </c>
      <c r="J31" s="96">
        <v>9200</v>
      </c>
      <c r="K31" s="84"/>
      <c r="L31" s="94">
        <v>2506.9935727149996</v>
      </c>
      <c r="M31" s="95">
        <v>1.1601952754581429E-4</v>
      </c>
      <c r="N31" s="95">
        <f t="shared" si="0"/>
        <v>3.3505016898161183E-2</v>
      </c>
      <c r="O31" s="95">
        <f>L31/'סכום נכסי הקרן'!$C$42</f>
        <v>2.637935127865055E-3</v>
      </c>
    </row>
    <row r="32" spans="2:15">
      <c r="B32" s="87" t="s">
        <v>1173</v>
      </c>
      <c r="C32" s="84" t="s">
        <v>1174</v>
      </c>
      <c r="D32" s="97" t="s">
        <v>124</v>
      </c>
      <c r="E32" s="97" t="s">
        <v>351</v>
      </c>
      <c r="F32" s="84" t="s">
        <v>510</v>
      </c>
      <c r="G32" s="97" t="s">
        <v>421</v>
      </c>
      <c r="H32" s="97" t="s">
        <v>168</v>
      </c>
      <c r="I32" s="94">
        <v>5721.2144850000004</v>
      </c>
      <c r="J32" s="96">
        <v>22050</v>
      </c>
      <c r="K32" s="84"/>
      <c r="L32" s="94">
        <v>1261.5277939269999</v>
      </c>
      <c r="M32" s="95">
        <v>1.2060858155754167E-4</v>
      </c>
      <c r="N32" s="95">
        <f t="shared" si="0"/>
        <v>1.6859839814926079E-2</v>
      </c>
      <c r="O32" s="95">
        <f>L32/'סכום נכסי הקרן'!$C$42</f>
        <v>1.3274180351305017E-3</v>
      </c>
    </row>
    <row r="33" spans="2:15">
      <c r="B33" s="87" t="s">
        <v>1175</v>
      </c>
      <c r="C33" s="84" t="s">
        <v>1176</v>
      </c>
      <c r="D33" s="97" t="s">
        <v>124</v>
      </c>
      <c r="E33" s="97" t="s">
        <v>351</v>
      </c>
      <c r="F33" s="84" t="s">
        <v>1177</v>
      </c>
      <c r="G33" s="97" t="s">
        <v>196</v>
      </c>
      <c r="H33" s="97" t="s">
        <v>168</v>
      </c>
      <c r="I33" s="94">
        <v>837.75729799999999</v>
      </c>
      <c r="J33" s="96">
        <v>53560</v>
      </c>
      <c r="K33" s="84"/>
      <c r="L33" s="94">
        <v>448.70280891899995</v>
      </c>
      <c r="M33" s="95">
        <v>1.3483123991450189E-5</v>
      </c>
      <c r="N33" s="95">
        <f t="shared" si="0"/>
        <v>5.9967426158186463E-3</v>
      </c>
      <c r="O33" s="95">
        <f>L33/'סכום נכסי הקרן'!$C$42</f>
        <v>4.7213878587542402E-4</v>
      </c>
    </row>
    <row r="34" spans="2:15">
      <c r="B34" s="87" t="s">
        <v>1178</v>
      </c>
      <c r="C34" s="84" t="s">
        <v>1179</v>
      </c>
      <c r="D34" s="97" t="s">
        <v>124</v>
      </c>
      <c r="E34" s="97" t="s">
        <v>351</v>
      </c>
      <c r="F34" s="84" t="s">
        <v>399</v>
      </c>
      <c r="G34" s="97" t="s">
        <v>359</v>
      </c>
      <c r="H34" s="97" t="s">
        <v>168</v>
      </c>
      <c r="I34" s="94">
        <v>152557.40126499999</v>
      </c>
      <c r="J34" s="96">
        <v>2865</v>
      </c>
      <c r="K34" s="84"/>
      <c r="L34" s="94">
        <v>4370.7695462470001</v>
      </c>
      <c r="M34" s="95">
        <v>1.1426081444247503E-4</v>
      </c>
      <c r="N34" s="95">
        <f t="shared" si="0"/>
        <v>5.8413674888835442E-2</v>
      </c>
      <c r="O34" s="95">
        <f>L34/'סכום נכסי הקרן'!$C$42</f>
        <v>4.599057072715719E-3</v>
      </c>
    </row>
    <row r="35" spans="2:15">
      <c r="B35" s="87" t="s">
        <v>1180</v>
      </c>
      <c r="C35" s="84" t="s">
        <v>1181</v>
      </c>
      <c r="D35" s="97" t="s">
        <v>124</v>
      </c>
      <c r="E35" s="97" t="s">
        <v>351</v>
      </c>
      <c r="F35" s="84" t="s">
        <v>620</v>
      </c>
      <c r="G35" s="97" t="s">
        <v>485</v>
      </c>
      <c r="H35" s="97" t="s">
        <v>168</v>
      </c>
      <c r="I35" s="94">
        <v>2303.4228499999999</v>
      </c>
      <c r="J35" s="96">
        <v>48890</v>
      </c>
      <c r="K35" s="84"/>
      <c r="L35" s="94">
        <v>1126.1434315460001</v>
      </c>
      <c r="M35" s="95">
        <v>2.262905971167441E-4</v>
      </c>
      <c r="N35" s="95">
        <f t="shared" si="0"/>
        <v>1.5050479233115827E-2</v>
      </c>
      <c r="O35" s="95">
        <f>L35/'סכום נכסי הקרן'!$C$42</f>
        <v>1.1849624783331681E-3</v>
      </c>
    </row>
    <row r="36" spans="2:15">
      <c r="B36" s="87" t="s">
        <v>1182</v>
      </c>
      <c r="C36" s="84" t="s">
        <v>1183</v>
      </c>
      <c r="D36" s="97" t="s">
        <v>124</v>
      </c>
      <c r="E36" s="97" t="s">
        <v>351</v>
      </c>
      <c r="F36" s="84" t="s">
        <v>1184</v>
      </c>
      <c r="G36" s="97" t="s">
        <v>930</v>
      </c>
      <c r="H36" s="97" t="s">
        <v>168</v>
      </c>
      <c r="I36" s="94">
        <v>2438.111163</v>
      </c>
      <c r="J36" s="96">
        <v>17810</v>
      </c>
      <c r="K36" s="84"/>
      <c r="L36" s="94">
        <v>434.22759804499998</v>
      </c>
      <c r="M36" s="95">
        <v>1.7937257781271648E-5</v>
      </c>
      <c r="N36" s="95">
        <f t="shared" si="0"/>
        <v>5.8032869204326454E-3</v>
      </c>
      <c r="O36" s="95">
        <f>L36/'סכום נכסי הקרן'!$C$42</f>
        <v>4.5690752734195043E-4</v>
      </c>
    </row>
    <row r="37" spans="2:15">
      <c r="B37" s="87" t="s">
        <v>1185</v>
      </c>
      <c r="C37" s="84" t="s">
        <v>1186</v>
      </c>
      <c r="D37" s="97" t="s">
        <v>124</v>
      </c>
      <c r="E37" s="97" t="s">
        <v>351</v>
      </c>
      <c r="F37" s="84" t="s">
        <v>435</v>
      </c>
      <c r="G37" s="97" t="s">
        <v>421</v>
      </c>
      <c r="H37" s="97" t="s">
        <v>168</v>
      </c>
      <c r="I37" s="94">
        <v>10953.437534999999</v>
      </c>
      <c r="J37" s="96">
        <v>25250</v>
      </c>
      <c r="K37" s="84"/>
      <c r="L37" s="94">
        <v>2765.742977675</v>
      </c>
      <c r="M37" s="95">
        <v>9.0320674939697911E-5</v>
      </c>
      <c r="N37" s="95">
        <f t="shared" si="0"/>
        <v>3.6963104417781452E-2</v>
      </c>
      <c r="O37" s="95">
        <f>L37/'סכום נכסי הקרן'!$C$42</f>
        <v>2.910199146443678E-3</v>
      </c>
    </row>
    <row r="38" spans="2:15">
      <c r="B38" s="87" t="s">
        <v>1187</v>
      </c>
      <c r="C38" s="84" t="s">
        <v>1188</v>
      </c>
      <c r="D38" s="97" t="s">
        <v>124</v>
      </c>
      <c r="E38" s="97" t="s">
        <v>351</v>
      </c>
      <c r="F38" s="84" t="s">
        <v>530</v>
      </c>
      <c r="G38" s="97" t="s">
        <v>155</v>
      </c>
      <c r="H38" s="97" t="s">
        <v>168</v>
      </c>
      <c r="I38" s="94">
        <v>34884.577002999999</v>
      </c>
      <c r="J38" s="96">
        <v>2198</v>
      </c>
      <c r="K38" s="84"/>
      <c r="L38" s="94">
        <v>766.76300252299984</v>
      </c>
      <c r="M38" s="95">
        <v>1.4647758640690998E-4</v>
      </c>
      <c r="N38" s="95">
        <f t="shared" si="0"/>
        <v>1.0247496298363449E-2</v>
      </c>
      <c r="O38" s="95">
        <f>L38/'סכום נכסי הקרן'!$C$42</f>
        <v>8.068114258913756E-4</v>
      </c>
    </row>
    <row r="39" spans="2:15">
      <c r="B39" s="87" t="s">
        <v>1189</v>
      </c>
      <c r="C39" s="84" t="s">
        <v>1190</v>
      </c>
      <c r="D39" s="97" t="s">
        <v>124</v>
      </c>
      <c r="E39" s="97" t="s">
        <v>351</v>
      </c>
      <c r="F39" s="84" t="s">
        <v>741</v>
      </c>
      <c r="G39" s="97" t="s">
        <v>742</v>
      </c>
      <c r="H39" s="97" t="s">
        <v>168</v>
      </c>
      <c r="I39" s="94">
        <v>12908.704235000001</v>
      </c>
      <c r="J39" s="96">
        <v>10590</v>
      </c>
      <c r="K39" s="84"/>
      <c r="L39" s="94">
        <v>1367.031778472</v>
      </c>
      <c r="M39" s="95">
        <v>1.1147523496174212E-4</v>
      </c>
      <c r="N39" s="95">
        <f t="shared" si="0"/>
        <v>1.8269860496062235E-2</v>
      </c>
      <c r="O39" s="95">
        <f>L39/'סכום נכסי הקרן'!$C$42</f>
        <v>1.4384325466912885E-3</v>
      </c>
    </row>
    <row r="40" spans="2:15">
      <c r="B40" s="87" t="s">
        <v>1191</v>
      </c>
      <c r="C40" s="84" t="s">
        <v>1192</v>
      </c>
      <c r="D40" s="97" t="s">
        <v>124</v>
      </c>
      <c r="E40" s="97" t="s">
        <v>351</v>
      </c>
      <c r="F40" s="84" t="s">
        <v>870</v>
      </c>
      <c r="G40" s="97" t="s">
        <v>871</v>
      </c>
      <c r="H40" s="97" t="s">
        <v>168</v>
      </c>
      <c r="I40" s="94">
        <v>44462.958814999998</v>
      </c>
      <c r="J40" s="96">
        <v>2108</v>
      </c>
      <c r="K40" s="84"/>
      <c r="L40" s="94">
        <v>937.27917182499982</v>
      </c>
      <c r="M40" s="95">
        <v>1.2514779373394157E-4</v>
      </c>
      <c r="N40" s="95">
        <f t="shared" si="0"/>
        <v>1.2526380135981769E-2</v>
      </c>
      <c r="O40" s="95">
        <f>L40/'סכום נכסי הקרן'!$C$42</f>
        <v>9.8623374183437148E-4</v>
      </c>
    </row>
    <row r="41" spans="2:15">
      <c r="B41" s="83"/>
      <c r="C41" s="84"/>
      <c r="D41" s="84"/>
      <c r="E41" s="84"/>
      <c r="F41" s="84"/>
      <c r="G41" s="84"/>
      <c r="H41" s="84"/>
      <c r="I41" s="94"/>
      <c r="J41" s="96"/>
      <c r="K41" s="84"/>
      <c r="L41" s="84"/>
      <c r="M41" s="84"/>
      <c r="N41" s="95"/>
      <c r="O41" s="84"/>
    </row>
    <row r="42" spans="2:15">
      <c r="B42" s="102" t="s">
        <v>1193</v>
      </c>
      <c r="C42" s="82"/>
      <c r="D42" s="82"/>
      <c r="E42" s="82"/>
      <c r="F42" s="82"/>
      <c r="G42" s="82"/>
      <c r="H42" s="82"/>
      <c r="I42" s="91"/>
      <c r="J42" s="93"/>
      <c r="K42" s="91">
        <v>89.200019254999987</v>
      </c>
      <c r="L42" s="91">
        <v>15883.89148602</v>
      </c>
      <c r="M42" s="82"/>
      <c r="N42" s="92">
        <f t="shared" ref="N42:N83" si="1">L42/$L$11</f>
        <v>0.21228217672345789</v>
      </c>
      <c r="O42" s="92">
        <f>L42/'סכום נכסי הקרן'!$C$42</f>
        <v>1.6713515253567898E-2</v>
      </c>
    </row>
    <row r="43" spans="2:15">
      <c r="B43" s="87" t="s">
        <v>1194</v>
      </c>
      <c r="C43" s="84" t="s">
        <v>1195</v>
      </c>
      <c r="D43" s="97" t="s">
        <v>124</v>
      </c>
      <c r="E43" s="97" t="s">
        <v>351</v>
      </c>
      <c r="F43" s="84" t="s">
        <v>1196</v>
      </c>
      <c r="G43" s="97" t="s">
        <v>1197</v>
      </c>
      <c r="H43" s="97" t="s">
        <v>168</v>
      </c>
      <c r="I43" s="94">
        <v>60523.895746999995</v>
      </c>
      <c r="J43" s="96">
        <v>260.39999999999998</v>
      </c>
      <c r="K43" s="84"/>
      <c r="L43" s="94">
        <v>157.604224515</v>
      </c>
      <c r="M43" s="95">
        <v>2.0388500695682482E-4</v>
      </c>
      <c r="N43" s="95">
        <f t="shared" si="1"/>
        <v>2.1063205997285442E-3</v>
      </c>
      <c r="O43" s="95">
        <f>L43/'סכום נכסי הקרן'!$C$42</f>
        <v>1.65835973682934E-4</v>
      </c>
    </row>
    <row r="44" spans="2:15">
      <c r="B44" s="87" t="s">
        <v>1198</v>
      </c>
      <c r="C44" s="84" t="s">
        <v>1199</v>
      </c>
      <c r="D44" s="97" t="s">
        <v>124</v>
      </c>
      <c r="E44" s="97" t="s">
        <v>351</v>
      </c>
      <c r="F44" s="84" t="s">
        <v>891</v>
      </c>
      <c r="G44" s="97" t="s">
        <v>485</v>
      </c>
      <c r="H44" s="97" t="s">
        <v>168</v>
      </c>
      <c r="I44" s="94">
        <v>28239.375049999999</v>
      </c>
      <c r="J44" s="96">
        <v>2933</v>
      </c>
      <c r="K44" s="84"/>
      <c r="L44" s="94">
        <v>828.26087021500007</v>
      </c>
      <c r="M44" s="95">
        <v>1.9698283730215681E-4</v>
      </c>
      <c r="N44" s="95">
        <f t="shared" si="1"/>
        <v>1.1069391942072619E-2</v>
      </c>
      <c r="O44" s="95">
        <f>L44/'סכום נכסי הקרן'!$C$42</f>
        <v>8.7152135863278167E-4</v>
      </c>
    </row>
    <row r="45" spans="2:15">
      <c r="B45" s="87" t="s">
        <v>1200</v>
      </c>
      <c r="C45" s="84" t="s">
        <v>1201</v>
      </c>
      <c r="D45" s="97" t="s">
        <v>124</v>
      </c>
      <c r="E45" s="97" t="s">
        <v>351</v>
      </c>
      <c r="F45" s="84" t="s">
        <v>666</v>
      </c>
      <c r="G45" s="97" t="s">
        <v>667</v>
      </c>
      <c r="H45" s="97" t="s">
        <v>168</v>
      </c>
      <c r="I45" s="94">
        <v>26006.792872000002</v>
      </c>
      <c r="J45" s="96">
        <v>700.4</v>
      </c>
      <c r="K45" s="84"/>
      <c r="L45" s="94">
        <v>182.15157727300002</v>
      </c>
      <c r="M45" s="95">
        <v>1.2340681654157251E-4</v>
      </c>
      <c r="N45" s="95">
        <f t="shared" si="1"/>
        <v>2.4343866458138618E-3</v>
      </c>
      <c r="O45" s="95">
        <f>L45/'סכום נכסי הקרן'!$C$42</f>
        <v>1.9166544721696318E-4</v>
      </c>
    </row>
    <row r="46" spans="2:15">
      <c r="B46" s="87" t="s">
        <v>1202</v>
      </c>
      <c r="C46" s="84" t="s">
        <v>1203</v>
      </c>
      <c r="D46" s="97" t="s">
        <v>124</v>
      </c>
      <c r="E46" s="97" t="s">
        <v>351</v>
      </c>
      <c r="F46" s="84" t="s">
        <v>878</v>
      </c>
      <c r="G46" s="97" t="s">
        <v>481</v>
      </c>
      <c r="H46" s="97" t="s">
        <v>168</v>
      </c>
      <c r="I46" s="94">
        <v>1686.801592</v>
      </c>
      <c r="J46" s="96">
        <v>12600</v>
      </c>
      <c r="K46" s="84"/>
      <c r="L46" s="94">
        <v>212.5370006</v>
      </c>
      <c r="M46" s="95">
        <v>1.1494457186901211E-4</v>
      </c>
      <c r="N46" s="95">
        <f t="shared" si="1"/>
        <v>2.840476287649833E-3</v>
      </c>
      <c r="O46" s="95">
        <f>L46/'סכום נכסי הקרן'!$C$42</f>
        <v>2.2363791672853767E-4</v>
      </c>
    </row>
    <row r="47" spans="2:15">
      <c r="B47" s="87" t="s">
        <v>1204</v>
      </c>
      <c r="C47" s="84" t="s">
        <v>1205</v>
      </c>
      <c r="D47" s="97" t="s">
        <v>124</v>
      </c>
      <c r="E47" s="97" t="s">
        <v>351</v>
      </c>
      <c r="F47" s="84" t="s">
        <v>1206</v>
      </c>
      <c r="G47" s="97" t="s">
        <v>871</v>
      </c>
      <c r="H47" s="97" t="s">
        <v>168</v>
      </c>
      <c r="I47" s="94">
        <v>24771.237335000002</v>
      </c>
      <c r="J47" s="96">
        <v>1499</v>
      </c>
      <c r="K47" s="84"/>
      <c r="L47" s="94">
        <v>371.32084764699994</v>
      </c>
      <c r="M47" s="95">
        <v>2.2764572168727692E-4</v>
      </c>
      <c r="N47" s="95">
        <f t="shared" si="1"/>
        <v>4.9625620944767374E-3</v>
      </c>
      <c r="O47" s="95">
        <f>L47/'סכום נכסי הקרן'!$C$42</f>
        <v>3.9071512523099845E-4</v>
      </c>
    </row>
    <row r="48" spans="2:15">
      <c r="B48" s="87" t="s">
        <v>1207</v>
      </c>
      <c r="C48" s="84" t="s">
        <v>1208</v>
      </c>
      <c r="D48" s="97" t="s">
        <v>124</v>
      </c>
      <c r="E48" s="97" t="s">
        <v>351</v>
      </c>
      <c r="F48" s="84" t="s">
        <v>1209</v>
      </c>
      <c r="G48" s="97" t="s">
        <v>196</v>
      </c>
      <c r="H48" s="97" t="s">
        <v>168</v>
      </c>
      <c r="I48" s="94">
        <v>354.46070500000002</v>
      </c>
      <c r="J48" s="96">
        <v>2949</v>
      </c>
      <c r="K48" s="84"/>
      <c r="L48" s="94">
        <v>10.453046185</v>
      </c>
      <c r="M48" s="95">
        <v>1.033083119774246E-5</v>
      </c>
      <c r="N48" s="95">
        <f t="shared" si="1"/>
        <v>1.3970099200788782E-4</v>
      </c>
      <c r="O48" s="95">
        <f>L48/'סכום נכסי הקרן'!$C$42</f>
        <v>1.0999014127804476E-5</v>
      </c>
    </row>
    <row r="49" spans="2:15">
      <c r="B49" s="87" t="s">
        <v>1210</v>
      </c>
      <c r="C49" s="84" t="s">
        <v>1211</v>
      </c>
      <c r="D49" s="97" t="s">
        <v>124</v>
      </c>
      <c r="E49" s="97" t="s">
        <v>351</v>
      </c>
      <c r="F49" s="84" t="s">
        <v>828</v>
      </c>
      <c r="G49" s="97" t="s">
        <v>709</v>
      </c>
      <c r="H49" s="97" t="s">
        <v>168</v>
      </c>
      <c r="I49" s="94">
        <v>813.03399899999999</v>
      </c>
      <c r="J49" s="96">
        <v>153300</v>
      </c>
      <c r="K49" s="84"/>
      <c r="L49" s="94">
        <v>1246.3811200069999</v>
      </c>
      <c r="M49" s="95">
        <v>2.2294749463289376E-4</v>
      </c>
      <c r="N49" s="95">
        <f t="shared" si="1"/>
        <v>1.6657410270964009E-2</v>
      </c>
      <c r="O49" s="95">
        <f>L49/'סכום נכסי הקרן'!$C$42</f>
        <v>1.3114802426930786E-3</v>
      </c>
    </row>
    <row r="50" spans="2:15">
      <c r="B50" s="87" t="s">
        <v>1212</v>
      </c>
      <c r="C50" s="84" t="s">
        <v>1213</v>
      </c>
      <c r="D50" s="97" t="s">
        <v>124</v>
      </c>
      <c r="E50" s="97" t="s">
        <v>351</v>
      </c>
      <c r="F50" s="84" t="s">
        <v>1214</v>
      </c>
      <c r="G50" s="97" t="s">
        <v>194</v>
      </c>
      <c r="H50" s="97" t="s">
        <v>168</v>
      </c>
      <c r="I50" s="94">
        <v>119799.17104</v>
      </c>
      <c r="J50" s="96">
        <v>434</v>
      </c>
      <c r="K50" s="84"/>
      <c r="L50" s="94">
        <v>519.92840231399998</v>
      </c>
      <c r="M50" s="95">
        <v>1.5927683582936953E-4</v>
      </c>
      <c r="N50" s="95">
        <f t="shared" si="1"/>
        <v>6.9486456187835156E-3</v>
      </c>
      <c r="O50" s="95">
        <f>L50/'סכום נכסי הקרן'!$C$42</f>
        <v>5.4708452840328628E-4</v>
      </c>
    </row>
    <row r="51" spans="2:15">
      <c r="B51" s="87" t="s">
        <v>1215</v>
      </c>
      <c r="C51" s="84" t="s">
        <v>1216</v>
      </c>
      <c r="D51" s="97" t="s">
        <v>124</v>
      </c>
      <c r="E51" s="97" t="s">
        <v>351</v>
      </c>
      <c r="F51" s="84" t="s">
        <v>1217</v>
      </c>
      <c r="G51" s="97" t="s">
        <v>194</v>
      </c>
      <c r="H51" s="97" t="s">
        <v>168</v>
      </c>
      <c r="I51" s="94">
        <v>53195.950833000003</v>
      </c>
      <c r="J51" s="96">
        <v>1031</v>
      </c>
      <c r="K51" s="84"/>
      <c r="L51" s="94">
        <v>548.450253084</v>
      </c>
      <c r="M51" s="95">
        <v>1.2560738172615862E-4</v>
      </c>
      <c r="N51" s="95">
        <f t="shared" si="1"/>
        <v>7.3298293212135015E-3</v>
      </c>
      <c r="O51" s="95">
        <f>L51/'סכום נכסי הקרן'!$C$42</f>
        <v>5.7709609001109149E-4</v>
      </c>
    </row>
    <row r="52" spans="2:15">
      <c r="B52" s="87" t="s">
        <v>1218</v>
      </c>
      <c r="C52" s="84" t="s">
        <v>1219</v>
      </c>
      <c r="D52" s="97" t="s">
        <v>124</v>
      </c>
      <c r="E52" s="97" t="s">
        <v>351</v>
      </c>
      <c r="F52" s="84" t="s">
        <v>1220</v>
      </c>
      <c r="G52" s="97" t="s">
        <v>1221</v>
      </c>
      <c r="H52" s="97" t="s">
        <v>168</v>
      </c>
      <c r="I52" s="94">
        <v>801.31929300000002</v>
      </c>
      <c r="J52" s="96">
        <v>14290</v>
      </c>
      <c r="K52" s="84"/>
      <c r="L52" s="94">
        <v>114.50852699100001</v>
      </c>
      <c r="M52" s="95">
        <v>1.5844497368014144E-4</v>
      </c>
      <c r="N52" s="95">
        <f t="shared" si="1"/>
        <v>1.5303629708400355E-3</v>
      </c>
      <c r="O52" s="95">
        <f>L52/'סכום נכסי הקרן'!$C$42</f>
        <v>1.2048936585924874E-4</v>
      </c>
    </row>
    <row r="53" spans="2:15">
      <c r="B53" s="87" t="s">
        <v>1222</v>
      </c>
      <c r="C53" s="84" t="s">
        <v>1223</v>
      </c>
      <c r="D53" s="97" t="s">
        <v>124</v>
      </c>
      <c r="E53" s="97" t="s">
        <v>351</v>
      </c>
      <c r="F53" s="84" t="s">
        <v>1224</v>
      </c>
      <c r="G53" s="97" t="s">
        <v>709</v>
      </c>
      <c r="H53" s="97" t="s">
        <v>168</v>
      </c>
      <c r="I53" s="94">
        <v>1584.1358950000001</v>
      </c>
      <c r="J53" s="96">
        <v>10240</v>
      </c>
      <c r="K53" s="84"/>
      <c r="L53" s="94">
        <v>162.215515681</v>
      </c>
      <c r="M53" s="95">
        <v>4.3602826283213441E-5</v>
      </c>
      <c r="N53" s="95">
        <f t="shared" si="1"/>
        <v>2.1679487547109485E-3</v>
      </c>
      <c r="O53" s="95">
        <f>L53/'סכום נכסי הקרן'!$C$42</f>
        <v>1.7068811494248723E-4</v>
      </c>
    </row>
    <row r="54" spans="2:15">
      <c r="B54" s="87" t="s">
        <v>1225</v>
      </c>
      <c r="C54" s="84" t="s">
        <v>1226</v>
      </c>
      <c r="D54" s="97" t="s">
        <v>124</v>
      </c>
      <c r="E54" s="97" t="s">
        <v>351</v>
      </c>
      <c r="F54" s="84" t="s">
        <v>1227</v>
      </c>
      <c r="G54" s="97" t="s">
        <v>1228</v>
      </c>
      <c r="H54" s="97" t="s">
        <v>168</v>
      </c>
      <c r="I54" s="94">
        <v>4102.9768000000004</v>
      </c>
      <c r="J54" s="96">
        <v>6056</v>
      </c>
      <c r="K54" s="84"/>
      <c r="L54" s="94">
        <v>248.47627501099998</v>
      </c>
      <c r="M54" s="95">
        <v>1.6590602589620492E-4</v>
      </c>
      <c r="N54" s="95">
        <f t="shared" si="1"/>
        <v>3.3207910397710966E-3</v>
      </c>
      <c r="O54" s="95">
        <f>L54/'סכום נכסי הקרן'!$C$42</f>
        <v>2.6145431780374545E-4</v>
      </c>
    </row>
    <row r="55" spans="2:15">
      <c r="B55" s="87" t="s">
        <v>1229</v>
      </c>
      <c r="C55" s="84" t="s">
        <v>1230</v>
      </c>
      <c r="D55" s="97" t="s">
        <v>124</v>
      </c>
      <c r="E55" s="97" t="s">
        <v>351</v>
      </c>
      <c r="F55" s="84" t="s">
        <v>477</v>
      </c>
      <c r="G55" s="97" t="s">
        <v>421</v>
      </c>
      <c r="H55" s="97" t="s">
        <v>168</v>
      </c>
      <c r="I55" s="94">
        <v>790.054666</v>
      </c>
      <c r="J55" s="96">
        <v>265400</v>
      </c>
      <c r="K55" s="84"/>
      <c r="L55" s="94">
        <v>2096.8050845729999</v>
      </c>
      <c r="M55" s="95">
        <v>3.6974508822958178E-4</v>
      </c>
      <c r="N55" s="95">
        <f t="shared" si="1"/>
        <v>2.8023003551096545E-2</v>
      </c>
      <c r="O55" s="95">
        <f>L55/'סכום נכסי הקרן'!$C$42</f>
        <v>2.2063222854181511E-3</v>
      </c>
    </row>
    <row r="56" spans="2:15">
      <c r="B56" s="87" t="s">
        <v>1231</v>
      </c>
      <c r="C56" s="84" t="s">
        <v>1232</v>
      </c>
      <c r="D56" s="97" t="s">
        <v>124</v>
      </c>
      <c r="E56" s="97" t="s">
        <v>351</v>
      </c>
      <c r="F56" s="84" t="s">
        <v>1233</v>
      </c>
      <c r="G56" s="97" t="s">
        <v>667</v>
      </c>
      <c r="H56" s="97" t="s">
        <v>168</v>
      </c>
      <c r="I56" s="94">
        <v>1913.4147399999999</v>
      </c>
      <c r="J56" s="96">
        <v>10140</v>
      </c>
      <c r="K56" s="84"/>
      <c r="L56" s="94">
        <v>194.02025461700001</v>
      </c>
      <c r="M56" s="95">
        <v>1.0227859386030617E-4</v>
      </c>
      <c r="N56" s="95">
        <f t="shared" si="1"/>
        <v>2.5930070105796509E-3</v>
      </c>
      <c r="O56" s="95">
        <f>L56/'סכום נכסי הקרן'!$C$42</f>
        <v>2.041540316424618E-4</v>
      </c>
    </row>
    <row r="57" spans="2:15">
      <c r="B57" s="87" t="s">
        <v>1234</v>
      </c>
      <c r="C57" s="84" t="s">
        <v>1235</v>
      </c>
      <c r="D57" s="97" t="s">
        <v>124</v>
      </c>
      <c r="E57" s="97" t="s">
        <v>351</v>
      </c>
      <c r="F57" s="84" t="s">
        <v>1236</v>
      </c>
      <c r="G57" s="97" t="s">
        <v>160</v>
      </c>
      <c r="H57" s="97" t="s">
        <v>168</v>
      </c>
      <c r="I57" s="94">
        <v>1556.321821</v>
      </c>
      <c r="J57" s="96">
        <v>32140</v>
      </c>
      <c r="K57" s="84"/>
      <c r="L57" s="94">
        <v>500.20183311699998</v>
      </c>
      <c r="M57" s="95">
        <v>2.9438681484098835E-4</v>
      </c>
      <c r="N57" s="95">
        <f t="shared" si="1"/>
        <v>6.685007513970804E-3</v>
      </c>
      <c r="O57" s="95">
        <f>L57/'סכום נכסי הקרן'!$C$42</f>
        <v>5.2632763041863281E-4</v>
      </c>
    </row>
    <row r="58" spans="2:15">
      <c r="B58" s="87" t="s">
        <v>1237</v>
      </c>
      <c r="C58" s="84" t="s">
        <v>1238</v>
      </c>
      <c r="D58" s="97" t="s">
        <v>124</v>
      </c>
      <c r="E58" s="97" t="s">
        <v>351</v>
      </c>
      <c r="F58" s="84" t="s">
        <v>1239</v>
      </c>
      <c r="G58" s="97" t="s">
        <v>871</v>
      </c>
      <c r="H58" s="97" t="s">
        <v>168</v>
      </c>
      <c r="I58" s="94">
        <v>3657.8398099999995</v>
      </c>
      <c r="J58" s="96">
        <v>6647</v>
      </c>
      <c r="K58" s="84"/>
      <c r="L58" s="94">
        <v>243.13661217199999</v>
      </c>
      <c r="M58" s="95">
        <v>2.6045909100068729E-4</v>
      </c>
      <c r="N58" s="95">
        <f t="shared" si="1"/>
        <v>3.2494284740276873E-3</v>
      </c>
      <c r="O58" s="95">
        <f>L58/'סכום נכסי הקרן'!$C$42</f>
        <v>2.5583576164657935E-4</v>
      </c>
    </row>
    <row r="59" spans="2:15">
      <c r="B59" s="87" t="s">
        <v>1240</v>
      </c>
      <c r="C59" s="84" t="s">
        <v>1241</v>
      </c>
      <c r="D59" s="97" t="s">
        <v>124</v>
      </c>
      <c r="E59" s="97" t="s">
        <v>351</v>
      </c>
      <c r="F59" s="84" t="s">
        <v>1242</v>
      </c>
      <c r="G59" s="97" t="s">
        <v>1243</v>
      </c>
      <c r="H59" s="97" t="s">
        <v>168</v>
      </c>
      <c r="I59" s="94">
        <v>1177.4680940000001</v>
      </c>
      <c r="J59" s="96">
        <v>26410</v>
      </c>
      <c r="K59" s="84"/>
      <c r="L59" s="94">
        <v>310.96932364000003</v>
      </c>
      <c r="M59" s="95">
        <v>1.7332489192476951E-4</v>
      </c>
      <c r="N59" s="95">
        <f t="shared" si="1"/>
        <v>4.1559868987156804E-3</v>
      </c>
      <c r="O59" s="95">
        <f>L59/'סכום נכסי הקרן'!$C$42</f>
        <v>3.2721141029093832E-4</v>
      </c>
    </row>
    <row r="60" spans="2:15">
      <c r="B60" s="87" t="s">
        <v>1244</v>
      </c>
      <c r="C60" s="84" t="s">
        <v>1245</v>
      </c>
      <c r="D60" s="97" t="s">
        <v>124</v>
      </c>
      <c r="E60" s="97" t="s">
        <v>351</v>
      </c>
      <c r="F60" s="84" t="s">
        <v>1246</v>
      </c>
      <c r="G60" s="97" t="s">
        <v>1243</v>
      </c>
      <c r="H60" s="97" t="s">
        <v>168</v>
      </c>
      <c r="I60" s="94">
        <v>4175.5728749999998</v>
      </c>
      <c r="J60" s="96">
        <v>13900</v>
      </c>
      <c r="K60" s="84"/>
      <c r="L60" s="94">
        <v>580.40462955800001</v>
      </c>
      <c r="M60" s="95">
        <v>1.8572400764375167E-4</v>
      </c>
      <c r="N60" s="95">
        <f t="shared" si="1"/>
        <v>7.7568874259425508E-3</v>
      </c>
      <c r="O60" s="95">
        <f>L60/'סכום נכסי הקרן'!$C$42</f>
        <v>6.1071945989412703E-4</v>
      </c>
    </row>
    <row r="61" spans="2:15">
      <c r="B61" s="87" t="s">
        <v>1247</v>
      </c>
      <c r="C61" s="84" t="s">
        <v>1248</v>
      </c>
      <c r="D61" s="97" t="s">
        <v>124</v>
      </c>
      <c r="E61" s="97" t="s">
        <v>351</v>
      </c>
      <c r="F61" s="84" t="s">
        <v>756</v>
      </c>
      <c r="G61" s="97" t="s">
        <v>161</v>
      </c>
      <c r="H61" s="97" t="s">
        <v>168</v>
      </c>
      <c r="I61" s="94">
        <v>21768.3135</v>
      </c>
      <c r="J61" s="96">
        <v>1291</v>
      </c>
      <c r="K61" s="84"/>
      <c r="L61" s="94">
        <v>281.02892728500001</v>
      </c>
      <c r="M61" s="95">
        <v>1.0884156750000001E-4</v>
      </c>
      <c r="N61" s="95">
        <f t="shared" si="1"/>
        <v>3.755844873331254E-3</v>
      </c>
      <c r="O61" s="95">
        <f>L61/'סכום נכסי הקרן'!$C$42</f>
        <v>2.9570721173747996E-4</v>
      </c>
    </row>
    <row r="62" spans="2:15">
      <c r="B62" s="87" t="s">
        <v>1249</v>
      </c>
      <c r="C62" s="84" t="s">
        <v>1250</v>
      </c>
      <c r="D62" s="97" t="s">
        <v>124</v>
      </c>
      <c r="E62" s="97" t="s">
        <v>351</v>
      </c>
      <c r="F62" s="84" t="s">
        <v>906</v>
      </c>
      <c r="G62" s="97" t="s">
        <v>150</v>
      </c>
      <c r="H62" s="97" t="s">
        <v>168</v>
      </c>
      <c r="I62" s="94">
        <v>2041517.3885969999</v>
      </c>
      <c r="J62" s="96">
        <v>62.7</v>
      </c>
      <c r="K62" s="94">
        <v>89.200019254999987</v>
      </c>
      <c r="L62" s="94">
        <v>1369.2314219130001</v>
      </c>
      <c r="M62" s="95">
        <v>3.9404579553836542E-4</v>
      </c>
      <c r="N62" s="95">
        <f t="shared" si="1"/>
        <v>1.8299257895187125E-2</v>
      </c>
      <c r="O62" s="95">
        <f>L62/'סכום נכסי הקרן'!$C$42</f>
        <v>1.4407470786330309E-3</v>
      </c>
    </row>
    <row r="63" spans="2:15">
      <c r="B63" s="87" t="s">
        <v>1251</v>
      </c>
      <c r="C63" s="84" t="s">
        <v>1252</v>
      </c>
      <c r="D63" s="97" t="s">
        <v>124</v>
      </c>
      <c r="E63" s="97" t="s">
        <v>351</v>
      </c>
      <c r="F63" s="84" t="s">
        <v>492</v>
      </c>
      <c r="G63" s="97" t="s">
        <v>421</v>
      </c>
      <c r="H63" s="97" t="s">
        <v>168</v>
      </c>
      <c r="I63" s="94">
        <v>363.62841800000001</v>
      </c>
      <c r="J63" s="96">
        <v>76010</v>
      </c>
      <c r="K63" s="84"/>
      <c r="L63" s="94">
        <v>276.39396017600001</v>
      </c>
      <c r="M63" s="95">
        <v>6.729004740283677E-5</v>
      </c>
      <c r="N63" s="95">
        <f t="shared" si="1"/>
        <v>3.693900298363203E-3</v>
      </c>
      <c r="O63" s="95">
        <f>L63/'סכום נכסי הקרן'!$C$42</f>
        <v>2.9083015792832754E-4</v>
      </c>
    </row>
    <row r="64" spans="2:15">
      <c r="B64" s="87" t="s">
        <v>1253</v>
      </c>
      <c r="C64" s="84" t="s">
        <v>1254</v>
      </c>
      <c r="D64" s="97" t="s">
        <v>124</v>
      </c>
      <c r="E64" s="97" t="s">
        <v>351</v>
      </c>
      <c r="F64" s="84" t="s">
        <v>1255</v>
      </c>
      <c r="G64" s="97" t="s">
        <v>481</v>
      </c>
      <c r="H64" s="97" t="s">
        <v>168</v>
      </c>
      <c r="I64" s="94">
        <v>6090.1460390000002</v>
      </c>
      <c r="J64" s="96">
        <v>5188</v>
      </c>
      <c r="K64" s="84"/>
      <c r="L64" s="94">
        <v>315.95677649199996</v>
      </c>
      <c r="M64" s="95">
        <v>9.0031162881878387E-5</v>
      </c>
      <c r="N64" s="95">
        <f t="shared" si="1"/>
        <v>4.2226423117585109E-3</v>
      </c>
      <c r="O64" s="95">
        <f>L64/'סכום נכסי הקרן'!$C$42</f>
        <v>3.3245936035353592E-4</v>
      </c>
    </row>
    <row r="65" spans="2:15">
      <c r="B65" s="87" t="s">
        <v>1256</v>
      </c>
      <c r="C65" s="84" t="s">
        <v>1257</v>
      </c>
      <c r="D65" s="97" t="s">
        <v>124</v>
      </c>
      <c r="E65" s="97" t="s">
        <v>351</v>
      </c>
      <c r="F65" s="84" t="s">
        <v>588</v>
      </c>
      <c r="G65" s="97" t="s">
        <v>421</v>
      </c>
      <c r="H65" s="97" t="s">
        <v>168</v>
      </c>
      <c r="I65" s="94">
        <v>43823.851139000006</v>
      </c>
      <c r="J65" s="96">
        <v>943</v>
      </c>
      <c r="K65" s="84"/>
      <c r="L65" s="94">
        <v>413.25891624299999</v>
      </c>
      <c r="M65" s="95">
        <v>5.3908473079260261E-5</v>
      </c>
      <c r="N65" s="95">
        <f t="shared" si="1"/>
        <v>5.5230484524307804E-3</v>
      </c>
      <c r="O65" s="95">
        <f>L65/'סכום נכסי הקרן'!$C$42</f>
        <v>4.3484364057633061E-4</v>
      </c>
    </row>
    <row r="66" spans="2:15">
      <c r="B66" s="87" t="s">
        <v>1258</v>
      </c>
      <c r="C66" s="84" t="s">
        <v>1259</v>
      </c>
      <c r="D66" s="97" t="s">
        <v>124</v>
      </c>
      <c r="E66" s="97" t="s">
        <v>351</v>
      </c>
      <c r="F66" s="84" t="s">
        <v>1260</v>
      </c>
      <c r="G66" s="97" t="s">
        <v>1243</v>
      </c>
      <c r="H66" s="97" t="s">
        <v>168</v>
      </c>
      <c r="I66" s="94">
        <v>12364.869962000002</v>
      </c>
      <c r="J66" s="96">
        <v>6951</v>
      </c>
      <c r="K66" s="84"/>
      <c r="L66" s="94">
        <v>859.48211103300002</v>
      </c>
      <c r="M66" s="95">
        <v>1.991586278832904E-4</v>
      </c>
      <c r="N66" s="95">
        <f t="shared" si="1"/>
        <v>1.1486651967217314E-2</v>
      </c>
      <c r="O66" s="95">
        <f>L66/'סכום נכסי הקרן'!$C$42</f>
        <v>9.0437330080993825E-4</v>
      </c>
    </row>
    <row r="67" spans="2:15">
      <c r="B67" s="87" t="s">
        <v>1261</v>
      </c>
      <c r="C67" s="84" t="s">
        <v>1262</v>
      </c>
      <c r="D67" s="97" t="s">
        <v>124</v>
      </c>
      <c r="E67" s="97" t="s">
        <v>351</v>
      </c>
      <c r="F67" s="84" t="s">
        <v>1263</v>
      </c>
      <c r="G67" s="97" t="s">
        <v>1228</v>
      </c>
      <c r="H67" s="97" t="s">
        <v>168</v>
      </c>
      <c r="I67" s="94">
        <v>22940.456189</v>
      </c>
      <c r="J67" s="96">
        <v>2885</v>
      </c>
      <c r="K67" s="84"/>
      <c r="L67" s="94">
        <v>661.83216105899999</v>
      </c>
      <c r="M67" s="95">
        <v>2.1307485646410423E-4</v>
      </c>
      <c r="N67" s="95">
        <f t="shared" si="1"/>
        <v>8.8451354568148295E-3</v>
      </c>
      <c r="O67" s="95">
        <f>L67/'סכום נכסי הקרן'!$C$42</f>
        <v>6.9639999296753404E-4</v>
      </c>
    </row>
    <row r="68" spans="2:15">
      <c r="B68" s="87" t="s">
        <v>1264</v>
      </c>
      <c r="C68" s="84" t="s">
        <v>1265</v>
      </c>
      <c r="D68" s="97" t="s">
        <v>124</v>
      </c>
      <c r="E68" s="97" t="s">
        <v>351</v>
      </c>
      <c r="F68" s="84" t="s">
        <v>1266</v>
      </c>
      <c r="G68" s="97" t="s">
        <v>871</v>
      </c>
      <c r="H68" s="97" t="s">
        <v>168</v>
      </c>
      <c r="I68" s="94">
        <v>854.46885799999984</v>
      </c>
      <c r="J68" s="96">
        <v>13550</v>
      </c>
      <c r="K68" s="84"/>
      <c r="L68" s="94">
        <v>115.780530191</v>
      </c>
      <c r="M68" s="95">
        <v>9.6565625769191017E-5</v>
      </c>
      <c r="N68" s="95">
        <f t="shared" si="1"/>
        <v>1.5473628104783795E-3</v>
      </c>
      <c r="O68" s="95">
        <f>L68/'סכום נכסי הקרן'!$C$42</f>
        <v>1.2182780643626341E-4</v>
      </c>
    </row>
    <row r="69" spans="2:15">
      <c r="B69" s="87" t="s">
        <v>1267</v>
      </c>
      <c r="C69" s="84" t="s">
        <v>1268</v>
      </c>
      <c r="D69" s="97" t="s">
        <v>124</v>
      </c>
      <c r="E69" s="97" t="s">
        <v>351</v>
      </c>
      <c r="F69" s="84" t="s">
        <v>608</v>
      </c>
      <c r="G69" s="97" t="s">
        <v>481</v>
      </c>
      <c r="H69" s="97" t="s">
        <v>168</v>
      </c>
      <c r="I69" s="94">
        <v>5615.8295500000004</v>
      </c>
      <c r="J69" s="96">
        <v>5049</v>
      </c>
      <c r="K69" s="84"/>
      <c r="L69" s="94">
        <v>283.54323399999998</v>
      </c>
      <c r="M69" s="95">
        <v>8.8757043782969103E-5</v>
      </c>
      <c r="N69" s="95">
        <f t="shared" si="1"/>
        <v>3.7894476275983908E-3</v>
      </c>
      <c r="O69" s="95">
        <f>L69/'סכום נכסי הקרן'!$C$42</f>
        <v>2.9835284197678787E-4</v>
      </c>
    </row>
    <row r="70" spans="2:15">
      <c r="B70" s="87" t="s">
        <v>1269</v>
      </c>
      <c r="C70" s="84" t="s">
        <v>1270</v>
      </c>
      <c r="D70" s="97" t="s">
        <v>124</v>
      </c>
      <c r="E70" s="97" t="s">
        <v>351</v>
      </c>
      <c r="F70" s="84" t="s">
        <v>1271</v>
      </c>
      <c r="G70" s="97" t="s">
        <v>1164</v>
      </c>
      <c r="H70" s="97" t="s">
        <v>168</v>
      </c>
      <c r="I70" s="94">
        <v>652.236221</v>
      </c>
      <c r="J70" s="96">
        <v>13140</v>
      </c>
      <c r="K70" s="84"/>
      <c r="L70" s="94">
        <v>85.703839422999991</v>
      </c>
      <c r="M70" s="95">
        <v>2.3358810440027688E-5</v>
      </c>
      <c r="N70" s="95">
        <f t="shared" si="1"/>
        <v>1.1453992620312739E-3</v>
      </c>
      <c r="O70" s="95">
        <f>L70/'סכום נכסי הקרן'!$C$42</f>
        <v>9.0180194742979901E-5</v>
      </c>
    </row>
    <row r="71" spans="2:15">
      <c r="B71" s="87" t="s">
        <v>1272</v>
      </c>
      <c r="C71" s="84" t="s">
        <v>1273</v>
      </c>
      <c r="D71" s="97" t="s">
        <v>124</v>
      </c>
      <c r="E71" s="97" t="s">
        <v>351</v>
      </c>
      <c r="F71" s="84" t="s">
        <v>1274</v>
      </c>
      <c r="G71" s="97" t="s">
        <v>150</v>
      </c>
      <c r="H71" s="97" t="s">
        <v>168</v>
      </c>
      <c r="I71" s="94">
        <v>16342.396421000001</v>
      </c>
      <c r="J71" s="96">
        <v>2064</v>
      </c>
      <c r="K71" s="84"/>
      <c r="L71" s="94">
        <v>337.30706213400003</v>
      </c>
      <c r="M71" s="95">
        <v>1.6645731587723079E-4</v>
      </c>
      <c r="N71" s="95">
        <f t="shared" si="1"/>
        <v>4.5079807701419866E-3</v>
      </c>
      <c r="O71" s="95">
        <f>L71/'סכום נכסי הקרן'!$C$42</f>
        <v>3.5492478232268412E-4</v>
      </c>
    </row>
    <row r="72" spans="2:15">
      <c r="B72" s="87" t="s">
        <v>1275</v>
      </c>
      <c r="C72" s="84" t="s">
        <v>1276</v>
      </c>
      <c r="D72" s="97" t="s">
        <v>124</v>
      </c>
      <c r="E72" s="97" t="s">
        <v>351</v>
      </c>
      <c r="F72" s="84" t="s">
        <v>688</v>
      </c>
      <c r="G72" s="97" t="s">
        <v>195</v>
      </c>
      <c r="H72" s="97" t="s">
        <v>168</v>
      </c>
      <c r="I72" s="94">
        <v>7327.3494380000002</v>
      </c>
      <c r="J72" s="96">
        <v>1099</v>
      </c>
      <c r="K72" s="84"/>
      <c r="L72" s="94">
        <v>80.527570321000013</v>
      </c>
      <c r="M72" s="95">
        <v>4.9748297554853694E-5</v>
      </c>
      <c r="N72" s="95">
        <f t="shared" si="1"/>
        <v>1.0762203915229947E-3</v>
      </c>
      <c r="O72" s="95">
        <f>L72/'סכום נכסי הקרן'!$C$42</f>
        <v>8.4733566461176756E-5</v>
      </c>
    </row>
    <row r="73" spans="2:15">
      <c r="B73" s="87" t="s">
        <v>1277</v>
      </c>
      <c r="C73" s="84" t="s">
        <v>1278</v>
      </c>
      <c r="D73" s="97" t="s">
        <v>124</v>
      </c>
      <c r="E73" s="97" t="s">
        <v>351</v>
      </c>
      <c r="F73" s="84" t="s">
        <v>1279</v>
      </c>
      <c r="G73" s="97" t="s">
        <v>155</v>
      </c>
      <c r="H73" s="97" t="s">
        <v>168</v>
      </c>
      <c r="I73" s="94">
        <v>2211.0076020000001</v>
      </c>
      <c r="J73" s="96">
        <v>7901</v>
      </c>
      <c r="K73" s="84"/>
      <c r="L73" s="94">
        <v>174.69171064899999</v>
      </c>
      <c r="M73" s="95">
        <v>2.0295883795954278E-4</v>
      </c>
      <c r="N73" s="95">
        <f t="shared" si="1"/>
        <v>2.3346883617753954E-3</v>
      </c>
      <c r="O73" s="95">
        <f>L73/'סכום נכסי הקרן'!$C$42</f>
        <v>1.8381594794787397E-4</v>
      </c>
    </row>
    <row r="74" spans="2:15">
      <c r="B74" s="87" t="s">
        <v>1280</v>
      </c>
      <c r="C74" s="84" t="s">
        <v>1281</v>
      </c>
      <c r="D74" s="97" t="s">
        <v>124</v>
      </c>
      <c r="E74" s="97" t="s">
        <v>351</v>
      </c>
      <c r="F74" s="84" t="s">
        <v>1282</v>
      </c>
      <c r="G74" s="97" t="s">
        <v>534</v>
      </c>
      <c r="H74" s="97" t="s">
        <v>168</v>
      </c>
      <c r="I74" s="94">
        <v>1338.7662929999999</v>
      </c>
      <c r="J74" s="96">
        <v>15440</v>
      </c>
      <c r="K74" s="84"/>
      <c r="L74" s="94">
        <v>206.70551562099999</v>
      </c>
      <c r="M74" s="95">
        <v>1.4021497723858145E-4</v>
      </c>
      <c r="N74" s="95">
        <f t="shared" si="1"/>
        <v>2.7625407058082035E-3</v>
      </c>
      <c r="O74" s="95">
        <f>L74/'סכום נכסי הקרן'!$C$42</f>
        <v>2.1750185030972269E-4</v>
      </c>
    </row>
    <row r="75" spans="2:15">
      <c r="B75" s="87" t="s">
        <v>1283</v>
      </c>
      <c r="C75" s="84" t="s">
        <v>1284</v>
      </c>
      <c r="D75" s="97" t="s">
        <v>124</v>
      </c>
      <c r="E75" s="97" t="s">
        <v>351</v>
      </c>
      <c r="F75" s="84" t="s">
        <v>856</v>
      </c>
      <c r="G75" s="97" t="s">
        <v>195</v>
      </c>
      <c r="H75" s="97" t="s">
        <v>168</v>
      </c>
      <c r="I75" s="94">
        <v>12650.963148999999</v>
      </c>
      <c r="J75" s="96">
        <v>1537</v>
      </c>
      <c r="K75" s="84"/>
      <c r="L75" s="94">
        <v>194.445303607</v>
      </c>
      <c r="M75" s="95">
        <v>7.7073118794190073E-5</v>
      </c>
      <c r="N75" s="95">
        <f t="shared" si="1"/>
        <v>2.5986876288897624E-3</v>
      </c>
      <c r="O75" s="95">
        <f>L75/'סכום נכסי הקרן'!$C$42</f>
        <v>2.0460128115837114E-4</v>
      </c>
    </row>
    <row r="76" spans="2:15">
      <c r="B76" s="87" t="s">
        <v>1285</v>
      </c>
      <c r="C76" s="84" t="s">
        <v>1286</v>
      </c>
      <c r="D76" s="97" t="s">
        <v>124</v>
      </c>
      <c r="E76" s="97" t="s">
        <v>351</v>
      </c>
      <c r="F76" s="84" t="s">
        <v>1287</v>
      </c>
      <c r="G76" s="97" t="s">
        <v>871</v>
      </c>
      <c r="H76" s="97" t="s">
        <v>168</v>
      </c>
      <c r="I76" s="94">
        <v>328.29118899999992</v>
      </c>
      <c r="J76" s="96">
        <v>29110</v>
      </c>
      <c r="K76" s="84"/>
      <c r="L76" s="94">
        <v>95.56556501</v>
      </c>
      <c r="M76" s="95">
        <v>1.4249547348788187E-4</v>
      </c>
      <c r="N76" s="95">
        <f t="shared" si="1"/>
        <v>1.2771974788410728E-3</v>
      </c>
      <c r="O76" s="95">
        <f>L76/'סכום נכסי הקרן'!$C$42</f>
        <v>1.0055700329583946E-4</v>
      </c>
    </row>
    <row r="77" spans="2:15">
      <c r="B77" s="87" t="s">
        <v>1288</v>
      </c>
      <c r="C77" s="84" t="s">
        <v>1289</v>
      </c>
      <c r="D77" s="97" t="s">
        <v>124</v>
      </c>
      <c r="E77" s="97" t="s">
        <v>351</v>
      </c>
      <c r="F77" s="84" t="s">
        <v>1290</v>
      </c>
      <c r="G77" s="97" t="s">
        <v>1291</v>
      </c>
      <c r="H77" s="97" t="s">
        <v>168</v>
      </c>
      <c r="I77" s="94">
        <v>1660.5845360000001</v>
      </c>
      <c r="J77" s="96">
        <v>2370</v>
      </c>
      <c r="K77" s="84"/>
      <c r="L77" s="94">
        <v>39.355853499999995</v>
      </c>
      <c r="M77" s="95">
        <v>4.123880108157623E-5</v>
      </c>
      <c r="N77" s="95">
        <f t="shared" si="1"/>
        <v>5.2597603396766228E-4</v>
      </c>
      <c r="O77" s="95">
        <f>L77/'סכום נכסי הקרן'!$C$42</f>
        <v>4.1411429835589424E-5</v>
      </c>
    </row>
    <row r="78" spans="2:15">
      <c r="B78" s="87" t="s">
        <v>1292</v>
      </c>
      <c r="C78" s="84" t="s">
        <v>1293</v>
      </c>
      <c r="D78" s="97" t="s">
        <v>124</v>
      </c>
      <c r="E78" s="97" t="s">
        <v>351</v>
      </c>
      <c r="F78" s="84" t="s">
        <v>1294</v>
      </c>
      <c r="G78" s="97" t="s">
        <v>1164</v>
      </c>
      <c r="H78" s="97" t="s">
        <v>168</v>
      </c>
      <c r="I78" s="94">
        <v>914.09151799999995</v>
      </c>
      <c r="J78" s="96">
        <v>3797</v>
      </c>
      <c r="K78" s="84"/>
      <c r="L78" s="94">
        <v>34.708054921000006</v>
      </c>
      <c r="M78" s="95">
        <v>2.3785119525823199E-5</v>
      </c>
      <c r="N78" s="95">
        <f t="shared" si="1"/>
        <v>4.6385997127668419E-4</v>
      </c>
      <c r="O78" s="95">
        <f>L78/'סכום נכסי הקרן'!$C$42</f>
        <v>3.6520874362203228E-5</v>
      </c>
    </row>
    <row r="79" spans="2:15">
      <c r="B79" s="87" t="s">
        <v>1295</v>
      </c>
      <c r="C79" s="84" t="s">
        <v>1296</v>
      </c>
      <c r="D79" s="97" t="s">
        <v>124</v>
      </c>
      <c r="E79" s="97" t="s">
        <v>351</v>
      </c>
      <c r="F79" s="84" t="s">
        <v>1297</v>
      </c>
      <c r="G79" s="97" t="s">
        <v>742</v>
      </c>
      <c r="H79" s="97" t="s">
        <v>168</v>
      </c>
      <c r="I79" s="94">
        <v>2163.0322409999999</v>
      </c>
      <c r="J79" s="96">
        <v>9538</v>
      </c>
      <c r="K79" s="84"/>
      <c r="L79" s="94">
        <v>206.310015139</v>
      </c>
      <c r="M79" s="95">
        <v>1.7197586116642579E-4</v>
      </c>
      <c r="N79" s="95">
        <f t="shared" si="1"/>
        <v>2.7572549920844582E-3</v>
      </c>
      <c r="O79" s="95">
        <f>L79/'סכום נכסי הקרן'!$C$42</f>
        <v>2.1708569263548282E-4</v>
      </c>
    </row>
    <row r="80" spans="2:15">
      <c r="B80" s="87" t="s">
        <v>1298</v>
      </c>
      <c r="C80" s="84" t="s">
        <v>1299</v>
      </c>
      <c r="D80" s="97" t="s">
        <v>124</v>
      </c>
      <c r="E80" s="97" t="s">
        <v>351</v>
      </c>
      <c r="F80" s="84" t="s">
        <v>1300</v>
      </c>
      <c r="G80" s="97" t="s">
        <v>1291</v>
      </c>
      <c r="H80" s="97" t="s">
        <v>168</v>
      </c>
      <c r="I80" s="94">
        <v>12521.146436000001</v>
      </c>
      <c r="J80" s="96">
        <v>206.6</v>
      </c>
      <c r="K80" s="84"/>
      <c r="L80" s="94">
        <v>25.868688536000001</v>
      </c>
      <c r="M80" s="95">
        <v>3.5501276516954554E-5</v>
      </c>
      <c r="N80" s="95">
        <f t="shared" si="1"/>
        <v>3.4572519689123282E-4</v>
      </c>
      <c r="O80" s="95">
        <f>L80/'סכום נכסי הקרן'!$C$42</f>
        <v>2.721982335479729E-5</v>
      </c>
    </row>
    <row r="81" spans="2:15">
      <c r="B81" s="87" t="s">
        <v>1301</v>
      </c>
      <c r="C81" s="84" t="s">
        <v>1302</v>
      </c>
      <c r="D81" s="97" t="s">
        <v>124</v>
      </c>
      <c r="E81" s="97" t="s">
        <v>351</v>
      </c>
      <c r="F81" s="84" t="s">
        <v>523</v>
      </c>
      <c r="G81" s="97" t="s">
        <v>421</v>
      </c>
      <c r="H81" s="97" t="s">
        <v>168</v>
      </c>
      <c r="I81" s="94">
        <v>22698.088211999995</v>
      </c>
      <c r="J81" s="96">
        <v>2064</v>
      </c>
      <c r="K81" s="84"/>
      <c r="L81" s="94">
        <v>468.48854068899999</v>
      </c>
      <c r="M81" s="95">
        <v>1.2732217319762329E-4</v>
      </c>
      <c r="N81" s="95">
        <f t="shared" si="1"/>
        <v>6.2611714059484956E-3</v>
      </c>
      <c r="O81" s="95">
        <f>L81/'סכום נכסי הקרן'!$C$42</f>
        <v>4.9295793652449199E-4</v>
      </c>
    </row>
    <row r="82" spans="2:15">
      <c r="B82" s="87" t="s">
        <v>1303</v>
      </c>
      <c r="C82" s="84" t="s">
        <v>1304</v>
      </c>
      <c r="D82" s="97" t="s">
        <v>124</v>
      </c>
      <c r="E82" s="97" t="s">
        <v>351</v>
      </c>
      <c r="F82" s="84" t="s">
        <v>1305</v>
      </c>
      <c r="G82" s="97" t="s">
        <v>155</v>
      </c>
      <c r="H82" s="97" t="s">
        <v>168</v>
      </c>
      <c r="I82" s="94">
        <v>1434.371725</v>
      </c>
      <c r="J82" s="96">
        <v>19860</v>
      </c>
      <c r="K82" s="84"/>
      <c r="L82" s="94">
        <v>284.86622457100003</v>
      </c>
      <c r="M82" s="95">
        <v>1.0412421202064551E-4</v>
      </c>
      <c r="N82" s="95">
        <f t="shared" si="1"/>
        <v>3.8071288940842319E-3</v>
      </c>
      <c r="O82" s="95">
        <f>L82/'סכום נכסי הקרן'!$C$42</f>
        <v>2.9974493302123987E-4</v>
      </c>
    </row>
    <row r="83" spans="2:15">
      <c r="B83" s="87" t="s">
        <v>1306</v>
      </c>
      <c r="C83" s="84" t="s">
        <v>1307</v>
      </c>
      <c r="D83" s="97" t="s">
        <v>124</v>
      </c>
      <c r="E83" s="97" t="s">
        <v>351</v>
      </c>
      <c r="F83" s="84" t="s">
        <v>1308</v>
      </c>
      <c r="G83" s="97" t="s">
        <v>150</v>
      </c>
      <c r="H83" s="97" t="s">
        <v>168</v>
      </c>
      <c r="I83" s="94">
        <v>155855.20480499999</v>
      </c>
      <c r="J83" s="96">
        <v>264.3</v>
      </c>
      <c r="K83" s="84"/>
      <c r="L83" s="94">
        <v>411.925306288</v>
      </c>
      <c r="M83" s="95">
        <v>1.3868376096151517E-4</v>
      </c>
      <c r="N83" s="95">
        <f t="shared" si="1"/>
        <v>5.5052252619112131E-3</v>
      </c>
      <c r="O83" s="95">
        <f>L83/'סכום נכסי הקרן'!$C$42</f>
        <v>4.3344037549202679E-4</v>
      </c>
    </row>
    <row r="84" spans="2:15">
      <c r="B84" s="87" t="s">
        <v>1309</v>
      </c>
      <c r="C84" s="84" t="s">
        <v>1310</v>
      </c>
      <c r="D84" s="97" t="s">
        <v>124</v>
      </c>
      <c r="E84" s="97" t="s">
        <v>351</v>
      </c>
      <c r="F84" s="84" t="s">
        <v>909</v>
      </c>
      <c r="G84" s="97" t="s">
        <v>150</v>
      </c>
      <c r="H84" s="97" t="s">
        <v>168</v>
      </c>
      <c r="I84" s="94">
        <v>16615.330838999998</v>
      </c>
      <c r="J84" s="96">
        <v>801</v>
      </c>
      <c r="K84" s="84"/>
      <c r="L84" s="94">
        <v>133.08880001899999</v>
      </c>
      <c r="M84" s="95">
        <v>1.877532368284715E-4</v>
      </c>
      <c r="N84" s="95">
        <f>L84/$L$11</f>
        <v>1.7786812627379296E-3</v>
      </c>
      <c r="O84" s="95">
        <f>L84/'סכום נכסי הקרן'!$C$42</f>
        <v>1.4004009604034153E-4</v>
      </c>
    </row>
    <row r="85" spans="2:15">
      <c r="B85" s="83"/>
      <c r="C85" s="84"/>
      <c r="D85" s="84"/>
      <c r="E85" s="84"/>
      <c r="F85" s="84"/>
      <c r="G85" s="84"/>
      <c r="H85" s="84"/>
      <c r="I85" s="94"/>
      <c r="J85" s="96"/>
      <c r="K85" s="84"/>
      <c r="L85" s="84"/>
      <c r="M85" s="84"/>
      <c r="N85" s="95"/>
      <c r="O85" s="84"/>
    </row>
    <row r="86" spans="2:15">
      <c r="B86" s="102" t="s">
        <v>31</v>
      </c>
      <c r="C86" s="82"/>
      <c r="D86" s="82"/>
      <c r="E86" s="82"/>
      <c r="F86" s="82"/>
      <c r="G86" s="82"/>
      <c r="H86" s="82"/>
      <c r="I86" s="91"/>
      <c r="J86" s="93"/>
      <c r="K86" s="82"/>
      <c r="L86" s="91">
        <v>2165.8010879329995</v>
      </c>
      <c r="M86" s="82"/>
      <c r="N86" s="92">
        <f t="shared" ref="N86:N123" si="2">L86/$L$11</f>
        <v>2.8945108930081963E-2</v>
      </c>
      <c r="O86" s="92">
        <f>L86/'סכום נכסי הקרן'!$C$42</f>
        <v>2.278921985284366E-3</v>
      </c>
    </row>
    <row r="87" spans="2:15">
      <c r="B87" s="87" t="s">
        <v>1311</v>
      </c>
      <c r="C87" s="84" t="s">
        <v>1312</v>
      </c>
      <c r="D87" s="97" t="s">
        <v>124</v>
      </c>
      <c r="E87" s="97" t="s">
        <v>351</v>
      </c>
      <c r="F87" s="84" t="s">
        <v>1313</v>
      </c>
      <c r="G87" s="97" t="s">
        <v>1228</v>
      </c>
      <c r="H87" s="97" t="s">
        <v>168</v>
      </c>
      <c r="I87" s="94">
        <v>835.57796499999995</v>
      </c>
      <c r="J87" s="96">
        <v>2711</v>
      </c>
      <c r="K87" s="84"/>
      <c r="L87" s="94">
        <v>22.652518623999999</v>
      </c>
      <c r="M87" s="95">
        <v>1.7320485206099724E-4</v>
      </c>
      <c r="N87" s="95">
        <f t="shared" si="2"/>
        <v>3.0274230757643529E-4</v>
      </c>
      <c r="O87" s="95">
        <f>L87/'סכום נכסי הקרן'!$C$42</f>
        <v>2.3835671245121357E-5</v>
      </c>
    </row>
    <row r="88" spans="2:15">
      <c r="B88" s="87" t="s">
        <v>1314</v>
      </c>
      <c r="C88" s="84" t="s">
        <v>1315</v>
      </c>
      <c r="D88" s="97" t="s">
        <v>124</v>
      </c>
      <c r="E88" s="97" t="s">
        <v>351</v>
      </c>
      <c r="F88" s="84" t="s">
        <v>1316</v>
      </c>
      <c r="G88" s="97" t="s">
        <v>160</v>
      </c>
      <c r="H88" s="97" t="s">
        <v>168</v>
      </c>
      <c r="I88" s="94">
        <v>10921.898502</v>
      </c>
      <c r="J88" s="96">
        <v>333.5</v>
      </c>
      <c r="K88" s="84"/>
      <c r="L88" s="94">
        <v>36.424531504000001</v>
      </c>
      <c r="M88" s="95">
        <v>1.9862366997103E-4</v>
      </c>
      <c r="N88" s="95">
        <f t="shared" si="2"/>
        <v>4.8680002885985164E-4</v>
      </c>
      <c r="O88" s="95">
        <f>L88/'סכום נכסי הקרן'!$C$42</f>
        <v>3.8327003394097721E-5</v>
      </c>
    </row>
    <row r="89" spans="2:15">
      <c r="B89" s="87" t="s">
        <v>1317</v>
      </c>
      <c r="C89" s="84" t="s">
        <v>1318</v>
      </c>
      <c r="D89" s="97" t="s">
        <v>124</v>
      </c>
      <c r="E89" s="97" t="s">
        <v>351</v>
      </c>
      <c r="F89" s="84" t="s">
        <v>1319</v>
      </c>
      <c r="G89" s="97" t="s">
        <v>160</v>
      </c>
      <c r="H89" s="97" t="s">
        <v>168</v>
      </c>
      <c r="I89" s="94">
        <v>3476.5798180000002</v>
      </c>
      <c r="J89" s="96">
        <v>1838</v>
      </c>
      <c r="K89" s="84"/>
      <c r="L89" s="94">
        <v>63.899537045999999</v>
      </c>
      <c r="M89" s="95">
        <v>2.6189422337810105E-4</v>
      </c>
      <c r="N89" s="95">
        <f t="shared" si="2"/>
        <v>8.5399304242823231E-4</v>
      </c>
      <c r="O89" s="95">
        <f>L89/'סכום נכסי הקרן'!$C$42</f>
        <v>6.7237042512801215E-5</v>
      </c>
    </row>
    <row r="90" spans="2:15">
      <c r="B90" s="87" t="s">
        <v>1320</v>
      </c>
      <c r="C90" s="84" t="s">
        <v>1321</v>
      </c>
      <c r="D90" s="97" t="s">
        <v>124</v>
      </c>
      <c r="E90" s="97" t="s">
        <v>351</v>
      </c>
      <c r="F90" s="84" t="s">
        <v>1322</v>
      </c>
      <c r="G90" s="97" t="s">
        <v>155</v>
      </c>
      <c r="H90" s="97" t="s">
        <v>168</v>
      </c>
      <c r="I90" s="94">
        <v>375.38831099999993</v>
      </c>
      <c r="J90" s="96">
        <v>8330</v>
      </c>
      <c r="K90" s="84"/>
      <c r="L90" s="94">
        <v>31.269846310000002</v>
      </c>
      <c r="M90" s="95">
        <v>3.7407903437967106E-5</v>
      </c>
      <c r="N90" s="95">
        <f t="shared" si="2"/>
        <v>4.1790961908403648E-4</v>
      </c>
      <c r="O90" s="95">
        <f>L90/'סכום נכסי הקרן'!$C$42</f>
        <v>3.2903086358836816E-5</v>
      </c>
    </row>
    <row r="91" spans="2:15">
      <c r="B91" s="87" t="s">
        <v>1323</v>
      </c>
      <c r="C91" s="84" t="s">
        <v>1324</v>
      </c>
      <c r="D91" s="97" t="s">
        <v>124</v>
      </c>
      <c r="E91" s="97" t="s">
        <v>351</v>
      </c>
      <c r="F91" s="84" t="s">
        <v>1325</v>
      </c>
      <c r="G91" s="97" t="s">
        <v>1326</v>
      </c>
      <c r="H91" s="97" t="s">
        <v>168</v>
      </c>
      <c r="I91" s="94">
        <v>51282.238318000011</v>
      </c>
      <c r="J91" s="96">
        <v>146.6</v>
      </c>
      <c r="K91" s="84"/>
      <c r="L91" s="94">
        <v>75.179761378999999</v>
      </c>
      <c r="M91" s="95">
        <v>1.5295118530518463E-4</v>
      </c>
      <c r="N91" s="95">
        <f t="shared" si="2"/>
        <v>1.0047489562070267E-3</v>
      </c>
      <c r="O91" s="95">
        <f>L91/'סכום נכסי הקרן'!$C$42</f>
        <v>7.9106438725889004E-5</v>
      </c>
    </row>
    <row r="92" spans="2:15">
      <c r="B92" s="87" t="s">
        <v>1327</v>
      </c>
      <c r="C92" s="84" t="s">
        <v>1328</v>
      </c>
      <c r="D92" s="97" t="s">
        <v>124</v>
      </c>
      <c r="E92" s="97" t="s">
        <v>351</v>
      </c>
      <c r="F92" s="84" t="s">
        <v>1329</v>
      </c>
      <c r="G92" s="97" t="s">
        <v>1221</v>
      </c>
      <c r="H92" s="97" t="s">
        <v>168</v>
      </c>
      <c r="I92" s="94">
        <v>5472.2212339999996</v>
      </c>
      <c r="J92" s="96">
        <v>272.8</v>
      </c>
      <c r="K92" s="84"/>
      <c r="L92" s="94">
        <v>14.928219536</v>
      </c>
      <c r="M92" s="95">
        <v>2.8348577852035521E-4</v>
      </c>
      <c r="N92" s="95">
        <f t="shared" si="2"/>
        <v>1.9950998409280738E-4</v>
      </c>
      <c r="O92" s="95">
        <f>L92/'סכום נכסי הקרן'!$C$42</f>
        <v>1.5707928069336354E-5</v>
      </c>
    </row>
    <row r="93" spans="2:15">
      <c r="B93" s="87" t="s">
        <v>1330</v>
      </c>
      <c r="C93" s="84" t="s">
        <v>1331</v>
      </c>
      <c r="D93" s="97" t="s">
        <v>124</v>
      </c>
      <c r="E93" s="97" t="s">
        <v>351</v>
      </c>
      <c r="F93" s="84" t="s">
        <v>1332</v>
      </c>
      <c r="G93" s="97" t="s">
        <v>193</v>
      </c>
      <c r="H93" s="97" t="s">
        <v>168</v>
      </c>
      <c r="I93" s="94">
        <v>3284.4123490000002</v>
      </c>
      <c r="J93" s="96">
        <v>557.6</v>
      </c>
      <c r="K93" s="84"/>
      <c r="L93" s="94">
        <v>18.313883267000001</v>
      </c>
      <c r="M93" s="95">
        <v>7.6265569092748961E-5</v>
      </c>
      <c r="N93" s="95">
        <f t="shared" si="2"/>
        <v>2.44758093921744E-4</v>
      </c>
      <c r="O93" s="95">
        <f>L93/'סכום נכסי הקרן'!$C$42</f>
        <v>1.9270426746774677E-5</v>
      </c>
    </row>
    <row r="94" spans="2:15">
      <c r="B94" s="87" t="s">
        <v>1333</v>
      </c>
      <c r="C94" s="84" t="s">
        <v>1334</v>
      </c>
      <c r="D94" s="97" t="s">
        <v>124</v>
      </c>
      <c r="E94" s="97" t="s">
        <v>351</v>
      </c>
      <c r="F94" s="84" t="s">
        <v>1335</v>
      </c>
      <c r="G94" s="97" t="s">
        <v>709</v>
      </c>
      <c r="H94" s="97" t="s">
        <v>168</v>
      </c>
      <c r="I94" s="94">
        <v>3443.0441040000001</v>
      </c>
      <c r="J94" s="96">
        <v>1326</v>
      </c>
      <c r="K94" s="84"/>
      <c r="L94" s="94">
        <v>45.654764821999997</v>
      </c>
      <c r="M94" s="95">
        <v>1.2299320927574824E-4</v>
      </c>
      <c r="N94" s="95">
        <f t="shared" si="2"/>
        <v>6.1015859134656825E-4</v>
      </c>
      <c r="O94" s="95">
        <f>L94/'סכום נכסי הקרן'!$C$42</f>
        <v>4.8039336514111917E-5</v>
      </c>
    </row>
    <row r="95" spans="2:15">
      <c r="B95" s="87" t="s">
        <v>1336</v>
      </c>
      <c r="C95" s="84" t="s">
        <v>1337</v>
      </c>
      <c r="D95" s="97" t="s">
        <v>124</v>
      </c>
      <c r="E95" s="97" t="s">
        <v>351</v>
      </c>
      <c r="F95" s="84" t="s">
        <v>1338</v>
      </c>
      <c r="G95" s="97" t="s">
        <v>160</v>
      </c>
      <c r="H95" s="97" t="s">
        <v>168</v>
      </c>
      <c r="I95" s="94">
        <v>1838.036325</v>
      </c>
      <c r="J95" s="96">
        <v>1934</v>
      </c>
      <c r="K95" s="84"/>
      <c r="L95" s="94">
        <v>35.547622517000001</v>
      </c>
      <c r="M95" s="95">
        <v>2.7629630840552522E-4</v>
      </c>
      <c r="N95" s="95">
        <f t="shared" si="2"/>
        <v>4.7508047331437577E-4</v>
      </c>
      <c r="O95" s="95">
        <f>L95/'סכום נכסי הקרן'!$C$42</f>
        <v>3.7404293002685465E-5</v>
      </c>
    </row>
    <row r="96" spans="2:15">
      <c r="B96" s="87" t="s">
        <v>1339</v>
      </c>
      <c r="C96" s="84" t="s">
        <v>1340</v>
      </c>
      <c r="D96" s="97" t="s">
        <v>124</v>
      </c>
      <c r="E96" s="97" t="s">
        <v>351</v>
      </c>
      <c r="F96" s="84" t="s">
        <v>1341</v>
      </c>
      <c r="G96" s="97" t="s">
        <v>871</v>
      </c>
      <c r="H96" s="97" t="s">
        <v>168</v>
      </c>
      <c r="I96" s="94">
        <v>305.48450200000002</v>
      </c>
      <c r="J96" s="96">
        <v>0</v>
      </c>
      <c r="K96" s="84"/>
      <c r="L96" s="94">
        <v>2.9999999999999999E-7</v>
      </c>
      <c r="M96" s="95">
        <v>1.9323076212687335E-4</v>
      </c>
      <c r="N96" s="95">
        <f t="shared" si="2"/>
        <v>4.0093860546131648E-12</v>
      </c>
      <c r="O96" s="95">
        <f>L96/'סכום נכסי הקרן'!$C$42</f>
        <v>3.1566915327288804E-13</v>
      </c>
    </row>
    <row r="97" spans="2:15">
      <c r="B97" s="87" t="s">
        <v>1342</v>
      </c>
      <c r="C97" s="84" t="s">
        <v>1343</v>
      </c>
      <c r="D97" s="97" t="s">
        <v>124</v>
      </c>
      <c r="E97" s="97" t="s">
        <v>351</v>
      </c>
      <c r="F97" s="84" t="s">
        <v>1344</v>
      </c>
      <c r="G97" s="97" t="s">
        <v>1326</v>
      </c>
      <c r="H97" s="97" t="s">
        <v>168</v>
      </c>
      <c r="I97" s="94">
        <v>3422.386825</v>
      </c>
      <c r="J97" s="96">
        <v>286.8</v>
      </c>
      <c r="K97" s="84"/>
      <c r="L97" s="94">
        <v>9.815405418000001</v>
      </c>
      <c r="M97" s="95">
        <v>1.2637357852255337E-4</v>
      </c>
      <c r="N97" s="95">
        <f t="shared" si="2"/>
        <v>1.3117916534434568E-4</v>
      </c>
      <c r="O97" s="95">
        <f>L97/'סכום נכסי הקרן'!$C$42</f>
        <v>1.0328069057767261E-5</v>
      </c>
    </row>
    <row r="98" spans="2:15">
      <c r="B98" s="87" t="s">
        <v>1345</v>
      </c>
      <c r="C98" s="84" t="s">
        <v>1346</v>
      </c>
      <c r="D98" s="97" t="s">
        <v>124</v>
      </c>
      <c r="E98" s="97" t="s">
        <v>351</v>
      </c>
      <c r="F98" s="84" t="s">
        <v>1347</v>
      </c>
      <c r="G98" s="97" t="s">
        <v>191</v>
      </c>
      <c r="H98" s="97" t="s">
        <v>168</v>
      </c>
      <c r="I98" s="94">
        <v>2117.1686559999998</v>
      </c>
      <c r="J98" s="96">
        <v>580</v>
      </c>
      <c r="K98" s="84"/>
      <c r="L98" s="94">
        <v>12.279578206</v>
      </c>
      <c r="M98" s="95">
        <v>3.5095784730289575E-4</v>
      </c>
      <c r="N98" s="95">
        <f t="shared" si="2"/>
        <v>1.6411189871889381E-4</v>
      </c>
      <c r="O98" s="95">
        <f>L98/'סכום נכסי הקרן'!$C$42</f>
        <v>1.2920946849454099E-5</v>
      </c>
    </row>
    <row r="99" spans="2:15">
      <c r="B99" s="87" t="s">
        <v>1348</v>
      </c>
      <c r="C99" s="84" t="s">
        <v>1349</v>
      </c>
      <c r="D99" s="97" t="s">
        <v>124</v>
      </c>
      <c r="E99" s="97" t="s">
        <v>351</v>
      </c>
      <c r="F99" s="84" t="s">
        <v>1350</v>
      </c>
      <c r="G99" s="97" t="s">
        <v>194</v>
      </c>
      <c r="H99" s="97" t="s">
        <v>168</v>
      </c>
      <c r="I99" s="94">
        <v>4837.6957130000001</v>
      </c>
      <c r="J99" s="96">
        <v>266.39999999999998</v>
      </c>
      <c r="K99" s="84"/>
      <c r="L99" s="94">
        <v>12.887621373</v>
      </c>
      <c r="M99" s="95">
        <v>3.1366088901288572E-4</v>
      </c>
      <c r="N99" s="95">
        <f t="shared" si="2"/>
        <v>1.7223816470013589E-4</v>
      </c>
      <c r="O99" s="95">
        <f>L99/'סכום נכסי הקרן'!$C$42</f>
        <v>1.3560748421721618E-5</v>
      </c>
    </row>
    <row r="100" spans="2:15">
      <c r="B100" s="87" t="s">
        <v>1351</v>
      </c>
      <c r="C100" s="84" t="s">
        <v>1352</v>
      </c>
      <c r="D100" s="97" t="s">
        <v>124</v>
      </c>
      <c r="E100" s="97" t="s">
        <v>351</v>
      </c>
      <c r="F100" s="84" t="s">
        <v>1353</v>
      </c>
      <c r="G100" s="97" t="s">
        <v>534</v>
      </c>
      <c r="H100" s="97" t="s">
        <v>168</v>
      </c>
      <c r="I100" s="94">
        <v>6772.4094210000003</v>
      </c>
      <c r="J100" s="96">
        <v>694</v>
      </c>
      <c r="K100" s="84"/>
      <c r="L100" s="94">
        <v>47.000521419999998</v>
      </c>
      <c r="M100" s="95">
        <v>1.9783949144068749E-4</v>
      </c>
      <c r="N100" s="95">
        <f t="shared" si="2"/>
        <v>6.2814411713631776E-4</v>
      </c>
      <c r="O100" s="95">
        <f>L100/'סכום נכסי הקרן'!$C$42</f>
        <v>4.9455382666785459E-5</v>
      </c>
    </row>
    <row r="101" spans="2:15">
      <c r="B101" s="87" t="s">
        <v>1354</v>
      </c>
      <c r="C101" s="84" t="s">
        <v>1355</v>
      </c>
      <c r="D101" s="97" t="s">
        <v>124</v>
      </c>
      <c r="E101" s="97" t="s">
        <v>351</v>
      </c>
      <c r="F101" s="84" t="s">
        <v>1356</v>
      </c>
      <c r="G101" s="97" t="s">
        <v>534</v>
      </c>
      <c r="H101" s="97" t="s">
        <v>168</v>
      </c>
      <c r="I101" s="94">
        <v>4228.1796320000003</v>
      </c>
      <c r="J101" s="96">
        <v>1786</v>
      </c>
      <c r="K101" s="84"/>
      <c r="L101" s="94">
        <v>75.51528823000001</v>
      </c>
      <c r="M101" s="95">
        <v>2.7854048299950853E-4</v>
      </c>
      <c r="N101" s="95">
        <f t="shared" si="2"/>
        <v>1.009233145131519E-3</v>
      </c>
      <c r="O101" s="95">
        <f>L101/'סכום נכסי הקרן'!$C$42</f>
        <v>7.9459490315740645E-5</v>
      </c>
    </row>
    <row r="102" spans="2:15">
      <c r="B102" s="87" t="s">
        <v>1357</v>
      </c>
      <c r="C102" s="84" t="s">
        <v>1358</v>
      </c>
      <c r="D102" s="97" t="s">
        <v>124</v>
      </c>
      <c r="E102" s="97" t="s">
        <v>351</v>
      </c>
      <c r="F102" s="84" t="s">
        <v>1359</v>
      </c>
      <c r="G102" s="97" t="s">
        <v>709</v>
      </c>
      <c r="H102" s="97" t="s">
        <v>168</v>
      </c>
      <c r="I102" s="94">
        <v>225189.45</v>
      </c>
      <c r="J102" s="96">
        <v>88</v>
      </c>
      <c r="K102" s="84"/>
      <c r="L102" s="94">
        <v>198.16671599999998</v>
      </c>
      <c r="M102" s="95">
        <v>2.3870932530215919E-4</v>
      </c>
      <c r="N102" s="95">
        <f t="shared" si="2"/>
        <v>2.6484228920629583E-3</v>
      </c>
      <c r="O102" s="95">
        <f>L102/'סכום נכסי הקרן'!$C$42</f>
        <v>2.0851706482196292E-4</v>
      </c>
    </row>
    <row r="103" spans="2:15">
      <c r="B103" s="87" t="s">
        <v>1360</v>
      </c>
      <c r="C103" s="84" t="s">
        <v>1361</v>
      </c>
      <c r="D103" s="97" t="s">
        <v>124</v>
      </c>
      <c r="E103" s="97" t="s">
        <v>351</v>
      </c>
      <c r="F103" s="84" t="s">
        <v>1362</v>
      </c>
      <c r="G103" s="97" t="s">
        <v>150</v>
      </c>
      <c r="H103" s="97" t="s">
        <v>168</v>
      </c>
      <c r="I103" s="94">
        <v>3979.5980030000001</v>
      </c>
      <c r="J103" s="96">
        <v>856.2</v>
      </c>
      <c r="K103" s="84"/>
      <c r="L103" s="94">
        <v>34.073318097000005</v>
      </c>
      <c r="M103" s="95">
        <v>1.9896995165241739E-4</v>
      </c>
      <c r="N103" s="95">
        <f t="shared" si="2"/>
        <v>4.5537695470836733E-4</v>
      </c>
      <c r="O103" s="95">
        <f>L103/'סכום נכסי הקרן'!$C$42</f>
        <v>3.5852984909592551E-5</v>
      </c>
    </row>
    <row r="104" spans="2:15">
      <c r="B104" s="87" t="s">
        <v>1363</v>
      </c>
      <c r="C104" s="84" t="s">
        <v>1364</v>
      </c>
      <c r="D104" s="97" t="s">
        <v>124</v>
      </c>
      <c r="E104" s="97" t="s">
        <v>351</v>
      </c>
      <c r="F104" s="84" t="s">
        <v>1365</v>
      </c>
      <c r="G104" s="97" t="s">
        <v>742</v>
      </c>
      <c r="H104" s="97" t="s">
        <v>168</v>
      </c>
      <c r="I104" s="94">
        <v>2933.0800760000002</v>
      </c>
      <c r="J104" s="96">
        <v>1814</v>
      </c>
      <c r="K104" s="84"/>
      <c r="L104" s="94">
        <v>53.206072573999997</v>
      </c>
      <c r="M104" s="95">
        <v>2.0219137452947672E-4</v>
      </c>
      <c r="N104" s="95">
        <f t="shared" si="2"/>
        <v>7.1107895132977187E-4</v>
      </c>
      <c r="O104" s="95">
        <f>L104/'סכום נכסי הקרן'!$C$42</f>
        <v>5.5985052928034704E-5</v>
      </c>
    </row>
    <row r="105" spans="2:15">
      <c r="B105" s="87" t="s">
        <v>1366</v>
      </c>
      <c r="C105" s="84" t="s">
        <v>1367</v>
      </c>
      <c r="D105" s="97" t="s">
        <v>124</v>
      </c>
      <c r="E105" s="97" t="s">
        <v>351</v>
      </c>
      <c r="F105" s="84" t="s">
        <v>1368</v>
      </c>
      <c r="G105" s="97" t="s">
        <v>160</v>
      </c>
      <c r="H105" s="97" t="s">
        <v>168</v>
      </c>
      <c r="I105" s="94">
        <v>2935.5121220000001</v>
      </c>
      <c r="J105" s="96">
        <v>610.79999999999995</v>
      </c>
      <c r="K105" s="84"/>
      <c r="L105" s="94">
        <v>17.930108049999998</v>
      </c>
      <c r="M105" s="95">
        <v>2.547153709136812E-4</v>
      </c>
      <c r="N105" s="95">
        <f t="shared" si="2"/>
        <v>2.3962908391125746E-4</v>
      </c>
      <c r="O105" s="95">
        <f>L105/'סכום נכסי הקרן'!$C$42</f>
        <v>1.8866606754116313E-5</v>
      </c>
    </row>
    <row r="106" spans="2:15">
      <c r="B106" s="87" t="s">
        <v>1369</v>
      </c>
      <c r="C106" s="84" t="s">
        <v>1370</v>
      </c>
      <c r="D106" s="97" t="s">
        <v>124</v>
      </c>
      <c r="E106" s="97" t="s">
        <v>351</v>
      </c>
      <c r="F106" s="84" t="s">
        <v>1371</v>
      </c>
      <c r="G106" s="97" t="s">
        <v>667</v>
      </c>
      <c r="H106" s="97" t="s">
        <v>168</v>
      </c>
      <c r="I106" s="94">
        <v>1231.360934</v>
      </c>
      <c r="J106" s="96">
        <v>22180</v>
      </c>
      <c r="K106" s="84"/>
      <c r="L106" s="94">
        <v>273.11585508399997</v>
      </c>
      <c r="M106" s="95">
        <v>3.3734141491735233E-4</v>
      </c>
      <c r="N106" s="95">
        <f t="shared" si="2"/>
        <v>3.6500896688917983E-3</v>
      </c>
      <c r="O106" s="95">
        <f>L106/'סכום נכסי הקרן'!$C$42</f>
        <v>2.8738083573255689E-4</v>
      </c>
    </row>
    <row r="107" spans="2:15">
      <c r="B107" s="87" t="s">
        <v>1372</v>
      </c>
      <c r="C107" s="84" t="s">
        <v>1373</v>
      </c>
      <c r="D107" s="97" t="s">
        <v>124</v>
      </c>
      <c r="E107" s="97" t="s">
        <v>351</v>
      </c>
      <c r="F107" s="84" t="s">
        <v>1374</v>
      </c>
      <c r="G107" s="97" t="s">
        <v>155</v>
      </c>
      <c r="H107" s="97" t="s">
        <v>168</v>
      </c>
      <c r="I107" s="94">
        <v>633.63306999999998</v>
      </c>
      <c r="J107" s="96">
        <v>17520</v>
      </c>
      <c r="K107" s="84"/>
      <c r="L107" s="94">
        <v>111.01251389899998</v>
      </c>
      <c r="M107" s="95">
        <v>4.9881723663690657E-5</v>
      </c>
      <c r="N107" s="95">
        <f t="shared" si="2"/>
        <v>1.4836400837140021E-3</v>
      </c>
      <c r="O107" s="95">
        <f>L107/'סכום נכסי הקרן'!$C$42</f>
        <v>1.1681075421730681E-4</v>
      </c>
    </row>
    <row r="108" spans="2:15">
      <c r="B108" s="87" t="s">
        <v>1375</v>
      </c>
      <c r="C108" s="84" t="s">
        <v>1376</v>
      </c>
      <c r="D108" s="97" t="s">
        <v>124</v>
      </c>
      <c r="E108" s="97" t="s">
        <v>351</v>
      </c>
      <c r="F108" s="84" t="s">
        <v>1377</v>
      </c>
      <c r="G108" s="97" t="s">
        <v>155</v>
      </c>
      <c r="H108" s="97" t="s">
        <v>168</v>
      </c>
      <c r="I108" s="94">
        <v>3043.6731169999998</v>
      </c>
      <c r="J108" s="96">
        <v>1481</v>
      </c>
      <c r="K108" s="84"/>
      <c r="L108" s="94">
        <v>45.076798859</v>
      </c>
      <c r="M108" s="95">
        <v>2.1144230791140365E-4</v>
      </c>
      <c r="N108" s="95">
        <f t="shared" si="2"/>
        <v>6.0243429577292406E-4</v>
      </c>
      <c r="O108" s="95">
        <f>L108/'סכום נכסי הקרן'!$C$42</f>
        <v>4.7431183093576054E-5</v>
      </c>
    </row>
    <row r="109" spans="2:15">
      <c r="B109" s="87" t="s">
        <v>1378</v>
      </c>
      <c r="C109" s="84" t="s">
        <v>1379</v>
      </c>
      <c r="D109" s="97" t="s">
        <v>124</v>
      </c>
      <c r="E109" s="97" t="s">
        <v>351</v>
      </c>
      <c r="F109" s="84" t="s">
        <v>1380</v>
      </c>
      <c r="G109" s="97" t="s">
        <v>742</v>
      </c>
      <c r="H109" s="97" t="s">
        <v>168</v>
      </c>
      <c r="I109" s="94">
        <v>123.69448800000001</v>
      </c>
      <c r="J109" s="96">
        <v>13790</v>
      </c>
      <c r="K109" s="84"/>
      <c r="L109" s="94">
        <v>17.057469906999998</v>
      </c>
      <c r="M109" s="95">
        <v>3.7203319032827001E-5</v>
      </c>
      <c r="N109" s="95">
        <f t="shared" si="2"/>
        <v>2.2796660657369835E-4</v>
      </c>
      <c r="O109" s="95">
        <f>L109/'סכום נכסי הקרן'!$C$42</f>
        <v>1.7948390275068195E-5</v>
      </c>
    </row>
    <row r="110" spans="2:15">
      <c r="B110" s="87" t="s">
        <v>1381</v>
      </c>
      <c r="C110" s="84" t="s">
        <v>1382</v>
      </c>
      <c r="D110" s="97" t="s">
        <v>124</v>
      </c>
      <c r="E110" s="97" t="s">
        <v>351</v>
      </c>
      <c r="F110" s="84" t="s">
        <v>1383</v>
      </c>
      <c r="G110" s="97" t="s">
        <v>155</v>
      </c>
      <c r="H110" s="97" t="s">
        <v>168</v>
      </c>
      <c r="I110" s="94">
        <v>7954.8498490000002</v>
      </c>
      <c r="J110" s="96">
        <v>546.79999999999995</v>
      </c>
      <c r="K110" s="84"/>
      <c r="L110" s="94">
        <v>43.497118962000002</v>
      </c>
      <c r="M110" s="95">
        <v>2.0077810110406819E-4</v>
      </c>
      <c r="N110" s="95">
        <f t="shared" si="2"/>
        <v>5.8132247394030888E-4</v>
      </c>
      <c r="O110" s="95">
        <f>L110/'סכום נכסי הקרן'!$C$42</f>
        <v>4.5768995708482082E-5</v>
      </c>
    </row>
    <row r="111" spans="2:15">
      <c r="B111" s="87" t="s">
        <v>1384</v>
      </c>
      <c r="C111" s="84" t="s">
        <v>1385</v>
      </c>
      <c r="D111" s="97" t="s">
        <v>124</v>
      </c>
      <c r="E111" s="97" t="s">
        <v>351</v>
      </c>
      <c r="F111" s="84" t="s">
        <v>1386</v>
      </c>
      <c r="G111" s="97" t="s">
        <v>155</v>
      </c>
      <c r="H111" s="97" t="s">
        <v>168</v>
      </c>
      <c r="I111" s="94">
        <v>13012.852604</v>
      </c>
      <c r="J111" s="96">
        <v>47.4</v>
      </c>
      <c r="K111" s="84"/>
      <c r="L111" s="94">
        <v>6.1680921390000014</v>
      </c>
      <c r="M111" s="95">
        <v>7.4425171162817501E-5</v>
      </c>
      <c r="N111" s="95">
        <f t="shared" si="2"/>
        <v>8.2434208685585635E-5</v>
      </c>
      <c r="O111" s="95">
        <f>L111/'סכום נכסי הקרן'!$C$42</f>
        <v>6.4902547427576251E-6</v>
      </c>
    </row>
    <row r="112" spans="2:15">
      <c r="B112" s="87" t="s">
        <v>1387</v>
      </c>
      <c r="C112" s="84" t="s">
        <v>1388</v>
      </c>
      <c r="D112" s="97" t="s">
        <v>124</v>
      </c>
      <c r="E112" s="97" t="s">
        <v>351</v>
      </c>
      <c r="F112" s="84" t="s">
        <v>1389</v>
      </c>
      <c r="G112" s="97" t="s">
        <v>160</v>
      </c>
      <c r="H112" s="97" t="s">
        <v>168</v>
      </c>
      <c r="I112" s="94">
        <v>59561.213349999998</v>
      </c>
      <c r="J112" s="96">
        <v>168.9</v>
      </c>
      <c r="K112" s="84"/>
      <c r="L112" s="94">
        <v>100.59888935399999</v>
      </c>
      <c r="M112" s="95">
        <v>1.2850706534108533E-4</v>
      </c>
      <c r="N112" s="95">
        <f t="shared" si="2"/>
        <v>1.3444659469516679E-3</v>
      </c>
      <c r="O112" s="95">
        <f>L112/'סכום נכסי הקרן'!$C$42</f>
        <v>1.0585322074190044E-4</v>
      </c>
    </row>
    <row r="113" spans="2:15">
      <c r="B113" s="87" t="s">
        <v>1390</v>
      </c>
      <c r="C113" s="84" t="s">
        <v>1391</v>
      </c>
      <c r="D113" s="97" t="s">
        <v>124</v>
      </c>
      <c r="E113" s="97" t="s">
        <v>351</v>
      </c>
      <c r="F113" s="84" t="s">
        <v>1392</v>
      </c>
      <c r="G113" s="97" t="s">
        <v>1197</v>
      </c>
      <c r="H113" s="97" t="s">
        <v>168</v>
      </c>
      <c r="I113" s="94">
        <v>1461.1609120000001</v>
      </c>
      <c r="J113" s="96">
        <v>1998</v>
      </c>
      <c r="K113" s="84"/>
      <c r="L113" s="94">
        <v>29.193995038999997</v>
      </c>
      <c r="M113" s="95">
        <v>1.3875191648377361E-4</v>
      </c>
      <c r="N113" s="95">
        <f t="shared" si="2"/>
        <v>3.9016665529270834E-4</v>
      </c>
      <c r="O113" s="95">
        <f>L113/'סכום נכסי הקרן'!$C$42</f>
        <v>3.0718812315380081E-5</v>
      </c>
    </row>
    <row r="114" spans="2:15">
      <c r="B114" s="87" t="s">
        <v>1393</v>
      </c>
      <c r="C114" s="84" t="s">
        <v>1394</v>
      </c>
      <c r="D114" s="97" t="s">
        <v>124</v>
      </c>
      <c r="E114" s="97" t="s">
        <v>351</v>
      </c>
      <c r="F114" s="84" t="s">
        <v>1395</v>
      </c>
      <c r="G114" s="97" t="s">
        <v>709</v>
      </c>
      <c r="H114" s="97" t="s">
        <v>168</v>
      </c>
      <c r="I114" s="94">
        <v>776.90360299999998</v>
      </c>
      <c r="J114" s="96">
        <v>30690</v>
      </c>
      <c r="K114" s="84"/>
      <c r="L114" s="94">
        <v>238.431715607</v>
      </c>
      <c r="M114" s="95">
        <v>1.0082859762983163E-4</v>
      </c>
      <c r="N114" s="95">
        <f t="shared" si="2"/>
        <v>3.1865493184406596E-3</v>
      </c>
      <c r="O114" s="95">
        <f>L114/'סכום נכסי הקרן'!$C$42</f>
        <v>2.5088512593021245E-4</v>
      </c>
    </row>
    <row r="115" spans="2:15">
      <c r="B115" s="87" t="s">
        <v>1396</v>
      </c>
      <c r="C115" s="84" t="s">
        <v>1397</v>
      </c>
      <c r="D115" s="97" t="s">
        <v>124</v>
      </c>
      <c r="E115" s="97" t="s">
        <v>351</v>
      </c>
      <c r="F115" s="84" t="s">
        <v>1398</v>
      </c>
      <c r="G115" s="97" t="s">
        <v>667</v>
      </c>
      <c r="H115" s="97" t="s">
        <v>168</v>
      </c>
      <c r="I115" s="94">
        <v>38.264766999999999</v>
      </c>
      <c r="J115" s="96">
        <v>60.8</v>
      </c>
      <c r="K115" s="84"/>
      <c r="L115" s="94">
        <v>2.3264973000000001E-2</v>
      </c>
      <c r="M115" s="95">
        <v>5.5815319235959255E-6</v>
      </c>
      <c r="N115" s="95">
        <f t="shared" si="2"/>
        <v>3.1092752769050604E-7</v>
      </c>
      <c r="O115" s="95">
        <f>L115/'סכום נכסי הקרן'!$C$42</f>
        <v>2.4480114426088676E-8</v>
      </c>
    </row>
    <row r="116" spans="2:15">
      <c r="B116" s="87" t="s">
        <v>1399</v>
      </c>
      <c r="C116" s="84" t="s">
        <v>1400</v>
      </c>
      <c r="D116" s="97" t="s">
        <v>124</v>
      </c>
      <c r="E116" s="97" t="s">
        <v>351</v>
      </c>
      <c r="F116" s="84" t="s">
        <v>1401</v>
      </c>
      <c r="G116" s="97" t="s">
        <v>534</v>
      </c>
      <c r="H116" s="97" t="s">
        <v>168</v>
      </c>
      <c r="I116" s="94">
        <v>1847.3216359999999</v>
      </c>
      <c r="J116" s="96">
        <v>615</v>
      </c>
      <c r="K116" s="84"/>
      <c r="L116" s="94">
        <v>11.361028062999999</v>
      </c>
      <c r="M116" s="95">
        <v>1.4074431530441077E-4</v>
      </c>
      <c r="N116" s="95">
        <f t="shared" si="2"/>
        <v>1.518358249395367E-4</v>
      </c>
      <c r="O116" s="95">
        <f>L116/'סכום נכסי הקרן'!$C$42</f>
        <v>1.1954420363189098E-5</v>
      </c>
    </row>
    <row r="117" spans="2:15">
      <c r="B117" s="87" t="s">
        <v>1402</v>
      </c>
      <c r="C117" s="84" t="s">
        <v>1403</v>
      </c>
      <c r="D117" s="97" t="s">
        <v>124</v>
      </c>
      <c r="E117" s="97" t="s">
        <v>351</v>
      </c>
      <c r="F117" s="84" t="s">
        <v>1404</v>
      </c>
      <c r="G117" s="97" t="s">
        <v>534</v>
      </c>
      <c r="H117" s="97" t="s">
        <v>168</v>
      </c>
      <c r="I117" s="94">
        <v>4052.9522149999998</v>
      </c>
      <c r="J117" s="96">
        <v>1782</v>
      </c>
      <c r="K117" s="84"/>
      <c r="L117" s="94">
        <v>72.223608466999991</v>
      </c>
      <c r="M117" s="95">
        <v>1.5754618036968552E-4</v>
      </c>
      <c r="N117" s="95">
        <f t="shared" si="2"/>
        <v>9.6524109533810355E-4</v>
      </c>
      <c r="O117" s="95">
        <f>L117/'סכום נכסי הקרן'!$C$42</f>
        <v>7.5995884436968249E-5</v>
      </c>
    </row>
    <row r="118" spans="2:15">
      <c r="B118" s="87" t="s">
        <v>1405</v>
      </c>
      <c r="C118" s="84" t="s">
        <v>1406</v>
      </c>
      <c r="D118" s="97" t="s">
        <v>124</v>
      </c>
      <c r="E118" s="97" t="s">
        <v>351</v>
      </c>
      <c r="F118" s="84" t="s">
        <v>1407</v>
      </c>
      <c r="G118" s="97" t="s">
        <v>161</v>
      </c>
      <c r="H118" s="97" t="s">
        <v>168</v>
      </c>
      <c r="I118" s="94">
        <v>31140.435688000001</v>
      </c>
      <c r="J118" s="96">
        <v>299.3</v>
      </c>
      <c r="K118" s="84"/>
      <c r="L118" s="94">
        <v>93.203324026999994</v>
      </c>
      <c r="M118" s="95">
        <v>1.9274806082627746E-4</v>
      </c>
      <c r="N118" s="95">
        <f t="shared" si="2"/>
        <v>1.2456270253248197E-3</v>
      </c>
      <c r="O118" s="95">
        <f>L118/'סכום נכסי הקרן'!$C$42</f>
        <v>9.8071381259405709E-5</v>
      </c>
    </row>
    <row r="119" spans="2:15">
      <c r="B119" s="87" t="s">
        <v>1408</v>
      </c>
      <c r="C119" s="84" t="s">
        <v>1409</v>
      </c>
      <c r="D119" s="97" t="s">
        <v>124</v>
      </c>
      <c r="E119" s="97" t="s">
        <v>351</v>
      </c>
      <c r="F119" s="84" t="s">
        <v>1410</v>
      </c>
      <c r="G119" s="97" t="s">
        <v>195</v>
      </c>
      <c r="H119" s="97" t="s">
        <v>168</v>
      </c>
      <c r="I119" s="94">
        <v>1797.2620219999999</v>
      </c>
      <c r="J119" s="96">
        <v>1448</v>
      </c>
      <c r="K119" s="84"/>
      <c r="L119" s="94">
        <v>26.024354070999998</v>
      </c>
      <c r="M119" s="95">
        <v>2.0319458783006814E-4</v>
      </c>
      <c r="N119" s="95">
        <f t="shared" si="2"/>
        <v>3.4780560764194243E-4</v>
      </c>
      <c r="O119" s="95">
        <f>L119/'סכום נכסי הקרן'!$C$42</f>
        <v>2.7383619380221355E-5</v>
      </c>
    </row>
    <row r="120" spans="2:15">
      <c r="B120" s="87" t="s">
        <v>1411</v>
      </c>
      <c r="C120" s="84" t="s">
        <v>1412</v>
      </c>
      <c r="D120" s="97" t="s">
        <v>124</v>
      </c>
      <c r="E120" s="97" t="s">
        <v>351</v>
      </c>
      <c r="F120" s="84" t="s">
        <v>1413</v>
      </c>
      <c r="G120" s="97" t="s">
        <v>191</v>
      </c>
      <c r="H120" s="97" t="s">
        <v>168</v>
      </c>
      <c r="I120" s="94">
        <v>940.83646799999997</v>
      </c>
      <c r="J120" s="96">
        <v>4178</v>
      </c>
      <c r="K120" s="84"/>
      <c r="L120" s="94">
        <v>39.308147615999999</v>
      </c>
      <c r="M120" s="95">
        <v>1.1407355422103077E-4</v>
      </c>
      <c r="N120" s="95">
        <f t="shared" si="2"/>
        <v>5.2533846294755375E-4</v>
      </c>
      <c r="O120" s="95">
        <f>L120/'סכום נכסי הקרן'!$C$42</f>
        <v>4.136123224889471E-5</v>
      </c>
    </row>
    <row r="121" spans="2:15">
      <c r="B121" s="87" t="s">
        <v>1414</v>
      </c>
      <c r="C121" s="84" t="s">
        <v>1415</v>
      </c>
      <c r="D121" s="97" t="s">
        <v>124</v>
      </c>
      <c r="E121" s="97" t="s">
        <v>351</v>
      </c>
      <c r="F121" s="84" t="s">
        <v>1416</v>
      </c>
      <c r="G121" s="97" t="s">
        <v>534</v>
      </c>
      <c r="H121" s="97" t="s">
        <v>168</v>
      </c>
      <c r="I121" s="94">
        <v>20716.783856999999</v>
      </c>
      <c r="J121" s="96">
        <v>1023</v>
      </c>
      <c r="K121" s="84"/>
      <c r="L121" s="94">
        <v>211.932698856</v>
      </c>
      <c r="M121" s="95">
        <v>2.4407071860567422E-4</v>
      </c>
      <c r="N121" s="95">
        <f t="shared" si="2"/>
        <v>2.8324000243659261E-3</v>
      </c>
      <c r="O121" s="95">
        <f>L121/'סכום נכסי הקרן'!$C$42</f>
        <v>2.2300205199570497E-4</v>
      </c>
    </row>
    <row r="122" spans="2:15">
      <c r="B122" s="87" t="s">
        <v>1417</v>
      </c>
      <c r="C122" s="84" t="s">
        <v>1418</v>
      </c>
      <c r="D122" s="97" t="s">
        <v>124</v>
      </c>
      <c r="E122" s="97" t="s">
        <v>351</v>
      </c>
      <c r="F122" s="84" t="s">
        <v>1419</v>
      </c>
      <c r="G122" s="97" t="s">
        <v>534</v>
      </c>
      <c r="H122" s="97" t="s">
        <v>168</v>
      </c>
      <c r="I122" s="94">
        <v>4905.6070460000001</v>
      </c>
      <c r="J122" s="96">
        <v>820.3</v>
      </c>
      <c r="K122" s="84"/>
      <c r="L122" s="94">
        <v>40.240694609999998</v>
      </c>
      <c r="M122" s="95">
        <v>2.920554405636538E-4</v>
      </c>
      <c r="N122" s="95">
        <f t="shared" si="2"/>
        <v>5.3780159932427052E-4</v>
      </c>
      <c r="O122" s="95">
        <f>L122/'סכום נכסי הקרן'!$C$42</f>
        <v>4.2342486648838566E-5</v>
      </c>
    </row>
    <row r="123" spans="2:15">
      <c r="B123" s="87" t="s">
        <v>1420</v>
      </c>
      <c r="C123" s="84" t="s">
        <v>1421</v>
      </c>
      <c r="D123" s="97" t="s">
        <v>124</v>
      </c>
      <c r="E123" s="97" t="s">
        <v>351</v>
      </c>
      <c r="F123" s="84" t="s">
        <v>1422</v>
      </c>
      <c r="G123" s="97" t="s">
        <v>871</v>
      </c>
      <c r="H123" s="97" t="s">
        <v>168</v>
      </c>
      <c r="I123" s="94">
        <v>25354.938397999998</v>
      </c>
      <c r="J123" s="96">
        <v>10.199999999999999</v>
      </c>
      <c r="K123" s="84"/>
      <c r="L123" s="94">
        <v>2.586203727</v>
      </c>
      <c r="M123" s="95">
        <v>6.1577818975042998E-5</v>
      </c>
      <c r="N123" s="95">
        <f t="shared" si="2"/>
        <v>3.4563630524741306E-5</v>
      </c>
      <c r="O123" s="95">
        <f>L123/'סכום נכסי הקרן'!$C$42</f>
        <v>2.7212824689775912E-6</v>
      </c>
    </row>
    <row r="124" spans="2:15">
      <c r="B124" s="83"/>
      <c r="C124" s="84"/>
      <c r="D124" s="84"/>
      <c r="E124" s="84"/>
      <c r="F124" s="84"/>
      <c r="G124" s="84"/>
      <c r="H124" s="84"/>
      <c r="I124" s="94"/>
      <c r="J124" s="96"/>
      <c r="K124" s="84"/>
      <c r="L124" s="84"/>
      <c r="M124" s="84"/>
      <c r="N124" s="95"/>
      <c r="O124" s="84"/>
    </row>
    <row r="125" spans="2:15">
      <c r="B125" s="81" t="s">
        <v>237</v>
      </c>
      <c r="C125" s="82"/>
      <c r="D125" s="82"/>
      <c r="E125" s="82"/>
      <c r="F125" s="82"/>
      <c r="G125" s="82"/>
      <c r="H125" s="82"/>
      <c r="I125" s="91"/>
      <c r="J125" s="93"/>
      <c r="K125" s="91">
        <v>8.1808541139999988</v>
      </c>
      <c r="L125" s="91">
        <f>L126+L154</f>
        <v>23108.517562152003</v>
      </c>
      <c r="M125" s="82"/>
      <c r="N125" s="92">
        <f t="shared" ref="N125:N152" si="3">L125/$L$11</f>
        <v>0.30883656018825217</v>
      </c>
      <c r="O125" s="92">
        <f>L125/'סכום נכסי הקרן'!$C$42</f>
        <v>2.4315487240787286E-2</v>
      </c>
    </row>
    <row r="126" spans="2:15">
      <c r="B126" s="102" t="s">
        <v>67</v>
      </c>
      <c r="C126" s="82"/>
      <c r="D126" s="82"/>
      <c r="E126" s="82"/>
      <c r="F126" s="82"/>
      <c r="G126" s="82"/>
      <c r="H126" s="82"/>
      <c r="I126" s="91"/>
      <c r="J126" s="93"/>
      <c r="K126" s="91">
        <v>2.9235772310000003</v>
      </c>
      <c r="L126" s="91">
        <f>SUM(L127:L152)</f>
        <v>8464.4795204190013</v>
      </c>
      <c r="M126" s="82"/>
      <c r="N126" s="92">
        <f t="shared" si="3"/>
        <v>0.11312455382908891</v>
      </c>
      <c r="O126" s="92">
        <f>L126/'סכום נכסי הקרן'!$C$42</f>
        <v>8.9065836103545595E-3</v>
      </c>
    </row>
    <row r="127" spans="2:15">
      <c r="B127" s="87" t="s">
        <v>1423</v>
      </c>
      <c r="C127" s="84" t="s">
        <v>1424</v>
      </c>
      <c r="D127" s="97" t="s">
        <v>1425</v>
      </c>
      <c r="E127" s="97" t="s">
        <v>916</v>
      </c>
      <c r="F127" s="84" t="s">
        <v>1209</v>
      </c>
      <c r="G127" s="97" t="s">
        <v>196</v>
      </c>
      <c r="H127" s="97" t="s">
        <v>167</v>
      </c>
      <c r="I127" s="94">
        <v>5042.7999650000002</v>
      </c>
      <c r="J127" s="96">
        <v>850</v>
      </c>
      <c r="K127" s="84"/>
      <c r="L127" s="94">
        <v>148.137291764</v>
      </c>
      <c r="M127" s="95">
        <v>1.4697345705046933E-4</v>
      </c>
      <c r="N127" s="95">
        <f t="shared" si="3"/>
        <v>1.9797986392224775E-3</v>
      </c>
      <c r="O127" s="95">
        <f>L127/'סכום נכסי הקרן'!$C$42</f>
        <v>1.5587457819760217E-4</v>
      </c>
    </row>
    <row r="128" spans="2:15">
      <c r="B128" s="87" t="s">
        <v>1426</v>
      </c>
      <c r="C128" s="84" t="s">
        <v>1427</v>
      </c>
      <c r="D128" s="97" t="s">
        <v>1425</v>
      </c>
      <c r="E128" s="97" t="s">
        <v>916</v>
      </c>
      <c r="F128" s="84" t="s">
        <v>1428</v>
      </c>
      <c r="G128" s="97" t="s">
        <v>1005</v>
      </c>
      <c r="H128" s="97" t="s">
        <v>167</v>
      </c>
      <c r="I128" s="94">
        <v>2291.512831</v>
      </c>
      <c r="J128" s="96">
        <v>1507</v>
      </c>
      <c r="K128" s="84"/>
      <c r="L128" s="94">
        <v>119.34638791799999</v>
      </c>
      <c r="M128" s="95">
        <v>6.6623099435182326E-5</v>
      </c>
      <c r="N128" s="95">
        <f t="shared" si="3"/>
        <v>1.5950191446229408E-3</v>
      </c>
      <c r="O128" s="95">
        <f>L128/'סכום נכסי הקרן'!$C$42</f>
        <v>1.2557991073417564E-4</v>
      </c>
    </row>
    <row r="129" spans="2:15">
      <c r="B129" s="87" t="s">
        <v>1429</v>
      </c>
      <c r="C129" s="84" t="s">
        <v>1430</v>
      </c>
      <c r="D129" s="97" t="s">
        <v>1425</v>
      </c>
      <c r="E129" s="97" t="s">
        <v>916</v>
      </c>
      <c r="F129" s="84" t="s">
        <v>1294</v>
      </c>
      <c r="G129" s="97" t="s">
        <v>1164</v>
      </c>
      <c r="H129" s="97" t="s">
        <v>167</v>
      </c>
      <c r="I129" s="94">
        <v>2231.5398759999998</v>
      </c>
      <c r="J129" s="96">
        <v>1083</v>
      </c>
      <c r="K129" s="84"/>
      <c r="L129" s="94">
        <v>83.523145623999994</v>
      </c>
      <c r="M129" s="95">
        <v>5.7816940664582126E-5</v>
      </c>
      <c r="N129" s="95">
        <f t="shared" si="3"/>
        <v>1.1162551176743005E-3</v>
      </c>
      <c r="O129" s="95">
        <f>L129/'סכום נכסי הקרן'!$C$42</f>
        <v>8.7885602192720687E-5</v>
      </c>
    </row>
    <row r="130" spans="2:15">
      <c r="B130" s="87" t="s">
        <v>1431</v>
      </c>
      <c r="C130" s="84" t="s">
        <v>1432</v>
      </c>
      <c r="D130" s="97" t="s">
        <v>1425</v>
      </c>
      <c r="E130" s="97" t="s">
        <v>916</v>
      </c>
      <c r="F130" s="84" t="s">
        <v>1433</v>
      </c>
      <c r="G130" s="97" t="s">
        <v>935</v>
      </c>
      <c r="H130" s="97" t="s">
        <v>167</v>
      </c>
      <c r="I130" s="94">
        <v>832.34774700000014</v>
      </c>
      <c r="J130" s="96">
        <v>11096</v>
      </c>
      <c r="K130" s="84"/>
      <c r="L130" s="94">
        <v>319.18684965099999</v>
      </c>
      <c r="M130" s="95">
        <v>5.4673570476856775E-6</v>
      </c>
      <c r="N130" s="95">
        <f t="shared" si="3"/>
        <v>4.2658110126887611E-3</v>
      </c>
      <c r="O130" s="95">
        <f>L130/'סכום נכסי הקרן'!$C$42</f>
        <v>3.3585814188390596E-4</v>
      </c>
    </row>
    <row r="131" spans="2:15">
      <c r="B131" s="87" t="s">
        <v>1434</v>
      </c>
      <c r="C131" s="84" t="s">
        <v>1435</v>
      </c>
      <c r="D131" s="97" t="s">
        <v>1425</v>
      </c>
      <c r="E131" s="97" t="s">
        <v>916</v>
      </c>
      <c r="F131" s="84" t="s">
        <v>934</v>
      </c>
      <c r="G131" s="97" t="s">
        <v>935</v>
      </c>
      <c r="H131" s="97" t="s">
        <v>167</v>
      </c>
      <c r="I131" s="94">
        <v>535.45047</v>
      </c>
      <c r="J131" s="96">
        <v>11658</v>
      </c>
      <c r="K131" s="84"/>
      <c r="L131" s="94">
        <v>215.733251379</v>
      </c>
      <c r="M131" s="95">
        <v>1.4135929681619384E-5</v>
      </c>
      <c r="N131" s="95">
        <f t="shared" si="3"/>
        <v>2.8831929653177295E-3</v>
      </c>
      <c r="O131" s="95">
        <f>L131/'סכום נכסי הקרן'!$C$42</f>
        <v>2.2700110931872012E-4</v>
      </c>
    </row>
    <row r="132" spans="2:15">
      <c r="B132" s="87" t="s">
        <v>1436</v>
      </c>
      <c r="C132" s="84" t="s">
        <v>1437</v>
      </c>
      <c r="D132" s="97" t="s">
        <v>1425</v>
      </c>
      <c r="E132" s="97" t="s">
        <v>916</v>
      </c>
      <c r="F132" s="84" t="s">
        <v>731</v>
      </c>
      <c r="G132" s="97" t="s">
        <v>732</v>
      </c>
      <c r="H132" s="97" t="s">
        <v>167</v>
      </c>
      <c r="I132" s="94">
        <v>17.514735000000002</v>
      </c>
      <c r="J132" s="96">
        <v>15506</v>
      </c>
      <c r="K132" s="84"/>
      <c r="L132" s="94">
        <v>9.3859250999999997</v>
      </c>
      <c r="M132" s="95">
        <v>3.9660101784554966E-7</v>
      </c>
      <c r="N132" s="95">
        <f t="shared" si="3"/>
        <v>1.2543932401861224E-4</v>
      </c>
      <c r="O132" s="95">
        <f>L132/'סכום נכסי הקרן'!$C$42</f>
        <v>9.8761567633324905E-6</v>
      </c>
    </row>
    <row r="133" spans="2:15">
      <c r="B133" s="87" t="s">
        <v>1438</v>
      </c>
      <c r="C133" s="84" t="s">
        <v>1439</v>
      </c>
      <c r="D133" s="97" t="s">
        <v>127</v>
      </c>
      <c r="E133" s="97" t="s">
        <v>916</v>
      </c>
      <c r="F133" s="84" t="s">
        <v>1145</v>
      </c>
      <c r="G133" s="97" t="s">
        <v>150</v>
      </c>
      <c r="H133" s="97" t="s">
        <v>170</v>
      </c>
      <c r="I133" s="94">
        <v>8302.7175069999994</v>
      </c>
      <c r="J133" s="96">
        <v>930</v>
      </c>
      <c r="K133" s="84"/>
      <c r="L133" s="94">
        <v>352.07847945399999</v>
      </c>
      <c r="M133" s="95">
        <v>4.6884326366761877E-5</v>
      </c>
      <c r="N133" s="95">
        <f t="shared" si="3"/>
        <v>4.7053951521742509E-3</v>
      </c>
      <c r="O133" s="95">
        <f>L133/'סכום נכסי הקרן'!$C$42</f>
        <v>3.7046771831616699E-4</v>
      </c>
    </row>
    <row r="134" spans="2:15">
      <c r="B134" s="87" t="s">
        <v>1440</v>
      </c>
      <c r="C134" s="84" t="s">
        <v>1441</v>
      </c>
      <c r="D134" s="97" t="s">
        <v>1442</v>
      </c>
      <c r="E134" s="97" t="s">
        <v>916</v>
      </c>
      <c r="F134" s="84" t="s">
        <v>1443</v>
      </c>
      <c r="G134" s="97" t="s">
        <v>1444</v>
      </c>
      <c r="H134" s="97" t="s">
        <v>167</v>
      </c>
      <c r="I134" s="94">
        <v>1112.3708280000001</v>
      </c>
      <c r="J134" s="96">
        <v>2350</v>
      </c>
      <c r="K134" s="84"/>
      <c r="L134" s="94">
        <v>90.342309204000003</v>
      </c>
      <c r="M134" s="95">
        <v>3.499707824622538E-5</v>
      </c>
      <c r="N134" s="95">
        <f t="shared" si="3"/>
        <v>1.2073906488802274E-3</v>
      </c>
      <c r="O134" s="95">
        <f>L134/'סכום נכסי הקרן'!$C$42</f>
        <v>9.5060934170480407E-5</v>
      </c>
    </row>
    <row r="135" spans="2:15">
      <c r="B135" s="87" t="s">
        <v>1445</v>
      </c>
      <c r="C135" s="84" t="s">
        <v>1446</v>
      </c>
      <c r="D135" s="97" t="s">
        <v>1442</v>
      </c>
      <c r="E135" s="97" t="s">
        <v>916</v>
      </c>
      <c r="F135" s="84">
        <v>1760</v>
      </c>
      <c r="G135" s="97" t="s">
        <v>742</v>
      </c>
      <c r="H135" s="97" t="s">
        <v>167</v>
      </c>
      <c r="I135" s="94">
        <v>833.200965</v>
      </c>
      <c r="J135" s="96">
        <v>12902</v>
      </c>
      <c r="K135" s="94">
        <v>2.159656901</v>
      </c>
      <c r="L135" s="94">
        <v>373.678234772</v>
      </c>
      <c r="M135" s="95">
        <v>7.8032444807796249E-6</v>
      </c>
      <c r="N135" s="95">
        <f t="shared" si="3"/>
        <v>4.9940676780244036E-3</v>
      </c>
      <c r="O135" s="95">
        <f>L135/'סכום נכסי הקרן'!$C$42</f>
        <v>3.9319563988994907E-4</v>
      </c>
    </row>
    <row r="136" spans="2:15">
      <c r="B136" s="87" t="s">
        <v>1447</v>
      </c>
      <c r="C136" s="84" t="s">
        <v>1448</v>
      </c>
      <c r="D136" s="97" t="s">
        <v>1425</v>
      </c>
      <c r="E136" s="97" t="s">
        <v>916</v>
      </c>
      <c r="F136" s="84" t="s">
        <v>1449</v>
      </c>
      <c r="G136" s="97" t="s">
        <v>996</v>
      </c>
      <c r="H136" s="97" t="s">
        <v>167</v>
      </c>
      <c r="I136" s="94">
        <v>921.00733600000012</v>
      </c>
      <c r="J136" s="96">
        <v>2513</v>
      </c>
      <c r="K136" s="94">
        <v>0.76392033000000015</v>
      </c>
      <c r="L136" s="94">
        <v>80.75274430799999</v>
      </c>
      <c r="M136" s="95">
        <v>3.923281902683704E-5</v>
      </c>
      <c r="N136" s="95">
        <f t="shared" si="3"/>
        <v>1.0792297563341259E-3</v>
      </c>
      <c r="O136" s="95">
        <f>L136/'סכום נכסי הקרן'!$C$42</f>
        <v>8.4970501400561296E-5</v>
      </c>
    </row>
    <row r="137" spans="2:15">
      <c r="B137" s="87" t="s">
        <v>1450</v>
      </c>
      <c r="C137" s="84" t="s">
        <v>1451</v>
      </c>
      <c r="D137" s="97" t="s">
        <v>1425</v>
      </c>
      <c r="E137" s="97" t="s">
        <v>916</v>
      </c>
      <c r="F137" s="84" t="s">
        <v>1290</v>
      </c>
      <c r="G137" s="97" t="s">
        <v>1291</v>
      </c>
      <c r="H137" s="97" t="s">
        <v>167</v>
      </c>
      <c r="I137" s="94">
        <v>1155.1568239999999</v>
      </c>
      <c r="J137" s="96">
        <v>683</v>
      </c>
      <c r="K137" s="84"/>
      <c r="L137" s="94">
        <v>27.266876144999998</v>
      </c>
      <c r="M137" s="95">
        <v>2.8687056545588207E-5</v>
      </c>
      <c r="N137" s="95">
        <f t="shared" si="3"/>
        <v>3.6441144322875787E-4</v>
      </c>
      <c r="O137" s="95">
        <f>L137/'סכום נכסי הקרן'!$C$42</f>
        <v>2.8691039016962865E-5</v>
      </c>
    </row>
    <row r="138" spans="2:15">
      <c r="B138" s="87" t="s">
        <v>1452</v>
      </c>
      <c r="C138" s="84" t="s">
        <v>1453</v>
      </c>
      <c r="D138" s="97" t="s">
        <v>1425</v>
      </c>
      <c r="E138" s="97" t="s">
        <v>916</v>
      </c>
      <c r="F138" s="84" t="s">
        <v>1454</v>
      </c>
      <c r="G138" s="97" t="s">
        <v>30</v>
      </c>
      <c r="H138" s="97" t="s">
        <v>167</v>
      </c>
      <c r="I138" s="94">
        <v>4378.7963449999997</v>
      </c>
      <c r="J138" s="96">
        <v>3423</v>
      </c>
      <c r="K138" s="84"/>
      <c r="L138" s="94">
        <v>518.00670332999994</v>
      </c>
      <c r="M138" s="95">
        <v>1.0845295341480091E-4</v>
      </c>
      <c r="N138" s="95">
        <f t="shared" si="3"/>
        <v>6.9229628417581349E-3</v>
      </c>
      <c r="O138" s="95">
        <f>L138/'סכום נכסי הקרן'!$C$42</f>
        <v>5.4506245809953738E-4</v>
      </c>
    </row>
    <row r="139" spans="2:15">
      <c r="B139" s="87" t="s">
        <v>1455</v>
      </c>
      <c r="C139" s="84" t="s">
        <v>1456</v>
      </c>
      <c r="D139" s="97" t="s">
        <v>1425</v>
      </c>
      <c r="E139" s="97" t="s">
        <v>916</v>
      </c>
      <c r="F139" s="84" t="s">
        <v>1457</v>
      </c>
      <c r="G139" s="97" t="s">
        <v>953</v>
      </c>
      <c r="H139" s="97" t="s">
        <v>167</v>
      </c>
      <c r="I139" s="94">
        <v>4776.7986810000002</v>
      </c>
      <c r="J139" s="96">
        <v>310</v>
      </c>
      <c r="K139" s="84"/>
      <c r="L139" s="94">
        <v>51.176710337999999</v>
      </c>
      <c r="M139" s="95">
        <v>1.7575433155919576E-4</v>
      </c>
      <c r="N139" s="95">
        <f t="shared" si="3"/>
        <v>6.8395729583384864E-4</v>
      </c>
      <c r="O139" s="95">
        <f>L139/'סכום נכסי הקרן'!$C$42</f>
        <v>5.3849696065627723E-5</v>
      </c>
    </row>
    <row r="140" spans="2:15">
      <c r="B140" s="87" t="s">
        <v>1458</v>
      </c>
      <c r="C140" s="84" t="s">
        <v>1459</v>
      </c>
      <c r="D140" s="97" t="s">
        <v>1425</v>
      </c>
      <c r="E140" s="97" t="s">
        <v>916</v>
      </c>
      <c r="F140" s="84" t="s">
        <v>1460</v>
      </c>
      <c r="G140" s="97" t="s">
        <v>1164</v>
      </c>
      <c r="H140" s="97" t="s">
        <v>167</v>
      </c>
      <c r="I140" s="94">
        <v>474.83947800000004</v>
      </c>
      <c r="J140" s="96">
        <v>11718</v>
      </c>
      <c r="K140" s="84"/>
      <c r="L140" s="94">
        <v>192.29768092999998</v>
      </c>
      <c r="M140" s="95">
        <v>8.5556812234428596E-6</v>
      </c>
      <c r="N140" s="95">
        <f t="shared" si="3"/>
        <v>2.5699854675173129E-3</v>
      </c>
      <c r="O140" s="95">
        <f>L140/'סכום נכסי הקרן'!$C$42</f>
        <v>2.023414870517103E-4</v>
      </c>
    </row>
    <row r="141" spans="2:15">
      <c r="B141" s="87" t="s">
        <v>1461</v>
      </c>
      <c r="C141" s="84" t="s">
        <v>1462</v>
      </c>
      <c r="D141" s="97" t="s">
        <v>1425</v>
      </c>
      <c r="E141" s="97" t="s">
        <v>916</v>
      </c>
      <c r="F141" s="84" t="s">
        <v>1177</v>
      </c>
      <c r="G141" s="97" t="s">
        <v>196</v>
      </c>
      <c r="H141" s="97" t="s">
        <v>167</v>
      </c>
      <c r="I141" s="94">
        <v>2967.4214670000006</v>
      </c>
      <c r="J141" s="96">
        <v>15515</v>
      </c>
      <c r="K141" s="84"/>
      <c r="L141" s="94">
        <v>1591.1266426559998</v>
      </c>
      <c r="M141" s="95">
        <v>4.7758595084721089E-5</v>
      </c>
      <c r="N141" s="95">
        <f t="shared" si="3"/>
        <v>2.12648032406281E-2</v>
      </c>
      <c r="O141" s="95">
        <f>L141/'סכום נכסי הקרן'!$C$42</f>
        <v>1.674232000123842E-3</v>
      </c>
    </row>
    <row r="142" spans="2:15">
      <c r="B142" s="87" t="s">
        <v>1463</v>
      </c>
      <c r="C142" s="84" t="s">
        <v>1464</v>
      </c>
      <c r="D142" s="97" t="s">
        <v>1425</v>
      </c>
      <c r="E142" s="97" t="s">
        <v>916</v>
      </c>
      <c r="F142" s="84" t="s">
        <v>1271</v>
      </c>
      <c r="G142" s="97" t="s">
        <v>1164</v>
      </c>
      <c r="H142" s="97" t="s">
        <v>167</v>
      </c>
      <c r="I142" s="94">
        <v>2311.977547</v>
      </c>
      <c r="J142" s="96">
        <v>3783</v>
      </c>
      <c r="K142" s="84"/>
      <c r="L142" s="94">
        <v>302.26905430100004</v>
      </c>
      <c r="M142" s="95">
        <v>8.2799825466873598E-5</v>
      </c>
      <c r="N142" s="95">
        <f t="shared" si="3"/>
        <v>4.0397111035184634E-3</v>
      </c>
      <c r="O142" s="95">
        <f>L142/'סכום נכסי הקרן'!$C$42</f>
        <v>3.1805672143931101E-4</v>
      </c>
    </row>
    <row r="143" spans="2:15">
      <c r="B143" s="87" t="s">
        <v>1467</v>
      </c>
      <c r="C143" s="84" t="s">
        <v>1468</v>
      </c>
      <c r="D143" s="97" t="s">
        <v>1425</v>
      </c>
      <c r="E143" s="97" t="s">
        <v>916</v>
      </c>
      <c r="F143" s="84" t="s">
        <v>856</v>
      </c>
      <c r="G143" s="97" t="s">
        <v>195</v>
      </c>
      <c r="H143" s="97" t="s">
        <v>167</v>
      </c>
      <c r="I143" s="94">
        <v>185.048179</v>
      </c>
      <c r="J143" s="96">
        <v>436</v>
      </c>
      <c r="K143" s="84"/>
      <c r="L143" s="94">
        <v>2.7883355780000003</v>
      </c>
      <c r="M143" s="95">
        <v>1.127363989187093E-6</v>
      </c>
      <c r="N143" s="95">
        <f t="shared" si="3"/>
        <v>3.7265045940049802E-5</v>
      </c>
      <c r="O143" s="95">
        <f>L143/'סכום נכסי הקרן'!$C$42</f>
        <v>2.9339717698264303E-6</v>
      </c>
    </row>
    <row r="144" spans="2:15">
      <c r="B144" s="87" t="s">
        <v>1471</v>
      </c>
      <c r="C144" s="84" t="s">
        <v>1472</v>
      </c>
      <c r="D144" s="97" t="s">
        <v>1425</v>
      </c>
      <c r="E144" s="97" t="s">
        <v>916</v>
      </c>
      <c r="F144" s="84" t="s">
        <v>1300</v>
      </c>
      <c r="G144" s="97" t="s">
        <v>1291</v>
      </c>
      <c r="H144" s="97" t="s">
        <v>167</v>
      </c>
      <c r="I144" s="94">
        <v>975.60576900000001</v>
      </c>
      <c r="J144" s="96">
        <v>607</v>
      </c>
      <c r="K144" s="84"/>
      <c r="L144" s="94">
        <v>20.466179776000001</v>
      </c>
      <c r="M144" s="95">
        <v>2.766140477426332E-5</v>
      </c>
      <c r="N144" s="95">
        <f t="shared" si="3"/>
        <v>2.7352271928366795E-4</v>
      </c>
      <c r="O144" s="95">
        <f>L144/'סכום נכסי הקרן'!$C$42</f>
        <v>2.1535138802068753E-5</v>
      </c>
    </row>
    <row r="145" spans="2:15">
      <c r="B145" s="87" t="s">
        <v>1473</v>
      </c>
      <c r="C145" s="84" t="s">
        <v>1474</v>
      </c>
      <c r="D145" s="97" t="s">
        <v>1425</v>
      </c>
      <c r="E145" s="97" t="s">
        <v>916</v>
      </c>
      <c r="F145" s="84" t="s">
        <v>1475</v>
      </c>
      <c r="G145" s="97" t="s">
        <v>1014</v>
      </c>
      <c r="H145" s="97" t="s">
        <v>167</v>
      </c>
      <c r="I145" s="94">
        <v>2189.3418750000001</v>
      </c>
      <c r="J145" s="96">
        <v>1715</v>
      </c>
      <c r="K145" s="84"/>
      <c r="L145" s="94">
        <v>129.76316866799999</v>
      </c>
      <c r="M145" s="95">
        <v>1.0738664923962112E-4</v>
      </c>
      <c r="N145" s="95">
        <f t="shared" si="3"/>
        <v>1.7342354628663171E-3</v>
      </c>
      <c r="O145" s="95">
        <f>L145/'סכום נכסי הקרן'!$C$42</f>
        <v>1.3654076526478171E-4</v>
      </c>
    </row>
    <row r="146" spans="2:15">
      <c r="B146" s="87" t="s">
        <v>1476</v>
      </c>
      <c r="C146" s="84" t="s">
        <v>1477</v>
      </c>
      <c r="D146" s="97" t="s">
        <v>1425</v>
      </c>
      <c r="E146" s="97" t="s">
        <v>916</v>
      </c>
      <c r="F146" s="84" t="s">
        <v>1478</v>
      </c>
      <c r="G146" s="97" t="s">
        <v>991</v>
      </c>
      <c r="H146" s="97" t="s">
        <v>167</v>
      </c>
      <c r="I146" s="94">
        <v>3341.7638980000002</v>
      </c>
      <c r="J146" s="96">
        <v>9509</v>
      </c>
      <c r="K146" s="84"/>
      <c r="L146" s="94">
        <v>1098.2073452250002</v>
      </c>
      <c r="M146" s="95">
        <v>6.8745594283056434E-5</v>
      </c>
      <c r="N146" s="95">
        <f t="shared" si="3"/>
        <v>1.467712405006287E-2</v>
      </c>
      <c r="O146" s="95">
        <f>L146/'סכום נכסי הקרן'!$C$42</f>
        <v>1.1555672759508068E-3</v>
      </c>
    </row>
    <row r="147" spans="2:15">
      <c r="B147" s="87" t="s">
        <v>1479</v>
      </c>
      <c r="C147" s="84" t="s">
        <v>1480</v>
      </c>
      <c r="D147" s="97" t="s">
        <v>1425</v>
      </c>
      <c r="E147" s="97" t="s">
        <v>916</v>
      </c>
      <c r="F147" s="84" t="s">
        <v>929</v>
      </c>
      <c r="G147" s="97" t="s">
        <v>930</v>
      </c>
      <c r="H147" s="97" t="s">
        <v>167</v>
      </c>
      <c r="I147" s="94">
        <v>31433.444694000002</v>
      </c>
      <c r="J147" s="96">
        <v>980</v>
      </c>
      <c r="K147" s="84"/>
      <c r="L147" s="94">
        <v>1064.613051652</v>
      </c>
      <c r="M147" s="95">
        <v>2.8782848812157849E-5</v>
      </c>
      <c r="N147" s="95">
        <f t="shared" si="3"/>
        <v>1.4228149076175645E-2</v>
      </c>
      <c r="O147" s="95">
        <f>L147/'סכום נכסי הקרן'!$C$42</f>
        <v>1.1202183352608409E-3</v>
      </c>
    </row>
    <row r="148" spans="2:15">
      <c r="B148" s="87" t="s">
        <v>1481</v>
      </c>
      <c r="C148" s="84" t="s">
        <v>1482</v>
      </c>
      <c r="D148" s="97" t="s">
        <v>1425</v>
      </c>
      <c r="E148" s="97" t="s">
        <v>916</v>
      </c>
      <c r="F148" s="84" t="s">
        <v>1163</v>
      </c>
      <c r="G148" s="97" t="s">
        <v>1164</v>
      </c>
      <c r="H148" s="97" t="s">
        <v>167</v>
      </c>
      <c r="I148" s="94">
        <v>3698.3113579999999</v>
      </c>
      <c r="J148" s="96">
        <v>2406</v>
      </c>
      <c r="K148" s="84"/>
      <c r="L148" s="94">
        <v>307.51961915699997</v>
      </c>
      <c r="M148" s="95">
        <v>3.466624793839661E-5</v>
      </c>
      <c r="N148" s="95">
        <f t="shared" si="3"/>
        <v>4.1098829085600905E-3</v>
      </c>
      <c r="O148" s="95">
        <f>L148/'סכום נכסי הקרן'!$C$42</f>
        <v>3.2358152598030394E-4</v>
      </c>
    </row>
    <row r="149" spans="2:15">
      <c r="B149" s="87" t="s">
        <v>1483</v>
      </c>
      <c r="C149" s="84" t="s">
        <v>1484</v>
      </c>
      <c r="D149" s="97" t="s">
        <v>1442</v>
      </c>
      <c r="E149" s="97" t="s">
        <v>916</v>
      </c>
      <c r="F149" s="84" t="s">
        <v>1485</v>
      </c>
      <c r="G149" s="97" t="s">
        <v>935</v>
      </c>
      <c r="H149" s="97" t="s">
        <v>167</v>
      </c>
      <c r="I149" s="94">
        <v>2198.089234</v>
      </c>
      <c r="J149" s="96">
        <v>1759</v>
      </c>
      <c r="K149" s="84"/>
      <c r="L149" s="94">
        <v>133.62413056300002</v>
      </c>
      <c r="M149" s="95">
        <v>6.3069671224379669E-5</v>
      </c>
      <c r="N149" s="95">
        <f t="shared" si="3"/>
        <v>1.7858357521303369E-3</v>
      </c>
      <c r="O149" s="95">
        <f>L149/'סכום נכסי הקרן'!$C$42</f>
        <v>1.4060338717216021E-4</v>
      </c>
    </row>
    <row r="150" spans="2:15">
      <c r="B150" s="87" t="s">
        <v>1486</v>
      </c>
      <c r="C150" s="84" t="s">
        <v>1487</v>
      </c>
      <c r="D150" s="97" t="s">
        <v>1425</v>
      </c>
      <c r="E150" s="97" t="s">
        <v>916</v>
      </c>
      <c r="F150" s="84" t="s">
        <v>1488</v>
      </c>
      <c r="G150" s="97" t="s">
        <v>1014</v>
      </c>
      <c r="H150" s="97" t="s">
        <v>167</v>
      </c>
      <c r="I150" s="94">
        <v>1847.3091260000001</v>
      </c>
      <c r="J150" s="96">
        <v>3337</v>
      </c>
      <c r="K150" s="84"/>
      <c r="L150" s="94">
        <v>213.04410229600001</v>
      </c>
      <c r="M150" s="95">
        <v>8.8052722027800372E-5</v>
      </c>
      <c r="N150" s="95">
        <f t="shared" si="3"/>
        <v>2.8472535092105432E-3</v>
      </c>
      <c r="O150" s="95">
        <f>L150/'סכום נכסי הקרן'!$C$42</f>
        <v>2.241715046052029E-4</v>
      </c>
    </row>
    <row r="151" spans="2:15">
      <c r="B151" s="87" t="s">
        <v>1489</v>
      </c>
      <c r="C151" s="84" t="s">
        <v>1490</v>
      </c>
      <c r="D151" s="97" t="s">
        <v>1425</v>
      </c>
      <c r="E151" s="97" t="s">
        <v>916</v>
      </c>
      <c r="F151" s="84" t="s">
        <v>1491</v>
      </c>
      <c r="G151" s="97" t="s">
        <v>935</v>
      </c>
      <c r="H151" s="97" t="s">
        <v>167</v>
      </c>
      <c r="I151" s="94">
        <v>3838.2290699999999</v>
      </c>
      <c r="J151" s="96">
        <v>5536</v>
      </c>
      <c r="K151" s="84"/>
      <c r="L151" s="94">
        <v>734.34595270499995</v>
      </c>
      <c r="M151" s="95">
        <v>5.7437886944652142E-5</v>
      </c>
      <c r="N151" s="95">
        <f t="shared" si="3"/>
        <v>9.8142547401234848E-3</v>
      </c>
      <c r="O151" s="95">
        <f>L151/'סכום נכסי הקרן'!$C$42</f>
        <v>7.7270121699919876E-4</v>
      </c>
    </row>
    <row r="152" spans="2:15">
      <c r="B152" s="87" t="s">
        <v>1492</v>
      </c>
      <c r="C152" s="84" t="s">
        <v>1493</v>
      </c>
      <c r="D152" s="97" t="s">
        <v>1425</v>
      </c>
      <c r="E152" s="97" t="s">
        <v>916</v>
      </c>
      <c r="F152" s="84" t="s">
        <v>1494</v>
      </c>
      <c r="G152" s="97" t="s">
        <v>935</v>
      </c>
      <c r="H152" s="97" t="s">
        <v>167</v>
      </c>
      <c r="I152" s="94">
        <v>675.73599100000001</v>
      </c>
      <c r="J152" s="96">
        <v>12238</v>
      </c>
      <c r="K152" s="84"/>
      <c r="L152" s="94">
        <v>285.79934792500001</v>
      </c>
      <c r="M152" s="95">
        <v>1.3210366451530518E-5</v>
      </c>
      <c r="N152" s="95">
        <f t="shared" si="3"/>
        <v>3.8195997332934367E-3</v>
      </c>
      <c r="O152" s="95">
        <f>L152/'סכום נכסי הקרן'!$C$42</f>
        <v>3.0072679388476096E-4</v>
      </c>
    </row>
    <row r="153" spans="2:15">
      <c r="B153" s="83"/>
      <c r="C153" s="84"/>
      <c r="D153" s="84"/>
      <c r="E153" s="84"/>
      <c r="F153" s="84"/>
      <c r="G153" s="84"/>
      <c r="H153" s="84"/>
      <c r="I153" s="94"/>
      <c r="J153" s="96"/>
      <c r="K153" s="84"/>
      <c r="L153" s="84"/>
      <c r="M153" s="84"/>
      <c r="N153" s="95"/>
      <c r="O153" s="84"/>
    </row>
    <row r="154" spans="2:15">
      <c r="B154" s="102" t="s">
        <v>66</v>
      </c>
      <c r="C154" s="82"/>
      <c r="D154" s="82"/>
      <c r="E154" s="82"/>
      <c r="F154" s="82"/>
      <c r="G154" s="82"/>
      <c r="H154" s="82"/>
      <c r="I154" s="91"/>
      <c r="J154" s="93"/>
      <c r="K154" s="91">
        <v>5.2572768830000003</v>
      </c>
      <c r="L154" s="91">
        <f>SUM(L155:L214)</f>
        <v>14644.038041733</v>
      </c>
      <c r="M154" s="82"/>
      <c r="N154" s="92">
        <f t="shared" ref="N154:N213" si="4">L154/$L$11</f>
        <v>0.19571200635916322</v>
      </c>
      <c r="O154" s="92">
        <f>L154/'סכום נכסי הקרן'!$C$42</f>
        <v>1.5408903630432727E-2</v>
      </c>
    </row>
    <row r="155" spans="2:15">
      <c r="B155" s="87" t="s">
        <v>1495</v>
      </c>
      <c r="C155" s="84" t="s">
        <v>1496</v>
      </c>
      <c r="D155" s="97" t="s">
        <v>143</v>
      </c>
      <c r="E155" s="97" t="s">
        <v>916</v>
      </c>
      <c r="F155" s="84"/>
      <c r="G155" s="97" t="s">
        <v>1497</v>
      </c>
      <c r="H155" s="97" t="s">
        <v>1498</v>
      </c>
      <c r="I155" s="94">
        <v>1637.7518009999999</v>
      </c>
      <c r="J155" s="96">
        <v>2337</v>
      </c>
      <c r="K155" s="84"/>
      <c r="L155" s="94">
        <v>136.83047805899997</v>
      </c>
      <c r="M155" s="95">
        <v>7.5536891466016456E-7</v>
      </c>
      <c r="N155" s="95">
        <f t="shared" si="4"/>
        <v>1.8286873685860237E-3</v>
      </c>
      <c r="O155" s="95">
        <f>L155/'סכום נכסי הקרן'!$C$42</f>
        <v>1.4397720383603003E-4</v>
      </c>
    </row>
    <row r="156" spans="2:15">
      <c r="B156" s="87" t="s">
        <v>1499</v>
      </c>
      <c r="C156" s="84" t="s">
        <v>1500</v>
      </c>
      <c r="D156" s="97" t="s">
        <v>30</v>
      </c>
      <c r="E156" s="97" t="s">
        <v>916</v>
      </c>
      <c r="F156" s="84"/>
      <c r="G156" s="97" t="s">
        <v>1065</v>
      </c>
      <c r="H156" s="97" t="s">
        <v>169</v>
      </c>
      <c r="I156" s="94">
        <v>181.53156000000001</v>
      </c>
      <c r="J156" s="96">
        <v>28980</v>
      </c>
      <c r="K156" s="84"/>
      <c r="L156" s="94">
        <v>204.02374869800002</v>
      </c>
      <c r="M156" s="95">
        <v>9.0577294989537428E-7</v>
      </c>
      <c r="N156" s="95">
        <f t="shared" si="4"/>
        <v>2.7266999094655406E-3</v>
      </c>
      <c r="O156" s="95">
        <f>L156/'סכום נכסי הקרן'!$C$42</f>
        <v>2.1468001333019388E-4</v>
      </c>
    </row>
    <row r="157" spans="2:15">
      <c r="B157" s="87" t="s">
        <v>1501</v>
      </c>
      <c r="C157" s="84" t="s">
        <v>1502</v>
      </c>
      <c r="D157" s="97" t="s">
        <v>30</v>
      </c>
      <c r="E157" s="97" t="s">
        <v>916</v>
      </c>
      <c r="F157" s="84"/>
      <c r="G157" s="97" t="s">
        <v>1503</v>
      </c>
      <c r="H157" s="97" t="s">
        <v>169</v>
      </c>
      <c r="I157" s="94">
        <v>880.74095999999986</v>
      </c>
      <c r="J157" s="96">
        <v>3210</v>
      </c>
      <c r="K157" s="84"/>
      <c r="L157" s="94">
        <v>109.64363587300001</v>
      </c>
      <c r="M157" s="95">
        <v>1.9928697634985187E-5</v>
      </c>
      <c r="N157" s="95">
        <f t="shared" si="4"/>
        <v>1.4653455488209666E-3</v>
      </c>
      <c r="O157" s="95">
        <f>L157/'סכום נכסי הקרן'!$C$42</f>
        <v>1.1537037899263589E-4</v>
      </c>
    </row>
    <row r="158" spans="2:15">
      <c r="B158" s="87" t="s">
        <v>1504</v>
      </c>
      <c r="C158" s="84" t="s">
        <v>1505</v>
      </c>
      <c r="D158" s="97" t="s">
        <v>30</v>
      </c>
      <c r="E158" s="97" t="s">
        <v>916</v>
      </c>
      <c r="F158" s="84"/>
      <c r="G158" s="97" t="s">
        <v>1497</v>
      </c>
      <c r="H158" s="97" t="s">
        <v>169</v>
      </c>
      <c r="I158" s="94">
        <v>678.42233899999997</v>
      </c>
      <c r="J158" s="96">
        <v>13048</v>
      </c>
      <c r="K158" s="84"/>
      <c r="L158" s="94">
        <v>343.30038475600003</v>
      </c>
      <c r="M158" s="95">
        <v>8.6624824831991319E-7</v>
      </c>
      <c r="N158" s="95">
        <f t="shared" si="4"/>
        <v>4.5880792506134685E-3</v>
      </c>
      <c r="O158" s="95">
        <f>L158/'סכום נכסי הקרן'!$C$42</f>
        <v>3.6123113924727739E-4</v>
      </c>
    </row>
    <row r="159" spans="2:15">
      <c r="B159" s="87" t="s">
        <v>1506</v>
      </c>
      <c r="C159" s="84" t="s">
        <v>1507</v>
      </c>
      <c r="D159" s="97" t="s">
        <v>1442</v>
      </c>
      <c r="E159" s="97" t="s">
        <v>916</v>
      </c>
      <c r="F159" s="84"/>
      <c r="G159" s="97" t="s">
        <v>1444</v>
      </c>
      <c r="H159" s="97" t="s">
        <v>167</v>
      </c>
      <c r="I159" s="94">
        <v>607.00782400000003</v>
      </c>
      <c r="J159" s="96">
        <v>21210</v>
      </c>
      <c r="K159" s="84"/>
      <c r="L159" s="94">
        <v>444.94741806499997</v>
      </c>
      <c r="M159" s="95">
        <v>2.2626555799209857E-7</v>
      </c>
      <c r="N159" s="95">
        <f t="shared" si="4"/>
        <v>5.9465532434198158E-3</v>
      </c>
      <c r="O159" s="95">
        <f>L159/'סכום נכסי הקרן'!$C$42</f>
        <v>4.6818724903845426E-4</v>
      </c>
    </row>
    <row r="160" spans="2:15">
      <c r="B160" s="87" t="s">
        <v>1508</v>
      </c>
      <c r="C160" s="84" t="s">
        <v>1509</v>
      </c>
      <c r="D160" s="97" t="s">
        <v>1425</v>
      </c>
      <c r="E160" s="97" t="s">
        <v>916</v>
      </c>
      <c r="F160" s="84"/>
      <c r="G160" s="97" t="s">
        <v>935</v>
      </c>
      <c r="H160" s="97" t="s">
        <v>167</v>
      </c>
      <c r="I160" s="94">
        <v>147.53759700000001</v>
      </c>
      <c r="J160" s="96">
        <v>133702</v>
      </c>
      <c r="K160" s="84"/>
      <c r="L160" s="94">
        <v>681.73304121199999</v>
      </c>
      <c r="M160" s="95">
        <v>4.2944934156170203E-7</v>
      </c>
      <c r="N160" s="95">
        <f t="shared" si="4"/>
        <v>9.1111031613480484E-3</v>
      </c>
      <c r="O160" s="95">
        <f>L160/'סכום נכסי הקרן'!$C$42</f>
        <v>7.1734030625847649E-4</v>
      </c>
    </row>
    <row r="161" spans="2:15">
      <c r="B161" s="87" t="s">
        <v>1510</v>
      </c>
      <c r="C161" s="84" t="s">
        <v>1511</v>
      </c>
      <c r="D161" s="97" t="s">
        <v>1425</v>
      </c>
      <c r="E161" s="97" t="s">
        <v>916</v>
      </c>
      <c r="F161" s="84"/>
      <c r="G161" s="97" t="s">
        <v>1444</v>
      </c>
      <c r="H161" s="97" t="s">
        <v>167</v>
      </c>
      <c r="I161" s="94">
        <v>68.318106</v>
      </c>
      <c r="J161" s="96">
        <v>184784</v>
      </c>
      <c r="K161" s="84"/>
      <c r="L161" s="94">
        <v>436.28865027699999</v>
      </c>
      <c r="M161" s="95">
        <v>1.3779445153000254E-7</v>
      </c>
      <c r="N161" s="95">
        <f t="shared" si="4"/>
        <v>5.8308321006886798E-3</v>
      </c>
      <c r="O161" s="95">
        <f>L161/'סכום נכסי הקרן'!$C$42</f>
        <v>4.5907622938503922E-4</v>
      </c>
    </row>
    <row r="162" spans="2:15">
      <c r="B162" s="87" t="s">
        <v>1512</v>
      </c>
      <c r="C162" s="84" t="s">
        <v>1513</v>
      </c>
      <c r="D162" s="97" t="s">
        <v>30</v>
      </c>
      <c r="E162" s="97" t="s">
        <v>916</v>
      </c>
      <c r="F162" s="84"/>
      <c r="G162" s="97" t="s">
        <v>1503</v>
      </c>
      <c r="H162" s="97" t="s">
        <v>169</v>
      </c>
      <c r="I162" s="94">
        <v>18515.577000000001</v>
      </c>
      <c r="J162" s="96">
        <v>798.4</v>
      </c>
      <c r="K162" s="84"/>
      <c r="L162" s="94">
        <v>573.30797199999995</v>
      </c>
      <c r="M162" s="95">
        <v>1.5132368823178441E-5</v>
      </c>
      <c r="N162" s="95">
        <f t="shared" si="4"/>
        <v>7.6620432931178489E-3</v>
      </c>
      <c r="O162" s="95">
        <f>L162/'סכום נכסי הקרן'!$C$42</f>
        <v>6.03252140286122E-4</v>
      </c>
    </row>
    <row r="163" spans="2:15">
      <c r="B163" s="87" t="s">
        <v>1514</v>
      </c>
      <c r="C163" s="84" t="s">
        <v>1515</v>
      </c>
      <c r="D163" s="97" t="s">
        <v>30</v>
      </c>
      <c r="E163" s="97" t="s">
        <v>916</v>
      </c>
      <c r="F163" s="84"/>
      <c r="G163" s="97" t="s">
        <v>991</v>
      </c>
      <c r="H163" s="97" t="s">
        <v>169</v>
      </c>
      <c r="I163" s="94">
        <v>278.47978599999999</v>
      </c>
      <c r="J163" s="96">
        <v>26370</v>
      </c>
      <c r="K163" s="84"/>
      <c r="L163" s="94">
        <v>284.79608097599998</v>
      </c>
      <c r="M163" s="95">
        <v>6.5423110395557692E-7</v>
      </c>
      <c r="N163" s="95">
        <f t="shared" si="4"/>
        <v>3.8061914515788533E-3</v>
      </c>
      <c r="O163" s="95">
        <f>L163/'סכום נכסי הקרן'!$C$42</f>
        <v>2.9967112579043595E-4</v>
      </c>
    </row>
    <row r="164" spans="2:15">
      <c r="B164" s="87" t="s">
        <v>1516</v>
      </c>
      <c r="C164" s="84" t="s">
        <v>1517</v>
      </c>
      <c r="D164" s="97" t="s">
        <v>1442</v>
      </c>
      <c r="E164" s="97" t="s">
        <v>916</v>
      </c>
      <c r="F164" s="84"/>
      <c r="G164" s="97" t="s">
        <v>948</v>
      </c>
      <c r="H164" s="97" t="s">
        <v>167</v>
      </c>
      <c r="I164" s="94">
        <v>1834.7394770000001</v>
      </c>
      <c r="J164" s="96">
        <v>3522</v>
      </c>
      <c r="K164" s="84"/>
      <c r="L164" s="94">
        <v>223.32507625599999</v>
      </c>
      <c r="M164" s="95">
        <v>2.0397082493934751E-7</v>
      </c>
      <c r="N164" s="95">
        <f t="shared" si="4"/>
        <v>2.9846548212874267E-3</v>
      </c>
      <c r="O164" s="95">
        <f>L164/'סכום נכסי הקרן'!$C$42</f>
        <v>2.3498945908778226E-4</v>
      </c>
    </row>
    <row r="165" spans="2:15">
      <c r="B165" s="87" t="s">
        <v>1518</v>
      </c>
      <c r="C165" s="84" t="s">
        <v>1519</v>
      </c>
      <c r="D165" s="97" t="s">
        <v>1442</v>
      </c>
      <c r="E165" s="97" t="s">
        <v>916</v>
      </c>
      <c r="F165" s="84"/>
      <c r="G165" s="97" t="s">
        <v>974</v>
      </c>
      <c r="H165" s="97" t="s">
        <v>167</v>
      </c>
      <c r="I165" s="94">
        <v>55.112982000000002</v>
      </c>
      <c r="J165" s="96">
        <v>50270</v>
      </c>
      <c r="K165" s="84"/>
      <c r="L165" s="94">
        <v>95.749502505999999</v>
      </c>
      <c r="M165" s="95">
        <v>3.5701710141819268E-7</v>
      </c>
      <c r="N165" s="95">
        <f t="shared" si="4"/>
        <v>1.2796557336123488E-3</v>
      </c>
      <c r="O165" s="95">
        <f>L165/'סכום נכסי הקרן'!$C$42</f>
        <v>1.0075054794123099E-4</v>
      </c>
    </row>
    <row r="166" spans="2:15">
      <c r="B166" s="87" t="s">
        <v>1520</v>
      </c>
      <c r="C166" s="84" t="s">
        <v>1521</v>
      </c>
      <c r="D166" s="97" t="s">
        <v>1442</v>
      </c>
      <c r="E166" s="97" t="s">
        <v>916</v>
      </c>
      <c r="F166" s="84"/>
      <c r="G166" s="97" t="s">
        <v>1497</v>
      </c>
      <c r="H166" s="97" t="s">
        <v>167</v>
      </c>
      <c r="I166" s="94">
        <v>167.81814700000004</v>
      </c>
      <c r="J166" s="96">
        <v>32576</v>
      </c>
      <c r="K166" s="84"/>
      <c r="L166" s="94">
        <v>188.93412747400001</v>
      </c>
      <c r="M166" s="95">
        <v>2.9818898582593952E-7</v>
      </c>
      <c r="N166" s="95">
        <f t="shared" si="4"/>
        <v>2.5250328531158722E-3</v>
      </c>
      <c r="O166" s="95">
        <f>L166/'סכום נכסי הקרן'!$C$42</f>
        <v>1.9880225348023161E-4</v>
      </c>
    </row>
    <row r="167" spans="2:15">
      <c r="B167" s="87" t="s">
        <v>1522</v>
      </c>
      <c r="C167" s="84" t="s">
        <v>1523</v>
      </c>
      <c r="D167" s="97" t="s">
        <v>127</v>
      </c>
      <c r="E167" s="97" t="s">
        <v>916</v>
      </c>
      <c r="F167" s="84"/>
      <c r="G167" s="97" t="s">
        <v>918</v>
      </c>
      <c r="H167" s="97" t="s">
        <v>170</v>
      </c>
      <c r="I167" s="94">
        <v>6483.27</v>
      </c>
      <c r="J167" s="96">
        <v>471.6</v>
      </c>
      <c r="K167" s="84"/>
      <c r="L167" s="94">
        <v>139.41328948899999</v>
      </c>
      <c r="M167" s="95">
        <v>3.1955476262662639E-7</v>
      </c>
      <c r="N167" s="95">
        <f t="shared" si="4"/>
        <v>1.8632056623498156E-3</v>
      </c>
      <c r="O167" s="95">
        <f>L167/'סכום נכסי הקרן'!$C$42</f>
        <v>1.4669491682660219E-4</v>
      </c>
    </row>
    <row r="168" spans="2:15">
      <c r="B168" s="87" t="s">
        <v>1524</v>
      </c>
      <c r="C168" s="84" t="s">
        <v>1525</v>
      </c>
      <c r="D168" s="97" t="s">
        <v>1442</v>
      </c>
      <c r="E168" s="97" t="s">
        <v>916</v>
      </c>
      <c r="F168" s="84"/>
      <c r="G168" s="97" t="s">
        <v>1497</v>
      </c>
      <c r="H168" s="97" t="s">
        <v>167</v>
      </c>
      <c r="I168" s="94">
        <v>818.49987099999998</v>
      </c>
      <c r="J168" s="96">
        <v>14768</v>
      </c>
      <c r="K168" s="84"/>
      <c r="L168" s="94">
        <v>417.74766662099995</v>
      </c>
      <c r="M168" s="95">
        <v>1.4810231605152498E-6</v>
      </c>
      <c r="N168" s="95">
        <f t="shared" si="4"/>
        <v>5.583038896324756E-3</v>
      </c>
      <c r="O168" s="95">
        <f>L168/'סכום נכסי הקרן'!$C$42</f>
        <v>4.3956684067991925E-4</v>
      </c>
    </row>
    <row r="169" spans="2:15">
      <c r="B169" s="87" t="s">
        <v>1526</v>
      </c>
      <c r="C169" s="84" t="s">
        <v>1527</v>
      </c>
      <c r="D169" s="97" t="s">
        <v>1425</v>
      </c>
      <c r="E169" s="97" t="s">
        <v>916</v>
      </c>
      <c r="F169" s="84"/>
      <c r="G169" s="97" t="s">
        <v>996</v>
      </c>
      <c r="H169" s="97" t="s">
        <v>167</v>
      </c>
      <c r="I169" s="94">
        <v>1004.847204</v>
      </c>
      <c r="J169" s="96">
        <v>4796</v>
      </c>
      <c r="K169" s="84"/>
      <c r="L169" s="94">
        <v>166.553182897</v>
      </c>
      <c r="M169" s="95">
        <v>2.3686586754577053E-7</v>
      </c>
      <c r="N169" s="95">
        <f t="shared" si="4"/>
        <v>2.2259200295288921E-3</v>
      </c>
      <c r="O169" s="95">
        <f>L169/'סכום נכסי הקרן'!$C$42</f>
        <v>1.7525234073333484E-4</v>
      </c>
    </row>
    <row r="170" spans="2:15">
      <c r="B170" s="87" t="s">
        <v>1528</v>
      </c>
      <c r="C170" s="84" t="s">
        <v>1529</v>
      </c>
      <c r="D170" s="97" t="s">
        <v>1442</v>
      </c>
      <c r="E170" s="97" t="s">
        <v>916</v>
      </c>
      <c r="F170" s="84"/>
      <c r="G170" s="97" t="s">
        <v>948</v>
      </c>
      <c r="H170" s="97" t="s">
        <v>167</v>
      </c>
      <c r="I170" s="94">
        <v>435.30749400000002</v>
      </c>
      <c r="J170" s="96">
        <v>7989</v>
      </c>
      <c r="K170" s="84"/>
      <c r="L170" s="94">
        <v>120.18832951</v>
      </c>
      <c r="M170" s="95">
        <v>1.9939020809117857E-7</v>
      </c>
      <c r="N170" s="95">
        <f t="shared" si="4"/>
        <v>1.6062713742154863E-3</v>
      </c>
      <c r="O170" s="95">
        <f>L170/'סכום נכסי הקרן'!$C$42</f>
        <v>1.2646582736568188E-4</v>
      </c>
    </row>
    <row r="171" spans="2:15">
      <c r="B171" s="87" t="s">
        <v>1530</v>
      </c>
      <c r="C171" s="84" t="s">
        <v>1531</v>
      </c>
      <c r="D171" s="97" t="s">
        <v>30</v>
      </c>
      <c r="E171" s="97" t="s">
        <v>916</v>
      </c>
      <c r="F171" s="84"/>
      <c r="G171" s="97" t="s">
        <v>958</v>
      </c>
      <c r="H171" s="97" t="s">
        <v>169</v>
      </c>
      <c r="I171" s="94">
        <v>387.05899899999997</v>
      </c>
      <c r="J171" s="96">
        <v>7390</v>
      </c>
      <c r="K171" s="84"/>
      <c r="L171" s="94">
        <v>110.930714286</v>
      </c>
      <c r="M171" s="95">
        <v>5.6412660221821048E-7</v>
      </c>
      <c r="N171" s="95">
        <f t="shared" si="4"/>
        <v>1.4825468629552192E-3</v>
      </c>
      <c r="O171" s="95">
        <f>L171/'סכום נכסי הקרן'!$C$42</f>
        <v>1.1672468216872762E-4</v>
      </c>
    </row>
    <row r="172" spans="2:15">
      <c r="B172" s="87" t="s">
        <v>1532</v>
      </c>
      <c r="C172" s="84" t="s">
        <v>1533</v>
      </c>
      <c r="D172" s="97" t="s">
        <v>1442</v>
      </c>
      <c r="E172" s="97" t="s">
        <v>916</v>
      </c>
      <c r="F172" s="84"/>
      <c r="G172" s="97" t="s">
        <v>918</v>
      </c>
      <c r="H172" s="97" t="s">
        <v>167</v>
      </c>
      <c r="I172" s="94">
        <v>2802.3576000000003</v>
      </c>
      <c r="J172" s="96">
        <v>3353</v>
      </c>
      <c r="K172" s="84"/>
      <c r="L172" s="94">
        <v>324.73630193399998</v>
      </c>
      <c r="M172" s="95">
        <v>3.7749709336041484E-5</v>
      </c>
      <c r="N172" s="95">
        <f t="shared" si="4"/>
        <v>4.339977334669432E-3</v>
      </c>
      <c r="O172" s="95">
        <f>L172/'סכום נכסי הקרן'!$C$42</f>
        <v>3.4169744489491569E-4</v>
      </c>
    </row>
    <row r="173" spans="2:15">
      <c r="B173" s="87" t="s">
        <v>1534</v>
      </c>
      <c r="C173" s="84" t="s">
        <v>1535</v>
      </c>
      <c r="D173" s="97" t="s">
        <v>30</v>
      </c>
      <c r="E173" s="97" t="s">
        <v>916</v>
      </c>
      <c r="F173" s="84"/>
      <c r="G173" s="97" t="s">
        <v>977</v>
      </c>
      <c r="H173" s="97" t="s">
        <v>169</v>
      </c>
      <c r="I173" s="94">
        <v>2098.6137530000001</v>
      </c>
      <c r="J173" s="96">
        <v>3401</v>
      </c>
      <c r="K173" s="84"/>
      <c r="L173" s="94">
        <v>276.80207950400001</v>
      </c>
      <c r="M173" s="95">
        <v>1.6972117117234456E-6</v>
      </c>
      <c r="N173" s="95">
        <f t="shared" si="4"/>
        <v>3.6993546581708739E-3</v>
      </c>
      <c r="O173" s="95">
        <f>L173/'סכום נכסי הקרן'!$C$42</f>
        <v>2.9125959353734111E-4</v>
      </c>
    </row>
    <row r="174" spans="2:15">
      <c r="B174" s="87" t="s">
        <v>1536</v>
      </c>
      <c r="C174" s="84" t="s">
        <v>1537</v>
      </c>
      <c r="D174" s="97" t="s">
        <v>30</v>
      </c>
      <c r="E174" s="97" t="s">
        <v>916</v>
      </c>
      <c r="F174" s="84"/>
      <c r="G174" s="97" t="s">
        <v>1497</v>
      </c>
      <c r="H174" s="97" t="s">
        <v>169</v>
      </c>
      <c r="I174" s="94">
        <v>194.446234</v>
      </c>
      <c r="J174" s="96">
        <v>10200</v>
      </c>
      <c r="K174" s="84"/>
      <c r="L174" s="94">
        <v>76.918341197000004</v>
      </c>
      <c r="M174" s="95">
        <v>1.9841452448979591E-6</v>
      </c>
      <c r="N174" s="95">
        <f t="shared" si="4"/>
        <v>1.0279844151307638E-3</v>
      </c>
      <c r="O174" s="95">
        <f>L174/'סכום נכסי הקרן'!$C$42</f>
        <v>8.093582545604031E-5</v>
      </c>
    </row>
    <row r="175" spans="2:15">
      <c r="B175" s="87" t="s">
        <v>1538</v>
      </c>
      <c r="C175" s="84" t="s">
        <v>1539</v>
      </c>
      <c r="D175" s="97" t="s">
        <v>30</v>
      </c>
      <c r="E175" s="97" t="s">
        <v>916</v>
      </c>
      <c r="F175" s="84"/>
      <c r="G175" s="97" t="s">
        <v>996</v>
      </c>
      <c r="H175" s="97" t="s">
        <v>174</v>
      </c>
      <c r="I175" s="94">
        <v>8397.3932280000008</v>
      </c>
      <c r="J175" s="96">
        <v>8156</v>
      </c>
      <c r="K175" s="84"/>
      <c r="L175" s="94">
        <v>254.43715200199998</v>
      </c>
      <c r="M175" s="95">
        <v>2.7331743387985261E-6</v>
      </c>
      <c r="N175" s="95">
        <f t="shared" si="4"/>
        <v>3.4004558967076961E-3</v>
      </c>
      <c r="O175" s="95">
        <f>L175/'סכום נכסי הקרן'!$C$42</f>
        <v>2.6772653444545483E-4</v>
      </c>
    </row>
    <row r="176" spans="2:15">
      <c r="B176" s="87" t="s">
        <v>1540</v>
      </c>
      <c r="C176" s="84" t="s">
        <v>1541</v>
      </c>
      <c r="D176" s="97" t="s">
        <v>1542</v>
      </c>
      <c r="E176" s="97" t="s">
        <v>916</v>
      </c>
      <c r="F176" s="84"/>
      <c r="G176" s="97" t="s">
        <v>1497</v>
      </c>
      <c r="H176" s="97" t="s">
        <v>169</v>
      </c>
      <c r="I176" s="94">
        <v>802.73774500000002</v>
      </c>
      <c r="J176" s="96">
        <v>2697</v>
      </c>
      <c r="K176" s="84"/>
      <c r="L176" s="94">
        <v>83.962397765999995</v>
      </c>
      <c r="M176" s="95">
        <v>1.0918401573890771E-6</v>
      </c>
      <c r="N176" s="95">
        <f t="shared" si="4"/>
        <v>1.1221255557162797E-3</v>
      </c>
      <c r="O176" s="95">
        <f>L176/'סכום נכסי הקרן'!$C$42</f>
        <v>8.8347796698515495E-5</v>
      </c>
    </row>
    <row r="177" spans="2:15">
      <c r="B177" s="87" t="s">
        <v>1543</v>
      </c>
      <c r="C177" s="84" t="s">
        <v>1544</v>
      </c>
      <c r="D177" s="97" t="s">
        <v>1442</v>
      </c>
      <c r="E177" s="97" t="s">
        <v>916</v>
      </c>
      <c r="F177" s="84"/>
      <c r="G177" s="97" t="s">
        <v>974</v>
      </c>
      <c r="H177" s="97" t="s">
        <v>167</v>
      </c>
      <c r="I177" s="94">
        <v>76.80341</v>
      </c>
      <c r="J177" s="96">
        <v>22993</v>
      </c>
      <c r="K177" s="84"/>
      <c r="L177" s="94">
        <v>61.030914050999996</v>
      </c>
      <c r="M177" s="95">
        <v>2.1690545046628294E-7</v>
      </c>
      <c r="N177" s="95">
        <f t="shared" si="4"/>
        <v>8.1565498565458017E-4</v>
      </c>
      <c r="O177" s="95">
        <f>L177/'סכום נכסי הקרן'!$C$42</f>
        <v>6.4218589873165247E-5</v>
      </c>
    </row>
    <row r="178" spans="2:15">
      <c r="B178" s="87" t="s">
        <v>1545</v>
      </c>
      <c r="C178" s="84" t="s">
        <v>1546</v>
      </c>
      <c r="D178" s="97" t="s">
        <v>30</v>
      </c>
      <c r="E178" s="97" t="s">
        <v>916</v>
      </c>
      <c r="F178" s="84"/>
      <c r="G178" s="97" t="s">
        <v>1444</v>
      </c>
      <c r="H178" s="97" t="s">
        <v>174</v>
      </c>
      <c r="I178" s="94">
        <v>1944.981</v>
      </c>
      <c r="J178" s="96">
        <v>19048</v>
      </c>
      <c r="K178" s="84"/>
      <c r="L178" s="94">
        <v>137.633312897</v>
      </c>
      <c r="M178" s="95">
        <v>1.3315658820049949E-6</v>
      </c>
      <c r="N178" s="95">
        <f t="shared" si="4"/>
        <v>1.8394169512648067E-3</v>
      </c>
      <c r="O178" s="95">
        <f>L178/'סכום נכסי הקרן'!$C$42</f>
        <v>1.4482197114779483E-4</v>
      </c>
    </row>
    <row r="179" spans="2:15">
      <c r="B179" s="87" t="s">
        <v>1547</v>
      </c>
      <c r="C179" s="84" t="s">
        <v>1548</v>
      </c>
      <c r="D179" s="97" t="s">
        <v>1442</v>
      </c>
      <c r="E179" s="97" t="s">
        <v>916</v>
      </c>
      <c r="F179" s="84"/>
      <c r="G179" s="97" t="s">
        <v>948</v>
      </c>
      <c r="H179" s="97" t="s">
        <v>167</v>
      </c>
      <c r="I179" s="94">
        <v>437.25766199999998</v>
      </c>
      <c r="J179" s="96">
        <v>13940</v>
      </c>
      <c r="K179" s="84"/>
      <c r="L179" s="94">
        <v>210.656049626</v>
      </c>
      <c r="M179" s="95">
        <v>1.394100952483966E-7</v>
      </c>
      <c r="N179" s="95">
        <f t="shared" si="4"/>
        <v>2.8153380923012774E-3</v>
      </c>
      <c r="O179" s="95">
        <f>L179/'סכום נכסי הקרן'!$C$42</f>
        <v>2.2165872272416969E-4</v>
      </c>
    </row>
    <row r="180" spans="2:15">
      <c r="B180" s="87" t="s">
        <v>1549</v>
      </c>
      <c r="C180" s="84" t="s">
        <v>1550</v>
      </c>
      <c r="D180" s="97" t="s">
        <v>1442</v>
      </c>
      <c r="E180" s="97" t="s">
        <v>916</v>
      </c>
      <c r="F180" s="84"/>
      <c r="G180" s="97" t="s">
        <v>1065</v>
      </c>
      <c r="H180" s="97" t="s">
        <v>167</v>
      </c>
      <c r="I180" s="94">
        <v>1173.1788260000001</v>
      </c>
      <c r="J180" s="96">
        <v>1929</v>
      </c>
      <c r="K180" s="84"/>
      <c r="L180" s="94">
        <v>78.211421176999991</v>
      </c>
      <c r="M180" s="95">
        <v>2.5075103256060497E-5</v>
      </c>
      <c r="N180" s="95">
        <f t="shared" si="4"/>
        <v>1.0452659379284685E-3</v>
      </c>
      <c r="O180" s="95">
        <f>L180/'סכום נכסי הקרן'!$C$42</f>
        <v>8.2296443664042719E-5</v>
      </c>
    </row>
    <row r="181" spans="2:15">
      <c r="B181" s="87" t="s">
        <v>1551</v>
      </c>
      <c r="C181" s="84" t="s">
        <v>1552</v>
      </c>
      <c r="D181" s="97" t="s">
        <v>1442</v>
      </c>
      <c r="E181" s="97" t="s">
        <v>916</v>
      </c>
      <c r="F181" s="84"/>
      <c r="G181" s="97" t="s">
        <v>1497</v>
      </c>
      <c r="H181" s="97" t="s">
        <v>167</v>
      </c>
      <c r="I181" s="94">
        <v>134.41115400000001</v>
      </c>
      <c r="J181" s="96">
        <v>38938</v>
      </c>
      <c r="K181" s="84"/>
      <c r="L181" s="94">
        <v>180.876723849</v>
      </c>
      <c r="M181" s="95">
        <v>4.7651461801067706E-7</v>
      </c>
      <c r="N181" s="95">
        <f t="shared" si="4"/>
        <v>2.4173487140143235E-3</v>
      </c>
      <c r="O181" s="95">
        <f>L181/'סכום נכסי הקרן'!$C$42</f>
        <v>1.9032400754729278E-4</v>
      </c>
    </row>
    <row r="182" spans="2:15">
      <c r="B182" s="87" t="s">
        <v>1553</v>
      </c>
      <c r="C182" s="84" t="s">
        <v>1554</v>
      </c>
      <c r="D182" s="97" t="s">
        <v>1442</v>
      </c>
      <c r="E182" s="97" t="s">
        <v>916</v>
      </c>
      <c r="F182" s="84"/>
      <c r="G182" s="97" t="s">
        <v>935</v>
      </c>
      <c r="H182" s="97" t="s">
        <v>167</v>
      </c>
      <c r="I182" s="94">
        <v>387.20422400000001</v>
      </c>
      <c r="J182" s="96">
        <v>29859</v>
      </c>
      <c r="K182" s="84"/>
      <c r="L182" s="94">
        <v>399.56650893700004</v>
      </c>
      <c r="M182" s="95">
        <v>3.8819443852587505E-7</v>
      </c>
      <c r="N182" s="95">
        <f t="shared" si="4"/>
        <v>5.3400546294082481E-3</v>
      </c>
      <c r="O182" s="95">
        <f>L182/'סכום נכסי הקרן'!$C$42</f>
        <v>4.2043607184115553E-4</v>
      </c>
    </row>
    <row r="183" spans="2:15">
      <c r="B183" s="87" t="s">
        <v>1555</v>
      </c>
      <c r="C183" s="84" t="s">
        <v>1556</v>
      </c>
      <c r="D183" s="97" t="s">
        <v>1442</v>
      </c>
      <c r="E183" s="97" t="s">
        <v>916</v>
      </c>
      <c r="F183" s="84"/>
      <c r="G183" s="97" t="s">
        <v>1089</v>
      </c>
      <c r="H183" s="97" t="s">
        <v>167</v>
      </c>
      <c r="I183" s="94">
        <v>606.987077</v>
      </c>
      <c r="J183" s="96">
        <v>19761</v>
      </c>
      <c r="K183" s="84"/>
      <c r="L183" s="94">
        <v>414.53585160300003</v>
      </c>
      <c r="M183" s="95">
        <v>8.0599184197258445E-7</v>
      </c>
      <c r="N183" s="95">
        <f t="shared" si="4"/>
        <v>5.5401142085142021E-3</v>
      </c>
      <c r="O183" s="95">
        <f>L183/'סכום נכסי הקרן'!$C$42</f>
        <v>4.3618727092258199E-4</v>
      </c>
    </row>
    <row r="184" spans="2:15">
      <c r="B184" s="87" t="s">
        <v>1557</v>
      </c>
      <c r="C184" s="84" t="s">
        <v>1558</v>
      </c>
      <c r="D184" s="97" t="s">
        <v>1425</v>
      </c>
      <c r="E184" s="97" t="s">
        <v>916</v>
      </c>
      <c r="F184" s="84"/>
      <c r="G184" s="97" t="s">
        <v>964</v>
      </c>
      <c r="H184" s="97" t="s">
        <v>167</v>
      </c>
      <c r="I184" s="94">
        <v>2004.4792649999999</v>
      </c>
      <c r="J184" s="96">
        <v>15770</v>
      </c>
      <c r="K184" s="84"/>
      <c r="L184" s="94">
        <v>1092.4636498310001</v>
      </c>
      <c r="M184" s="95">
        <v>2.6275138801157481E-7</v>
      </c>
      <c r="N184" s="95">
        <f t="shared" si="4"/>
        <v>1.4600361742680706E-2</v>
      </c>
      <c r="O184" s="95">
        <f>L184/'סכום נכסי הקרן'!$C$42</f>
        <v>1.1495235844118689E-3</v>
      </c>
    </row>
    <row r="185" spans="2:15">
      <c r="B185" s="87" t="s">
        <v>1559</v>
      </c>
      <c r="C185" s="84" t="s">
        <v>1560</v>
      </c>
      <c r="D185" s="97" t="s">
        <v>1442</v>
      </c>
      <c r="E185" s="97" t="s">
        <v>916</v>
      </c>
      <c r="F185" s="84"/>
      <c r="G185" s="97" t="s">
        <v>974</v>
      </c>
      <c r="H185" s="97" t="s">
        <v>167</v>
      </c>
      <c r="I185" s="94">
        <v>97.666573000000014</v>
      </c>
      <c r="J185" s="96">
        <v>23741</v>
      </c>
      <c r="K185" s="84"/>
      <c r="L185" s="94">
        <v>80.134344588999994</v>
      </c>
      <c r="M185" s="95">
        <v>5.1730176377118649E-7</v>
      </c>
      <c r="N185" s="95">
        <f t="shared" si="4"/>
        <v>1.0709650789690083E-3</v>
      </c>
      <c r="O185" s="95">
        <f>L185/'סכום נכסי הקרן'!$C$42</f>
        <v>8.4319802348291556E-5</v>
      </c>
    </row>
    <row r="186" spans="2:15">
      <c r="B186" s="87" t="s">
        <v>1561</v>
      </c>
      <c r="C186" s="84" t="s">
        <v>1562</v>
      </c>
      <c r="D186" s="97" t="s">
        <v>143</v>
      </c>
      <c r="E186" s="97" t="s">
        <v>916</v>
      </c>
      <c r="F186" s="84"/>
      <c r="G186" s="97" t="s">
        <v>958</v>
      </c>
      <c r="H186" s="97" t="s">
        <v>1498</v>
      </c>
      <c r="I186" s="94">
        <v>313.79026800000003</v>
      </c>
      <c r="J186" s="96">
        <v>10478</v>
      </c>
      <c r="K186" s="84"/>
      <c r="L186" s="94">
        <v>117.542225805</v>
      </c>
      <c r="M186" s="95">
        <v>1.0544027822580646E-7</v>
      </c>
      <c r="N186" s="95">
        <f t="shared" si="4"/>
        <v>1.5709072032358622E-3</v>
      </c>
      <c r="O186" s="95">
        <f>L186/'סכום נכסי הקרן'!$C$42</f>
        <v>1.2368151631224987E-4</v>
      </c>
    </row>
    <row r="187" spans="2:15">
      <c r="B187" s="87" t="s">
        <v>1563</v>
      </c>
      <c r="C187" s="84" t="s">
        <v>1564</v>
      </c>
      <c r="D187" s="97" t="s">
        <v>1425</v>
      </c>
      <c r="E187" s="97" t="s">
        <v>916</v>
      </c>
      <c r="F187" s="84"/>
      <c r="G187" s="97" t="s">
        <v>964</v>
      </c>
      <c r="H187" s="97" t="s">
        <v>167</v>
      </c>
      <c r="I187" s="94">
        <v>232.56786099999997</v>
      </c>
      <c r="J187" s="96">
        <v>32357</v>
      </c>
      <c r="K187" s="84"/>
      <c r="L187" s="94">
        <v>260.070852978</v>
      </c>
      <c r="M187" s="95">
        <v>5.306723946680736E-7</v>
      </c>
      <c r="N187" s="95">
        <f t="shared" si="4"/>
        <v>3.4757481704711462E-3</v>
      </c>
      <c r="O187" s="95">
        <f>L187/'סכום נכסי הקרן'!$C$42</f>
        <v>2.7365448650174342E-4</v>
      </c>
    </row>
    <row r="188" spans="2:15">
      <c r="B188" s="87" t="s">
        <v>1565</v>
      </c>
      <c r="C188" s="84" t="s">
        <v>1566</v>
      </c>
      <c r="D188" s="97" t="s">
        <v>1442</v>
      </c>
      <c r="E188" s="97" t="s">
        <v>916</v>
      </c>
      <c r="F188" s="84"/>
      <c r="G188" s="97" t="s">
        <v>1065</v>
      </c>
      <c r="H188" s="97" t="s">
        <v>167</v>
      </c>
      <c r="I188" s="94">
        <v>399.36943200000002</v>
      </c>
      <c r="J188" s="96">
        <v>10131</v>
      </c>
      <c r="K188" s="94">
        <v>0.51381854500000002</v>
      </c>
      <c r="L188" s="94">
        <v>140.343983436</v>
      </c>
      <c r="M188" s="95">
        <v>3.2051411869991345E-7</v>
      </c>
      <c r="N188" s="95">
        <f t="shared" si="4"/>
        <v>1.875644033457198E-3</v>
      </c>
      <c r="O188" s="95">
        <f>L188/'סכום נכסי הקרן'!$C$42</f>
        <v>1.476742213939545E-4</v>
      </c>
    </row>
    <row r="189" spans="2:15">
      <c r="B189" s="87" t="s">
        <v>1567</v>
      </c>
      <c r="C189" s="84" t="s">
        <v>1568</v>
      </c>
      <c r="D189" s="97" t="s">
        <v>1442</v>
      </c>
      <c r="E189" s="97" t="s">
        <v>916</v>
      </c>
      <c r="F189" s="84"/>
      <c r="G189" s="97" t="s">
        <v>1005</v>
      </c>
      <c r="H189" s="97" t="s">
        <v>167</v>
      </c>
      <c r="I189" s="94">
        <v>778.15465500000005</v>
      </c>
      <c r="J189" s="96">
        <v>4791</v>
      </c>
      <c r="K189" s="94">
        <v>1.2101861190000001</v>
      </c>
      <c r="L189" s="94">
        <v>130.05466830400002</v>
      </c>
      <c r="M189" s="95">
        <v>1.3582726283445014E-6</v>
      </c>
      <c r="N189" s="95">
        <f t="shared" si="4"/>
        <v>1.7381312447846615E-3</v>
      </c>
      <c r="O189" s="95">
        <f>L189/'סכום נכסי הקרן'!$C$42</f>
        <v>1.3684749007569999E-4</v>
      </c>
    </row>
    <row r="190" spans="2:15">
      <c r="B190" s="87" t="s">
        <v>1465</v>
      </c>
      <c r="C190" s="84" t="s">
        <v>1466</v>
      </c>
      <c r="D190" s="97" t="s">
        <v>1442</v>
      </c>
      <c r="E190" s="97" t="s">
        <v>916</v>
      </c>
      <c r="F190" s="84"/>
      <c r="G190" s="97" t="s">
        <v>194</v>
      </c>
      <c r="H190" s="97" t="s">
        <v>167</v>
      </c>
      <c r="I190" s="94">
        <v>2275.3066960000001</v>
      </c>
      <c r="J190" s="96">
        <v>7452</v>
      </c>
      <c r="K190" s="84"/>
      <c r="L190" s="94">
        <v>585.98503495700004</v>
      </c>
      <c r="M190" s="95">
        <v>4.461922771448901E-5</v>
      </c>
      <c r="N190" s="95">
        <f>L190/$L$11</f>
        <v>7.8314674245620122E-3</v>
      </c>
      <c r="O190" s="95">
        <f>L190/'סכום נכסי הקרן'!$C$42</f>
        <v>6.1659133271819977E-4</v>
      </c>
    </row>
    <row r="191" spans="2:15">
      <c r="B191" s="87" t="s">
        <v>1569</v>
      </c>
      <c r="C191" s="84" t="s">
        <v>1570</v>
      </c>
      <c r="D191" s="97" t="s">
        <v>1442</v>
      </c>
      <c r="E191" s="97" t="s">
        <v>916</v>
      </c>
      <c r="F191" s="84"/>
      <c r="G191" s="97" t="s">
        <v>996</v>
      </c>
      <c r="H191" s="97" t="s">
        <v>167</v>
      </c>
      <c r="I191" s="94">
        <v>361.30396200000001</v>
      </c>
      <c r="J191" s="96">
        <v>23125</v>
      </c>
      <c r="K191" s="84"/>
      <c r="L191" s="94">
        <v>288.75412642999999</v>
      </c>
      <c r="M191" s="95">
        <v>3.6883771201236538E-6</v>
      </c>
      <c r="N191" s="95">
        <f t="shared" si="4"/>
        <v>3.8590892257348288E-3</v>
      </c>
      <c r="O191" s="95">
        <f>L191/'סכום נכסי הקרן'!$C$42</f>
        <v>3.038359019807019E-4</v>
      </c>
    </row>
    <row r="192" spans="2:15">
      <c r="B192" s="87" t="s">
        <v>1571</v>
      </c>
      <c r="C192" s="84" t="s">
        <v>1572</v>
      </c>
      <c r="D192" s="97" t="s">
        <v>1425</v>
      </c>
      <c r="E192" s="97" t="s">
        <v>916</v>
      </c>
      <c r="F192" s="84"/>
      <c r="G192" s="97" t="s">
        <v>996</v>
      </c>
      <c r="H192" s="97" t="s">
        <v>167</v>
      </c>
      <c r="I192" s="94">
        <v>513.700602</v>
      </c>
      <c r="J192" s="96">
        <v>10817</v>
      </c>
      <c r="K192" s="84"/>
      <c r="L192" s="94">
        <v>192.03953159599996</v>
      </c>
      <c r="M192" s="95">
        <v>4.3749268055461665E-7</v>
      </c>
      <c r="N192" s="95">
        <f t="shared" si="4"/>
        <v>2.5665353997181548E-3</v>
      </c>
      <c r="O192" s="95">
        <f>L192/'סכום נכסי הקרן'!$C$42</f>
        <v>2.0206985444610448E-4</v>
      </c>
    </row>
    <row r="193" spans="2:15">
      <c r="B193" s="87" t="s">
        <v>1469</v>
      </c>
      <c r="C193" s="84" t="s">
        <v>1470</v>
      </c>
      <c r="D193" s="97" t="s">
        <v>1425</v>
      </c>
      <c r="E193" s="97" t="s">
        <v>916</v>
      </c>
      <c r="F193" s="84"/>
      <c r="G193" s="97" t="s">
        <v>930</v>
      </c>
      <c r="H193" s="97" t="s">
        <v>167</v>
      </c>
      <c r="I193" s="94">
        <v>1891.7640249999999</v>
      </c>
      <c r="J193" s="96">
        <v>5166</v>
      </c>
      <c r="K193" s="84"/>
      <c r="L193" s="94">
        <v>337.74979810400004</v>
      </c>
      <c r="M193" s="95">
        <v>1.3898829489556992E-5</v>
      </c>
      <c r="N193" s="95">
        <f>L193/$L$11</f>
        <v>4.5138977682219654E-3</v>
      </c>
      <c r="O193" s="95">
        <f>L193/'סכום נכסי הקרן'!$C$42</f>
        <v>3.553906426185953E-4</v>
      </c>
    </row>
    <row r="194" spans="2:15">
      <c r="B194" s="87" t="s">
        <v>1573</v>
      </c>
      <c r="C194" s="84" t="s">
        <v>1574</v>
      </c>
      <c r="D194" s="97" t="s">
        <v>1442</v>
      </c>
      <c r="E194" s="97" t="s">
        <v>916</v>
      </c>
      <c r="F194" s="84"/>
      <c r="G194" s="97" t="s">
        <v>1503</v>
      </c>
      <c r="H194" s="97" t="s">
        <v>167</v>
      </c>
      <c r="I194" s="94">
        <v>916.19497000000001</v>
      </c>
      <c r="J194" s="96">
        <v>8914</v>
      </c>
      <c r="K194" s="84"/>
      <c r="L194" s="94">
        <v>282.25020540899999</v>
      </c>
      <c r="M194" s="95">
        <v>1.4501920442632318E-6</v>
      </c>
      <c r="N194" s="95">
        <f t="shared" si="4"/>
        <v>3.7721667915951527E-3</v>
      </c>
      <c r="O194" s="95">
        <f>L194/'סכום נכסי הקרן'!$C$42</f>
        <v>2.9699227784185921E-4</v>
      </c>
    </row>
    <row r="195" spans="2:15">
      <c r="B195" s="87" t="s">
        <v>1575</v>
      </c>
      <c r="C195" s="84" t="s">
        <v>1576</v>
      </c>
      <c r="D195" s="97" t="s">
        <v>1425</v>
      </c>
      <c r="E195" s="97" t="s">
        <v>916</v>
      </c>
      <c r="F195" s="84"/>
      <c r="G195" s="97" t="s">
        <v>1444</v>
      </c>
      <c r="H195" s="97" t="s">
        <v>167</v>
      </c>
      <c r="I195" s="94">
        <v>466.79544000000004</v>
      </c>
      <c r="J195" s="96">
        <v>11642</v>
      </c>
      <c r="K195" s="84"/>
      <c r="L195" s="94">
        <v>187.813987631</v>
      </c>
      <c r="M195" s="95">
        <v>1.3006921360315913E-6</v>
      </c>
      <c r="N195" s="95">
        <f t="shared" si="4"/>
        <v>2.5100626095634028E-3</v>
      </c>
      <c r="O195" s="95">
        <f>L195/'סכום נכסי הקרן'!$C$42</f>
        <v>1.9762360816094149E-4</v>
      </c>
    </row>
    <row r="196" spans="2:15">
      <c r="B196" s="87" t="s">
        <v>1577</v>
      </c>
      <c r="C196" s="84" t="s">
        <v>1578</v>
      </c>
      <c r="D196" s="97" t="s">
        <v>1442</v>
      </c>
      <c r="E196" s="97" t="s">
        <v>916</v>
      </c>
      <c r="F196" s="84"/>
      <c r="G196" s="97" t="s">
        <v>974</v>
      </c>
      <c r="H196" s="97" t="s">
        <v>167</v>
      </c>
      <c r="I196" s="94">
        <v>82.949550000000002</v>
      </c>
      <c r="J196" s="96">
        <v>27305</v>
      </c>
      <c r="K196" s="84"/>
      <c r="L196" s="94">
        <v>78.276238421000002</v>
      </c>
      <c r="M196" s="95">
        <v>3.3940077741407528E-7</v>
      </c>
      <c r="N196" s="95">
        <f t="shared" si="4"/>
        <v>1.0461321957757753E-3</v>
      </c>
      <c r="O196" s="95">
        <f>L196/'סכום נכסי הקרן'!$C$42</f>
        <v>8.2364646345812605E-5</v>
      </c>
    </row>
    <row r="197" spans="2:15">
      <c r="B197" s="87" t="s">
        <v>1579</v>
      </c>
      <c r="C197" s="84" t="s">
        <v>1580</v>
      </c>
      <c r="D197" s="97" t="s">
        <v>30</v>
      </c>
      <c r="E197" s="97" t="s">
        <v>916</v>
      </c>
      <c r="F197" s="84"/>
      <c r="G197" s="97" t="s">
        <v>1497</v>
      </c>
      <c r="H197" s="97" t="s">
        <v>174</v>
      </c>
      <c r="I197" s="94">
        <v>836.50780199999997</v>
      </c>
      <c r="J197" s="96">
        <v>31380</v>
      </c>
      <c r="K197" s="84"/>
      <c r="L197" s="94">
        <v>97.517319051000001</v>
      </c>
      <c r="M197" s="95">
        <v>6.267762756400431E-6</v>
      </c>
      <c r="N197" s="95">
        <f t="shared" si="4"/>
        <v>1.303281930287807E-3</v>
      </c>
      <c r="O197" s="95">
        <f>L197/'סכום נכסי הקרן'!$C$42</f>
        <v>1.0261069844757082E-4</v>
      </c>
    </row>
    <row r="198" spans="2:15">
      <c r="B198" s="87" t="s">
        <v>1581</v>
      </c>
      <c r="C198" s="84" t="s">
        <v>1582</v>
      </c>
      <c r="D198" s="97" t="s">
        <v>30</v>
      </c>
      <c r="E198" s="97" t="s">
        <v>916</v>
      </c>
      <c r="F198" s="84"/>
      <c r="G198" s="97" t="s">
        <v>935</v>
      </c>
      <c r="H198" s="97" t="s">
        <v>169</v>
      </c>
      <c r="I198" s="94">
        <v>259.33080000000001</v>
      </c>
      <c r="J198" s="96">
        <v>12032</v>
      </c>
      <c r="K198" s="84"/>
      <c r="L198" s="94">
        <v>121.01024077400001</v>
      </c>
      <c r="M198" s="95">
        <v>2.1109474823218199E-7</v>
      </c>
      <c r="N198" s="95">
        <f t="shared" si="4"/>
        <v>1.6172559060821901E-3</v>
      </c>
      <c r="O198" s="95">
        <f>L198/'סכום נכסי הקרן'!$C$42</f>
        <v>1.2733066747492301E-4</v>
      </c>
    </row>
    <row r="199" spans="2:15">
      <c r="B199" s="87" t="s">
        <v>1583</v>
      </c>
      <c r="C199" s="84" t="s">
        <v>1584</v>
      </c>
      <c r="D199" s="97" t="s">
        <v>127</v>
      </c>
      <c r="E199" s="97" t="s">
        <v>916</v>
      </c>
      <c r="F199" s="84"/>
      <c r="G199" s="97" t="s">
        <v>1503</v>
      </c>
      <c r="H199" s="97" t="s">
        <v>170</v>
      </c>
      <c r="I199" s="94">
        <v>12276.006912000001</v>
      </c>
      <c r="J199" s="96">
        <v>897.2</v>
      </c>
      <c r="K199" s="84"/>
      <c r="L199" s="94">
        <v>502.20688102399998</v>
      </c>
      <c r="M199" s="95">
        <v>1.1194144098125427E-5</v>
      </c>
      <c r="N199" s="95">
        <f t="shared" si="4"/>
        <v>6.7118042176946609E-3</v>
      </c>
      <c r="O199" s="95">
        <f>L199/'סכום נכסי הקרן'!$C$42</f>
        <v>5.2843740300221372E-4</v>
      </c>
    </row>
    <row r="200" spans="2:15">
      <c r="B200" s="87" t="s">
        <v>1585</v>
      </c>
      <c r="C200" s="84" t="s">
        <v>1586</v>
      </c>
      <c r="D200" s="97" t="s">
        <v>30</v>
      </c>
      <c r="E200" s="97" t="s">
        <v>916</v>
      </c>
      <c r="F200" s="84"/>
      <c r="G200" s="97" t="s">
        <v>1497</v>
      </c>
      <c r="H200" s="97" t="s">
        <v>169</v>
      </c>
      <c r="I200" s="94">
        <v>313.01227599999999</v>
      </c>
      <c r="J200" s="96">
        <v>11654</v>
      </c>
      <c r="K200" s="84"/>
      <c r="L200" s="94">
        <v>141.47072711199999</v>
      </c>
      <c r="M200" s="95">
        <v>3.6824973647058824E-7</v>
      </c>
      <c r="N200" s="95">
        <f t="shared" si="4"/>
        <v>1.8907025347294577E-3</v>
      </c>
      <c r="O200" s="95">
        <f>L200/'סכום נכסי הקרן'!$C$42</f>
        <v>1.4885981546781615E-4</v>
      </c>
    </row>
    <row r="201" spans="2:15">
      <c r="B201" s="87" t="s">
        <v>1587</v>
      </c>
      <c r="C201" s="84" t="s">
        <v>1588</v>
      </c>
      <c r="D201" s="97" t="s">
        <v>1425</v>
      </c>
      <c r="E201" s="97" t="s">
        <v>916</v>
      </c>
      <c r="F201" s="84"/>
      <c r="G201" s="97" t="s">
        <v>1089</v>
      </c>
      <c r="H201" s="97" t="s">
        <v>167</v>
      </c>
      <c r="I201" s="94">
        <v>505.69506000000001</v>
      </c>
      <c r="J201" s="96">
        <v>8792</v>
      </c>
      <c r="K201" s="84"/>
      <c r="L201" s="94">
        <v>153.65621263699998</v>
      </c>
      <c r="M201" s="95">
        <v>4.2819226079593565E-7</v>
      </c>
      <c r="N201" s="95">
        <f t="shared" si="4"/>
        <v>2.0535569205048761E-3</v>
      </c>
      <c r="O201" s="95">
        <f>L201/'סכום נכסי הקרן'!$C$42</f>
        <v>1.6168175512746875E-4</v>
      </c>
    </row>
    <row r="202" spans="2:15">
      <c r="B202" s="87" t="s">
        <v>1589</v>
      </c>
      <c r="C202" s="84" t="s">
        <v>1590</v>
      </c>
      <c r="D202" s="97" t="s">
        <v>1442</v>
      </c>
      <c r="E202" s="97" t="s">
        <v>916</v>
      </c>
      <c r="F202" s="84"/>
      <c r="G202" s="97" t="s">
        <v>1444</v>
      </c>
      <c r="H202" s="97" t="s">
        <v>167</v>
      </c>
      <c r="I202" s="94">
        <v>490.13521200000002</v>
      </c>
      <c r="J202" s="96">
        <v>12821</v>
      </c>
      <c r="K202" s="84"/>
      <c r="L202" s="94">
        <v>217.17585399300003</v>
      </c>
      <c r="M202" s="95">
        <v>9.6723763010051926E-7</v>
      </c>
      <c r="N202" s="95">
        <f t="shared" si="4"/>
        <v>2.9024728013274637E-3</v>
      </c>
      <c r="O202" s="95">
        <f>L202/'סכום נכסי הקרן'!$C$42</f>
        <v>2.2851905980428896E-4</v>
      </c>
    </row>
    <row r="203" spans="2:15">
      <c r="B203" s="87" t="s">
        <v>1591</v>
      </c>
      <c r="C203" s="84" t="s">
        <v>1592</v>
      </c>
      <c r="D203" s="97" t="s">
        <v>30</v>
      </c>
      <c r="E203" s="97" t="s">
        <v>916</v>
      </c>
      <c r="F203" s="84"/>
      <c r="G203" s="97" t="s">
        <v>1497</v>
      </c>
      <c r="H203" s="97" t="s">
        <v>169</v>
      </c>
      <c r="I203" s="94">
        <v>235.55016599999999</v>
      </c>
      <c r="J203" s="96">
        <v>9252</v>
      </c>
      <c r="K203" s="84"/>
      <c r="L203" s="94">
        <v>84.518005551000002</v>
      </c>
      <c r="M203" s="95">
        <v>1.1042233261437062E-6</v>
      </c>
      <c r="N203" s="95">
        <f t="shared" si="4"/>
        <v>1.1295510427329915E-3</v>
      </c>
      <c r="O203" s="95">
        <f>L203/'סכום נכסי הקרן'!$C$42</f>
        <v>8.8932424161991414E-5</v>
      </c>
    </row>
    <row r="204" spans="2:15">
      <c r="B204" s="87" t="s">
        <v>1593</v>
      </c>
      <c r="C204" s="84" t="s">
        <v>1594</v>
      </c>
      <c r="D204" s="97" t="s">
        <v>1442</v>
      </c>
      <c r="E204" s="97" t="s">
        <v>916</v>
      </c>
      <c r="F204" s="84"/>
      <c r="G204" s="97" t="s">
        <v>1444</v>
      </c>
      <c r="H204" s="97" t="s">
        <v>167</v>
      </c>
      <c r="I204" s="94">
        <v>959.52395999999999</v>
      </c>
      <c r="J204" s="96">
        <v>6106</v>
      </c>
      <c r="K204" s="84"/>
      <c r="L204" s="94">
        <v>202.48197003999996</v>
      </c>
      <c r="M204" s="95">
        <v>7.9748749721886818E-7</v>
      </c>
      <c r="N204" s="95">
        <f t="shared" si="4"/>
        <v>2.7060946232965884E-3</v>
      </c>
      <c r="O204" s="95">
        <f>L204/'סכום נכסי הקרן'!$C$42</f>
        <v>2.1305770678517694E-4</v>
      </c>
    </row>
    <row r="205" spans="2:15">
      <c r="B205" s="87" t="s">
        <v>1595</v>
      </c>
      <c r="C205" s="84" t="s">
        <v>1596</v>
      </c>
      <c r="D205" s="97" t="s">
        <v>30</v>
      </c>
      <c r="E205" s="97" t="s">
        <v>916</v>
      </c>
      <c r="F205" s="84"/>
      <c r="G205" s="97" t="s">
        <v>918</v>
      </c>
      <c r="H205" s="97" t="s">
        <v>169</v>
      </c>
      <c r="I205" s="94">
        <v>726.12624000000005</v>
      </c>
      <c r="J205" s="96">
        <v>4920</v>
      </c>
      <c r="K205" s="84"/>
      <c r="L205" s="94">
        <v>138.55028897100001</v>
      </c>
      <c r="M205" s="95">
        <v>2.7907741325187204E-7</v>
      </c>
      <c r="N205" s="95">
        <f t="shared" si="4"/>
        <v>1.8516719882098389E-3</v>
      </c>
      <c r="O205" s="95">
        <f>L205/'סכום נכסי הקרן'!$C$42</f>
        <v>1.4578684135063179E-4</v>
      </c>
    </row>
    <row r="206" spans="2:15">
      <c r="B206" s="87" t="s">
        <v>1597</v>
      </c>
      <c r="C206" s="84" t="s">
        <v>1598</v>
      </c>
      <c r="D206" s="97" t="s">
        <v>1442</v>
      </c>
      <c r="E206" s="97" t="s">
        <v>916</v>
      </c>
      <c r="F206" s="84"/>
      <c r="G206" s="97" t="s">
        <v>977</v>
      </c>
      <c r="H206" s="97" t="s">
        <v>167</v>
      </c>
      <c r="I206" s="94">
        <v>982.46436300000005</v>
      </c>
      <c r="J206" s="96">
        <v>11706</v>
      </c>
      <c r="K206" s="84"/>
      <c r="L206" s="94">
        <v>397.46515374699999</v>
      </c>
      <c r="M206" s="95">
        <v>1.4020082663893152E-6</v>
      </c>
      <c r="N206" s="95">
        <f t="shared" si="4"/>
        <v>5.3119708154263307E-3</v>
      </c>
      <c r="O206" s="95">
        <f>L206/'סכום נכסי הקרן'!$C$42</f>
        <v>4.182249617959792E-4</v>
      </c>
    </row>
    <row r="207" spans="2:15">
      <c r="B207" s="87" t="s">
        <v>1599</v>
      </c>
      <c r="C207" s="84" t="s">
        <v>1600</v>
      </c>
      <c r="D207" s="97" t="s">
        <v>1442</v>
      </c>
      <c r="E207" s="97" t="s">
        <v>916</v>
      </c>
      <c r="F207" s="84"/>
      <c r="G207" s="97" t="s">
        <v>953</v>
      </c>
      <c r="H207" s="97" t="s">
        <v>167</v>
      </c>
      <c r="I207" s="94">
        <v>184.93397999999996</v>
      </c>
      <c r="J207" s="96">
        <v>29398</v>
      </c>
      <c r="K207" s="84"/>
      <c r="L207" s="94">
        <v>187.891976935</v>
      </c>
      <c r="M207" s="95">
        <v>1.9519850736909801E-7</v>
      </c>
      <c r="N207" s="95">
        <f t="shared" si="4"/>
        <v>2.5111049069896246E-3</v>
      </c>
      <c r="O207" s="95">
        <f>L207/'סכום נכסי הקרן'!$C$42</f>
        <v>1.9770567088613487E-4</v>
      </c>
    </row>
    <row r="208" spans="2:15">
      <c r="B208" s="87" t="s">
        <v>1601</v>
      </c>
      <c r="C208" s="84" t="s">
        <v>1602</v>
      </c>
      <c r="D208" s="97" t="s">
        <v>1425</v>
      </c>
      <c r="E208" s="97" t="s">
        <v>916</v>
      </c>
      <c r="F208" s="84"/>
      <c r="G208" s="97" t="s">
        <v>935</v>
      </c>
      <c r="H208" s="97" t="s">
        <v>167</v>
      </c>
      <c r="I208" s="94">
        <v>613.01572499999997</v>
      </c>
      <c r="J208" s="96">
        <v>7771</v>
      </c>
      <c r="K208" s="84"/>
      <c r="L208" s="94">
        <v>164.635034077</v>
      </c>
      <c r="M208" s="95">
        <v>2.0109140462252994E-5</v>
      </c>
      <c r="N208" s="95">
        <f t="shared" si="4"/>
        <v>2.2002846990969564E-3</v>
      </c>
      <c r="O208" s="95">
        <f>L208/'סכום נכסי הקרן'!$C$42</f>
        <v>1.7323400602046554E-4</v>
      </c>
    </row>
    <row r="209" spans="2:15">
      <c r="B209" s="87" t="s">
        <v>1603</v>
      </c>
      <c r="C209" s="84" t="s">
        <v>1604</v>
      </c>
      <c r="D209" s="97" t="s">
        <v>30</v>
      </c>
      <c r="E209" s="97" t="s">
        <v>916</v>
      </c>
      <c r="F209" s="84"/>
      <c r="G209" s="97" t="s">
        <v>1497</v>
      </c>
      <c r="H209" s="97" t="s">
        <v>169</v>
      </c>
      <c r="I209" s="94">
        <v>341.72538200000002</v>
      </c>
      <c r="J209" s="96">
        <v>9900</v>
      </c>
      <c r="K209" s="84"/>
      <c r="L209" s="94">
        <v>131.20265818599998</v>
      </c>
      <c r="M209" s="95">
        <v>5.6461351996207228E-7</v>
      </c>
      <c r="N209" s="95">
        <f t="shared" si="4"/>
        <v>1.7534736935304203E-3</v>
      </c>
      <c r="O209" s="95">
        <f>L209/'סכום נכסי הקרן'!$C$42</f>
        <v>1.3805544005575591E-4</v>
      </c>
    </row>
    <row r="210" spans="2:15">
      <c r="B210" s="87" t="s">
        <v>1605</v>
      </c>
      <c r="C210" s="84" t="s">
        <v>1606</v>
      </c>
      <c r="D210" s="97" t="s">
        <v>1442</v>
      </c>
      <c r="E210" s="97" t="s">
        <v>916</v>
      </c>
      <c r="F210" s="84"/>
      <c r="G210" s="97" t="s">
        <v>935</v>
      </c>
      <c r="H210" s="97" t="s">
        <v>167</v>
      </c>
      <c r="I210" s="94">
        <v>564.25714100000005</v>
      </c>
      <c r="J210" s="96">
        <v>18790</v>
      </c>
      <c r="K210" s="84"/>
      <c r="L210" s="94">
        <v>366.41865661399999</v>
      </c>
      <c r="M210" s="95">
        <v>3.2962059719948987E-7</v>
      </c>
      <c r="N210" s="95">
        <f t="shared" si="4"/>
        <v>4.8970461732608713E-3</v>
      </c>
      <c r="O210" s="95">
        <f>L210/'סכום נכסי הקרן'!$C$42</f>
        <v>3.8555689025576836E-4</v>
      </c>
    </row>
    <row r="211" spans="2:15">
      <c r="B211" s="87" t="s">
        <v>1607</v>
      </c>
      <c r="C211" s="84" t="s">
        <v>1608</v>
      </c>
      <c r="D211" s="97" t="s">
        <v>1442</v>
      </c>
      <c r="E211" s="97" t="s">
        <v>916</v>
      </c>
      <c r="F211" s="84"/>
      <c r="G211" s="97" t="s">
        <v>1609</v>
      </c>
      <c r="H211" s="97" t="s">
        <v>167</v>
      </c>
      <c r="I211" s="94">
        <v>1170.2846939999999</v>
      </c>
      <c r="J211" s="96">
        <v>11884</v>
      </c>
      <c r="K211" s="94">
        <v>2.1435870810000002</v>
      </c>
      <c r="L211" s="94">
        <v>482.79243103799996</v>
      </c>
      <c r="M211" s="95">
        <v>4.1248238843175792E-7</v>
      </c>
      <c r="N211" s="95">
        <f t="shared" si="4"/>
        <v>6.4523374675884834E-3</v>
      </c>
      <c r="O211" s="95">
        <f>L211/'סכום נכסי הקרן'!$C$42</f>
        <v>5.0800892637441555E-4</v>
      </c>
    </row>
    <row r="212" spans="2:15">
      <c r="B212" s="87" t="s">
        <v>1610</v>
      </c>
      <c r="C212" s="84" t="s">
        <v>1611</v>
      </c>
      <c r="D212" s="97" t="s">
        <v>1442</v>
      </c>
      <c r="E212" s="97" t="s">
        <v>916</v>
      </c>
      <c r="F212" s="84"/>
      <c r="G212" s="97" t="s">
        <v>1125</v>
      </c>
      <c r="H212" s="97" t="s">
        <v>167</v>
      </c>
      <c r="I212" s="94">
        <v>456.94087000000002</v>
      </c>
      <c r="J212" s="96">
        <v>14463</v>
      </c>
      <c r="K212" s="94">
        <v>1.3896851380000002</v>
      </c>
      <c r="L212" s="94">
        <v>229.78759426799999</v>
      </c>
      <c r="M212" s="95">
        <v>2.5351825553136662E-7</v>
      </c>
      <c r="N212" s="95">
        <f t="shared" si="4"/>
        <v>3.071023919937424E-3</v>
      </c>
      <c r="O212" s="95">
        <f>L212/'סכום נכסי הקרן'!$C$42</f>
        <v>2.4178951771731169E-4</v>
      </c>
    </row>
    <row r="213" spans="2:15">
      <c r="B213" s="87" t="s">
        <v>1612</v>
      </c>
      <c r="C213" s="84" t="s">
        <v>1613</v>
      </c>
      <c r="D213" s="97" t="s">
        <v>1442</v>
      </c>
      <c r="E213" s="97" t="s">
        <v>916</v>
      </c>
      <c r="F213" s="84"/>
      <c r="G213" s="97" t="s">
        <v>948</v>
      </c>
      <c r="H213" s="97" t="s">
        <v>167</v>
      </c>
      <c r="I213" s="94">
        <v>401.74749499999996</v>
      </c>
      <c r="J213" s="96">
        <v>5380</v>
      </c>
      <c r="K213" s="84"/>
      <c r="L213" s="94">
        <v>74.698036726000012</v>
      </c>
      <c r="M213" s="95">
        <v>9.4990157070373568E-8</v>
      </c>
      <c r="N213" s="95">
        <f t="shared" si="4"/>
        <v>9.9831088918735491E-4</v>
      </c>
      <c r="O213" s="95">
        <f>L213/'סכום נכסי הקרן'!$C$42</f>
        <v>7.8599553348145066E-5</v>
      </c>
    </row>
    <row r="214" spans="2:15">
      <c r="E214" s="1"/>
      <c r="F214" s="1"/>
      <c r="G214" s="1"/>
    </row>
    <row r="215" spans="2:15">
      <c r="E215" s="1"/>
      <c r="F215" s="1"/>
      <c r="G215" s="1"/>
    </row>
    <row r="216" spans="2:15">
      <c r="E216" s="1"/>
      <c r="F216" s="1"/>
      <c r="G216" s="1"/>
    </row>
    <row r="217" spans="2:15">
      <c r="B217" s="99" t="s">
        <v>259</v>
      </c>
      <c r="E217" s="1"/>
      <c r="F217" s="1"/>
      <c r="G217" s="1"/>
    </row>
    <row r="218" spans="2:15">
      <c r="B218" s="99" t="s">
        <v>116</v>
      </c>
      <c r="E218" s="1"/>
      <c r="F218" s="1"/>
      <c r="G218" s="1"/>
    </row>
    <row r="219" spans="2:15">
      <c r="B219" s="99" t="s">
        <v>241</v>
      </c>
      <c r="E219" s="1"/>
      <c r="F219" s="1"/>
      <c r="G219" s="1"/>
    </row>
    <row r="220" spans="2:15">
      <c r="B220" s="99" t="s">
        <v>249</v>
      </c>
      <c r="E220" s="1"/>
      <c r="F220" s="1"/>
      <c r="G220" s="1"/>
    </row>
    <row r="221" spans="2:15">
      <c r="B221" s="99" t="s">
        <v>256</v>
      </c>
      <c r="E221" s="1"/>
      <c r="F221" s="1"/>
      <c r="G221" s="1"/>
    </row>
    <row r="222" spans="2:15">
      <c r="E222" s="1"/>
      <c r="F222" s="1"/>
      <c r="G222" s="1"/>
    </row>
    <row r="223" spans="2:15">
      <c r="E223" s="1"/>
      <c r="F223" s="1"/>
      <c r="G223" s="1"/>
    </row>
    <row r="224" spans="2:15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19 B221"/>
    <dataValidation type="list" allowBlank="1" showInputMessage="1" showErrorMessage="1" sqref="E12:E35 E37:E142 E143 E144:E357">
      <formula1>$BF$6:$BF$23</formula1>
    </dataValidation>
    <dataValidation type="list" allowBlank="1" showInputMessage="1" showErrorMessage="1" sqref="H12:H35 H37:H142 H143 H144:H357">
      <formula1>$BJ$6:$BJ$19</formula1>
    </dataValidation>
    <dataValidation type="list" allowBlank="1" showInputMessage="1" showErrorMessage="1" sqref="G12:G35 G37:G142 G143 G144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72" workbookViewId="0">
      <selection activeCell="N96" sqref="N96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58.140625" style="2" bestFit="1" customWidth="1"/>
    <col min="4" max="4" width="9.7109375" style="2" bestFit="1" customWidth="1"/>
    <col min="5" max="5" width="11.28515625" style="2" bestFit="1" customWidth="1"/>
    <col min="6" max="6" width="21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183</v>
      </c>
      <c r="C1" s="78" t="s" vm="1">
        <v>267</v>
      </c>
    </row>
    <row r="2" spans="2:63">
      <c r="B2" s="57" t="s">
        <v>182</v>
      </c>
      <c r="C2" s="78" t="s">
        <v>268</v>
      </c>
    </row>
    <row r="3" spans="2:63">
      <c r="B3" s="57" t="s">
        <v>184</v>
      </c>
      <c r="C3" s="78" t="s">
        <v>269</v>
      </c>
    </row>
    <row r="4" spans="2:63">
      <c r="B4" s="57" t="s">
        <v>185</v>
      </c>
      <c r="C4" s="78">
        <v>8803</v>
      </c>
    </row>
    <row r="6" spans="2:63" ht="26.25" customHeight="1">
      <c r="B6" s="153" t="s">
        <v>213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BK6" s="3"/>
    </row>
    <row r="7" spans="2:63" ht="26.25" customHeight="1">
      <c r="B7" s="153" t="s">
        <v>266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  <c r="BH7" s="3"/>
      <c r="BK7" s="3"/>
    </row>
    <row r="8" spans="2:63" s="3" customFormat="1" ht="74.25" customHeight="1">
      <c r="B8" s="23" t="s">
        <v>119</v>
      </c>
      <c r="C8" s="31" t="s">
        <v>47</v>
      </c>
      <c r="D8" s="31" t="s">
        <v>123</v>
      </c>
      <c r="E8" s="31" t="s">
        <v>121</v>
      </c>
      <c r="F8" s="31" t="s">
        <v>68</v>
      </c>
      <c r="G8" s="31" t="s">
        <v>105</v>
      </c>
      <c r="H8" s="31" t="s">
        <v>243</v>
      </c>
      <c r="I8" s="31" t="s">
        <v>242</v>
      </c>
      <c r="J8" s="31" t="s">
        <v>258</v>
      </c>
      <c r="K8" s="31" t="s">
        <v>65</v>
      </c>
      <c r="L8" s="31" t="s">
        <v>62</v>
      </c>
      <c r="M8" s="31" t="s">
        <v>186</v>
      </c>
      <c r="N8" s="15" t="s">
        <v>188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250</v>
      </c>
      <c r="I9" s="33"/>
      <c r="J9" s="17" t="s">
        <v>246</v>
      </c>
      <c r="K9" s="33" t="s">
        <v>246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9" t="s">
        <v>261</v>
      </c>
      <c r="C11" s="80"/>
      <c r="D11" s="80"/>
      <c r="E11" s="80"/>
      <c r="F11" s="80"/>
      <c r="G11" s="80"/>
      <c r="H11" s="88"/>
      <c r="I11" s="90"/>
      <c r="J11" s="88">
        <v>15.703761276</v>
      </c>
      <c r="K11" s="88">
        <v>69773.226454734002</v>
      </c>
      <c r="L11" s="80"/>
      <c r="M11" s="89">
        <f>K11/$K$11</f>
        <v>1</v>
      </c>
      <c r="N11" s="89">
        <f>K11/'סכום נכסי הקרן'!$C$42</f>
        <v>7.3417517720277853E-2</v>
      </c>
      <c r="O11" s="5"/>
      <c r="BH11" s="1"/>
      <c r="BI11" s="3"/>
      <c r="BK11" s="1"/>
    </row>
    <row r="12" spans="2:63" ht="20.25">
      <c r="B12" s="81" t="s">
        <v>238</v>
      </c>
      <c r="C12" s="82"/>
      <c r="D12" s="82"/>
      <c r="E12" s="82"/>
      <c r="F12" s="82"/>
      <c r="G12" s="82"/>
      <c r="H12" s="91"/>
      <c r="I12" s="93"/>
      <c r="J12" s="82"/>
      <c r="K12" s="91">
        <v>12835.125011156</v>
      </c>
      <c r="L12" s="82"/>
      <c r="M12" s="92">
        <f t="shared" ref="M12:M24" si="0">K12/$K$11</f>
        <v>0.18395487299821087</v>
      </c>
      <c r="N12" s="92">
        <f>K12/'סכום נכסי הקרן'!$C$42</f>
        <v>1.3505510148077609E-2</v>
      </c>
      <c r="BI12" s="4"/>
    </row>
    <row r="13" spans="2:63">
      <c r="B13" s="102" t="s">
        <v>262</v>
      </c>
      <c r="C13" s="82"/>
      <c r="D13" s="82"/>
      <c r="E13" s="82"/>
      <c r="F13" s="82"/>
      <c r="G13" s="82"/>
      <c r="H13" s="91"/>
      <c r="I13" s="93"/>
      <c r="J13" s="82"/>
      <c r="K13" s="91">
        <v>3874.6083404010001</v>
      </c>
      <c r="L13" s="82"/>
      <c r="M13" s="92">
        <f t="shared" si="0"/>
        <v>5.5531448626855266E-2</v>
      </c>
      <c r="N13" s="92">
        <f>K13/'סכום נכסי הקרן'!$C$42</f>
        <v>4.0769811135948457E-3</v>
      </c>
    </row>
    <row r="14" spans="2:63">
      <c r="B14" s="87" t="s">
        <v>1614</v>
      </c>
      <c r="C14" s="84" t="s">
        <v>1615</v>
      </c>
      <c r="D14" s="97" t="s">
        <v>124</v>
      </c>
      <c r="E14" s="84" t="s">
        <v>1616</v>
      </c>
      <c r="F14" s="97" t="s">
        <v>1811</v>
      </c>
      <c r="G14" s="97" t="s">
        <v>168</v>
      </c>
      <c r="H14" s="94">
        <v>19891.73475</v>
      </c>
      <c r="I14" s="96">
        <v>1602</v>
      </c>
      <c r="J14" s="84"/>
      <c r="K14" s="94">
        <v>318.66559069500005</v>
      </c>
      <c r="L14" s="95">
        <v>2.8550885383488487E-4</v>
      </c>
      <c r="M14" s="95">
        <f t="shared" si="0"/>
        <v>4.567161458439036E-3</v>
      </c>
      <c r="N14" s="95">
        <f>K14/'סכום נכסי הקרן'!$C$42</f>
        <v>3.3530965730631793E-4</v>
      </c>
    </row>
    <row r="15" spans="2:63">
      <c r="B15" s="87" t="s">
        <v>1617</v>
      </c>
      <c r="C15" s="84" t="s">
        <v>1618</v>
      </c>
      <c r="D15" s="97" t="s">
        <v>124</v>
      </c>
      <c r="E15" s="84" t="s">
        <v>1616</v>
      </c>
      <c r="F15" s="97" t="s">
        <v>1811</v>
      </c>
      <c r="G15" s="97" t="s">
        <v>168</v>
      </c>
      <c r="H15" s="94">
        <v>34053.518941000002</v>
      </c>
      <c r="I15" s="96">
        <v>2462</v>
      </c>
      <c r="J15" s="84"/>
      <c r="K15" s="94">
        <v>838.39763631599999</v>
      </c>
      <c r="L15" s="95">
        <v>7.9173072472656211E-4</v>
      </c>
      <c r="M15" s="95">
        <f t="shared" si="0"/>
        <v>1.201603650735455E-2</v>
      </c>
      <c r="N15" s="95">
        <f>K15/'סכום נכסי הקרן'!$C$42</f>
        <v>8.8218757320620818E-4</v>
      </c>
    </row>
    <row r="16" spans="2:63" ht="20.25">
      <c r="B16" s="87" t="s">
        <v>1619</v>
      </c>
      <c r="C16" s="84" t="s">
        <v>1620</v>
      </c>
      <c r="D16" s="97" t="s">
        <v>124</v>
      </c>
      <c r="E16" s="84" t="s">
        <v>1621</v>
      </c>
      <c r="F16" s="97" t="s">
        <v>1811</v>
      </c>
      <c r="G16" s="97" t="s">
        <v>168</v>
      </c>
      <c r="H16" s="94">
        <v>20.016839999999998</v>
      </c>
      <c r="I16" s="96">
        <v>1235</v>
      </c>
      <c r="J16" s="84"/>
      <c r="K16" s="94">
        <v>0.247207974</v>
      </c>
      <c r="L16" s="95">
        <v>3.6849581372743938E-5</v>
      </c>
      <c r="M16" s="95">
        <f t="shared" si="0"/>
        <v>3.5430205332467801E-6</v>
      </c>
      <c r="N16" s="95">
        <f>K16/'סכום נכסי הקרן'!$C$42</f>
        <v>2.6011977278295374E-7</v>
      </c>
      <c r="BH16" s="4"/>
    </row>
    <row r="17" spans="2:14">
      <c r="B17" s="87" t="s">
        <v>1622</v>
      </c>
      <c r="C17" s="84" t="s">
        <v>1623</v>
      </c>
      <c r="D17" s="97" t="s">
        <v>124</v>
      </c>
      <c r="E17" s="84" t="s">
        <v>1621</v>
      </c>
      <c r="F17" s="97" t="s">
        <v>1811</v>
      </c>
      <c r="G17" s="97" t="s">
        <v>168</v>
      </c>
      <c r="H17" s="94">
        <v>28523.996999999996</v>
      </c>
      <c r="I17" s="96">
        <v>1600</v>
      </c>
      <c r="J17" s="84"/>
      <c r="K17" s="94">
        <v>456.38395199999991</v>
      </c>
      <c r="L17" s="95">
        <v>2.5407031844837158E-4</v>
      </c>
      <c r="M17" s="95">
        <f t="shared" si="0"/>
        <v>6.5409609844555927E-3</v>
      </c>
      <c r="N17" s="95">
        <f>K17/'סכום נכסי הקרן'!$C$42</f>
        <v>4.8022111898391454E-4</v>
      </c>
    </row>
    <row r="18" spans="2:14">
      <c r="B18" s="87" t="s">
        <v>1624</v>
      </c>
      <c r="C18" s="84" t="s">
        <v>1625</v>
      </c>
      <c r="D18" s="97" t="s">
        <v>124</v>
      </c>
      <c r="E18" s="84" t="s">
        <v>1621</v>
      </c>
      <c r="F18" s="97" t="s">
        <v>1811</v>
      </c>
      <c r="G18" s="97" t="s">
        <v>168</v>
      </c>
      <c r="H18" s="94">
        <v>11509.683000000001</v>
      </c>
      <c r="I18" s="96">
        <v>2436</v>
      </c>
      <c r="J18" s="84"/>
      <c r="K18" s="94">
        <v>280.37587787999996</v>
      </c>
      <c r="L18" s="95">
        <v>1.6062817422086005E-4</v>
      </c>
      <c r="M18" s="95">
        <f t="shared" si="0"/>
        <v>4.018387741634627E-3</v>
      </c>
      <c r="N18" s="95">
        <f>K18/'סכום נכסי הקרן'!$C$42</f>
        <v>2.9502005322840753E-4</v>
      </c>
    </row>
    <row r="19" spans="2:14">
      <c r="B19" s="87" t="s">
        <v>1626</v>
      </c>
      <c r="C19" s="84" t="s">
        <v>1627</v>
      </c>
      <c r="D19" s="97" t="s">
        <v>124</v>
      </c>
      <c r="E19" s="84" t="s">
        <v>1628</v>
      </c>
      <c r="F19" s="97" t="s">
        <v>1811</v>
      </c>
      <c r="G19" s="97" t="s">
        <v>168</v>
      </c>
      <c r="H19" s="94">
        <v>3.1029999999999999E-3</v>
      </c>
      <c r="I19" s="96">
        <v>16670</v>
      </c>
      <c r="J19" s="84"/>
      <c r="K19" s="94">
        <v>5.1720999999999994E-4</v>
      </c>
      <c r="L19" s="95">
        <v>2.7341791871601604E-10</v>
      </c>
      <c r="M19" s="95">
        <f t="shared" si="0"/>
        <v>7.4127287253305462E-9</v>
      </c>
      <c r="N19" s="95">
        <f>K19/'סכום נכסי הקרן'!$C$42</f>
        <v>5.4422414254756806E-10</v>
      </c>
    </row>
    <row r="20" spans="2:14">
      <c r="B20" s="87" t="s">
        <v>1629</v>
      </c>
      <c r="C20" s="84" t="s">
        <v>1630</v>
      </c>
      <c r="D20" s="97" t="s">
        <v>124</v>
      </c>
      <c r="E20" s="84" t="s">
        <v>1628</v>
      </c>
      <c r="F20" s="97" t="s">
        <v>1811</v>
      </c>
      <c r="G20" s="97" t="s">
        <v>168</v>
      </c>
      <c r="H20" s="94">
        <v>661.80677299999991</v>
      </c>
      <c r="I20" s="96">
        <v>23880</v>
      </c>
      <c r="J20" s="84"/>
      <c r="K20" s="94">
        <v>158.03945727300001</v>
      </c>
      <c r="L20" s="95">
        <v>8.0534532204173985E-5</v>
      </c>
      <c r="M20" s="95">
        <f t="shared" si="0"/>
        <v>2.2650444203770556E-3</v>
      </c>
      <c r="N20" s="95">
        <f>K20/'סכום נכסי הקרן'!$C$42</f>
        <v>1.6629393887024896E-4</v>
      </c>
    </row>
    <row r="21" spans="2:14">
      <c r="B21" s="87" t="s">
        <v>1631</v>
      </c>
      <c r="C21" s="84" t="s">
        <v>1632</v>
      </c>
      <c r="D21" s="97" t="s">
        <v>124</v>
      </c>
      <c r="E21" s="84" t="s">
        <v>1628</v>
      </c>
      <c r="F21" s="97" t="s">
        <v>1811</v>
      </c>
      <c r="G21" s="97" t="s">
        <v>168</v>
      </c>
      <c r="H21" s="94">
        <v>3765.6680249999999</v>
      </c>
      <c r="I21" s="96">
        <v>16010</v>
      </c>
      <c r="J21" s="84"/>
      <c r="K21" s="94">
        <v>602.88345080299996</v>
      </c>
      <c r="L21" s="95">
        <v>2.5643608662556335E-4</v>
      </c>
      <c r="M21" s="95">
        <f t="shared" si="0"/>
        <v>8.6406130465261754E-3</v>
      </c>
      <c r="N21" s="95">
        <f>K21/'סכום נכסי הקרן'!$C$42</f>
        <v>6.3437236145739951E-4</v>
      </c>
    </row>
    <row r="22" spans="2:14">
      <c r="B22" s="87" t="s">
        <v>1633</v>
      </c>
      <c r="C22" s="84" t="s">
        <v>1634</v>
      </c>
      <c r="D22" s="97" t="s">
        <v>124</v>
      </c>
      <c r="E22" s="84" t="s">
        <v>1635</v>
      </c>
      <c r="F22" s="97" t="s">
        <v>1811</v>
      </c>
      <c r="G22" s="97" t="s">
        <v>168</v>
      </c>
      <c r="H22" s="94">
        <v>20267.050500000001</v>
      </c>
      <c r="I22" s="96">
        <v>1603</v>
      </c>
      <c r="J22" s="84"/>
      <c r="K22" s="94">
        <v>324.88081951499998</v>
      </c>
      <c r="L22" s="95">
        <v>1.0929679854312429E-4</v>
      </c>
      <c r="M22" s="95">
        <f t="shared" si="0"/>
        <v>4.6562390192141862E-3</v>
      </c>
      <c r="N22" s="95">
        <f>K22/'סכום נכסי הקרן'!$C$42</f>
        <v>3.4184951070300671E-4</v>
      </c>
    </row>
    <row r="23" spans="2:14">
      <c r="B23" s="87" t="s">
        <v>1636</v>
      </c>
      <c r="C23" s="84" t="s">
        <v>1637</v>
      </c>
      <c r="D23" s="97" t="s">
        <v>124</v>
      </c>
      <c r="E23" s="84" t="s">
        <v>1635</v>
      </c>
      <c r="F23" s="97" t="s">
        <v>1811</v>
      </c>
      <c r="G23" s="97" t="s">
        <v>168</v>
      </c>
      <c r="H23" s="94">
        <v>5.9049999999999988E-3</v>
      </c>
      <c r="I23" s="96">
        <v>1672</v>
      </c>
      <c r="J23" s="84"/>
      <c r="K23" s="94">
        <v>9.8733000000000005E-5</v>
      </c>
      <c r="L23" s="95">
        <v>7.4435028052740573E-11</v>
      </c>
      <c r="M23" s="95">
        <f t="shared" si="0"/>
        <v>1.4150556741711509E-9</v>
      </c>
      <c r="N23" s="95">
        <f>K23/'סכום נכסי הקרן'!$C$42</f>
        <v>1.038898750336402E-10</v>
      </c>
    </row>
    <row r="24" spans="2:14">
      <c r="B24" s="87" t="s">
        <v>1638</v>
      </c>
      <c r="C24" s="84" t="s">
        <v>1639</v>
      </c>
      <c r="D24" s="97" t="s">
        <v>124</v>
      </c>
      <c r="E24" s="84" t="s">
        <v>1635</v>
      </c>
      <c r="F24" s="97" t="s">
        <v>1811</v>
      </c>
      <c r="G24" s="97" t="s">
        <v>168</v>
      </c>
      <c r="H24" s="94">
        <v>36881.027699999999</v>
      </c>
      <c r="I24" s="96">
        <v>2426</v>
      </c>
      <c r="J24" s="84"/>
      <c r="K24" s="94">
        <v>894.7337320019999</v>
      </c>
      <c r="L24" s="95">
        <v>4.5916658905166449E-4</v>
      </c>
      <c r="M24" s="95">
        <f t="shared" si="0"/>
        <v>1.2823453600536393E-2</v>
      </c>
      <c r="N24" s="95">
        <f>K24/'סכום נכסי הקרן'!$C$42</f>
        <v>9.4146613195254152E-4</v>
      </c>
    </row>
    <row r="25" spans="2:14">
      <c r="B25" s="83"/>
      <c r="C25" s="84"/>
      <c r="D25" s="84"/>
      <c r="E25" s="84"/>
      <c r="F25" s="84"/>
      <c r="G25" s="84"/>
      <c r="H25" s="94"/>
      <c r="I25" s="96"/>
      <c r="J25" s="84"/>
      <c r="K25" s="84"/>
      <c r="L25" s="84"/>
      <c r="M25" s="95"/>
      <c r="N25" s="84"/>
    </row>
    <row r="26" spans="2:14">
      <c r="B26" s="102" t="s">
        <v>263</v>
      </c>
      <c r="C26" s="82"/>
      <c r="D26" s="82"/>
      <c r="E26" s="82"/>
      <c r="F26" s="82"/>
      <c r="G26" s="82"/>
      <c r="H26" s="91"/>
      <c r="I26" s="93"/>
      <c r="J26" s="82"/>
      <c r="K26" s="91">
        <v>8960.5166707549997</v>
      </c>
      <c r="L26" s="82"/>
      <c r="M26" s="92">
        <f t="shared" ref="M26:M42" si="1">K26/$K$11</f>
        <v>0.12842342437135559</v>
      </c>
      <c r="N26" s="92">
        <f>K26/'סכום נכסי הקרן'!$C$42</f>
        <v>9.4285290344827619E-3</v>
      </c>
    </row>
    <row r="27" spans="2:14">
      <c r="B27" s="87" t="s">
        <v>1640</v>
      </c>
      <c r="C27" s="84" t="s">
        <v>1641</v>
      </c>
      <c r="D27" s="97" t="s">
        <v>124</v>
      </c>
      <c r="E27" s="84" t="s">
        <v>1616</v>
      </c>
      <c r="F27" s="97" t="s">
        <v>1775</v>
      </c>
      <c r="G27" s="97" t="s">
        <v>168</v>
      </c>
      <c r="H27" s="94">
        <v>15638.450993</v>
      </c>
      <c r="I27" s="96">
        <v>358.97</v>
      </c>
      <c r="J27" s="84"/>
      <c r="K27" s="94">
        <v>56.137347527999999</v>
      </c>
      <c r="L27" s="95">
        <v>1.0639843047178411E-4</v>
      </c>
      <c r="M27" s="95">
        <f t="shared" si="1"/>
        <v>8.0456860575911016E-4</v>
      </c>
      <c r="N27" s="95">
        <f>K27/'סכום נכסי הקרן'!$C$42</f>
        <v>5.9069429870498721E-5</v>
      </c>
    </row>
    <row r="28" spans="2:14">
      <c r="B28" s="87" t="s">
        <v>1642</v>
      </c>
      <c r="C28" s="84" t="s">
        <v>1643</v>
      </c>
      <c r="D28" s="97" t="s">
        <v>124</v>
      </c>
      <c r="E28" s="84" t="s">
        <v>1616</v>
      </c>
      <c r="F28" s="97" t="s">
        <v>1775</v>
      </c>
      <c r="G28" s="97" t="s">
        <v>168</v>
      </c>
      <c r="H28" s="94">
        <v>62126.680974000003</v>
      </c>
      <c r="I28" s="96">
        <v>330.01</v>
      </c>
      <c r="J28" s="84"/>
      <c r="K28" s="94">
        <v>205.02425992000002</v>
      </c>
      <c r="L28" s="95">
        <v>2.2649924213307845E-3</v>
      </c>
      <c r="M28" s="95">
        <f t="shared" si="1"/>
        <v>2.9384374256078202E-3</v>
      </c>
      <c r="N28" s="95">
        <f>K28/'סכום נכסי הקרן'!$C$42</f>
        <v>2.1573278176448976E-4</v>
      </c>
    </row>
    <row r="29" spans="2:14">
      <c r="B29" s="87" t="s">
        <v>1644</v>
      </c>
      <c r="C29" s="84" t="s">
        <v>1645</v>
      </c>
      <c r="D29" s="97" t="s">
        <v>124</v>
      </c>
      <c r="E29" s="84" t="s">
        <v>1616</v>
      </c>
      <c r="F29" s="97" t="s">
        <v>1775</v>
      </c>
      <c r="G29" s="97" t="s">
        <v>168</v>
      </c>
      <c r="H29" s="94">
        <v>402929.93610799999</v>
      </c>
      <c r="I29" s="96">
        <v>344.97</v>
      </c>
      <c r="J29" s="84"/>
      <c r="K29" s="94">
        <v>1389.987400622</v>
      </c>
      <c r="L29" s="95">
        <v>1.7244556091104255E-3</v>
      </c>
      <c r="M29" s="95">
        <f t="shared" si="1"/>
        <v>1.9921501000441287E-2</v>
      </c>
      <c r="N29" s="95">
        <f>K29/'סכום נכסי הקרן'!$C$42</f>
        <v>1.4625871527144314E-3</v>
      </c>
    </row>
    <row r="30" spans="2:14">
      <c r="B30" s="87" t="s">
        <v>1646</v>
      </c>
      <c r="C30" s="84" t="s">
        <v>1647</v>
      </c>
      <c r="D30" s="97" t="s">
        <v>124</v>
      </c>
      <c r="E30" s="84" t="s">
        <v>1616</v>
      </c>
      <c r="F30" s="97" t="s">
        <v>1775</v>
      </c>
      <c r="G30" s="97" t="s">
        <v>168</v>
      </c>
      <c r="H30" s="94">
        <v>6253.2718420000001</v>
      </c>
      <c r="I30" s="96">
        <v>383.04</v>
      </c>
      <c r="J30" s="84"/>
      <c r="K30" s="94">
        <v>23.952532502999997</v>
      </c>
      <c r="L30" s="95">
        <v>4.3837137846620898E-5</v>
      </c>
      <c r="M30" s="95">
        <f t="shared" si="1"/>
        <v>3.4329116940778729E-4</v>
      </c>
      <c r="N30" s="95">
        <f>K30/'סכום נכסי הקרן'!$C$42</f>
        <v>2.520358551321113E-5</v>
      </c>
    </row>
    <row r="31" spans="2:14">
      <c r="B31" s="87" t="s">
        <v>1648</v>
      </c>
      <c r="C31" s="84" t="s">
        <v>1649</v>
      </c>
      <c r="D31" s="97" t="s">
        <v>124</v>
      </c>
      <c r="E31" s="84" t="s">
        <v>1621</v>
      </c>
      <c r="F31" s="97" t="s">
        <v>1775</v>
      </c>
      <c r="G31" s="97" t="s">
        <v>168</v>
      </c>
      <c r="H31" s="94">
        <v>426537.66170199995</v>
      </c>
      <c r="I31" s="96">
        <v>345.66</v>
      </c>
      <c r="J31" s="84"/>
      <c r="K31" s="94">
        <v>1474.3700833590001</v>
      </c>
      <c r="L31" s="95">
        <v>1.1039155101957743E-3</v>
      </c>
      <c r="M31" s="95">
        <f t="shared" si="1"/>
        <v>2.1130885846528981E-2</v>
      </c>
      <c r="N31" s="95">
        <f>K31/'סכום נכסי הקרן'!$C$42</f>
        <v>1.5513771860827098E-3</v>
      </c>
    </row>
    <row r="32" spans="2:14">
      <c r="B32" s="87" t="s">
        <v>1650</v>
      </c>
      <c r="C32" s="84" t="s">
        <v>1651</v>
      </c>
      <c r="D32" s="97" t="s">
        <v>124</v>
      </c>
      <c r="E32" s="84" t="s">
        <v>1621</v>
      </c>
      <c r="F32" s="97" t="s">
        <v>1775</v>
      </c>
      <c r="G32" s="97" t="s">
        <v>168</v>
      </c>
      <c r="H32" s="94">
        <v>33893.441958000003</v>
      </c>
      <c r="I32" s="96">
        <v>355.06</v>
      </c>
      <c r="J32" s="84"/>
      <c r="K32" s="94">
        <v>120.34205502499999</v>
      </c>
      <c r="L32" s="95">
        <v>1.2845420678043207E-4</v>
      </c>
      <c r="M32" s="95">
        <f t="shared" si="1"/>
        <v>1.724759784515239E-3</v>
      </c>
      <c r="N32" s="95">
        <f>K32/'סכום נכסי הקרן'!$C$42</f>
        <v>1.2662758204287018E-4</v>
      </c>
    </row>
    <row r="33" spans="2:14">
      <c r="B33" s="87" t="s">
        <v>1652</v>
      </c>
      <c r="C33" s="84" t="s">
        <v>1653</v>
      </c>
      <c r="D33" s="97" t="s">
        <v>124</v>
      </c>
      <c r="E33" s="84" t="s">
        <v>1621</v>
      </c>
      <c r="F33" s="97" t="s">
        <v>1775</v>
      </c>
      <c r="G33" s="97" t="s">
        <v>168</v>
      </c>
      <c r="H33" s="94">
        <v>31788.634273</v>
      </c>
      <c r="I33" s="96">
        <v>331.05</v>
      </c>
      <c r="J33" s="84"/>
      <c r="K33" s="94">
        <v>105.23627387199998</v>
      </c>
      <c r="L33" s="95">
        <v>6.1617012036554357E-4</v>
      </c>
      <c r="M33" s="95">
        <f t="shared" si="1"/>
        <v>1.5082615384036018E-3</v>
      </c>
      <c r="N33" s="95">
        <f>K33/'סכום נכסי הקרן'!$C$42</f>
        <v>1.1073281822255996E-4</v>
      </c>
    </row>
    <row r="34" spans="2:14">
      <c r="B34" s="87" t="s">
        <v>1654</v>
      </c>
      <c r="C34" s="84" t="s">
        <v>1655</v>
      </c>
      <c r="D34" s="97" t="s">
        <v>124</v>
      </c>
      <c r="E34" s="84" t="s">
        <v>1621</v>
      </c>
      <c r="F34" s="97" t="s">
        <v>1775</v>
      </c>
      <c r="G34" s="97" t="s">
        <v>168</v>
      </c>
      <c r="H34" s="94">
        <v>148906.42777400001</v>
      </c>
      <c r="I34" s="96">
        <v>380.44</v>
      </c>
      <c r="J34" s="84"/>
      <c r="K34" s="94">
        <v>566.49961382200001</v>
      </c>
      <c r="L34" s="95">
        <v>6.205056935357162E-4</v>
      </c>
      <c r="M34" s="95">
        <f t="shared" si="1"/>
        <v>8.1191546185630618E-3</v>
      </c>
      <c r="N34" s="95">
        <f>K34/'סכום נכסי הקרן'!$C$42</f>
        <v>5.9608817808202942E-4</v>
      </c>
    </row>
    <row r="35" spans="2:14">
      <c r="B35" s="87" t="s">
        <v>1656</v>
      </c>
      <c r="C35" s="84" t="s">
        <v>1657</v>
      </c>
      <c r="D35" s="97" t="s">
        <v>124</v>
      </c>
      <c r="E35" s="84" t="s">
        <v>1628</v>
      </c>
      <c r="F35" s="97" t="s">
        <v>1775</v>
      </c>
      <c r="G35" s="97" t="s">
        <v>168</v>
      </c>
      <c r="H35" s="94">
        <v>312.728857</v>
      </c>
      <c r="I35" s="96">
        <v>3556.21</v>
      </c>
      <c r="J35" s="84"/>
      <c r="K35" s="94">
        <v>11.121294916</v>
      </c>
      <c r="L35" s="95">
        <v>1.3547269630162043E-5</v>
      </c>
      <c r="M35" s="95">
        <f t="shared" si="1"/>
        <v>1.5939201153633103E-4</v>
      </c>
      <c r="N35" s="95">
        <f>K35/'סכום נכסי הקרן'!$C$42</f>
        <v>1.1702165831439317E-5</v>
      </c>
    </row>
    <row r="36" spans="2:14">
      <c r="B36" s="87" t="s">
        <v>1658</v>
      </c>
      <c r="C36" s="84" t="s">
        <v>1659</v>
      </c>
      <c r="D36" s="97" t="s">
        <v>124</v>
      </c>
      <c r="E36" s="84" t="s">
        <v>1628</v>
      </c>
      <c r="F36" s="97" t="s">
        <v>1775</v>
      </c>
      <c r="G36" s="97" t="s">
        <v>168</v>
      </c>
      <c r="H36" s="94">
        <v>1385.6219819999999</v>
      </c>
      <c r="I36" s="96">
        <v>3292.1</v>
      </c>
      <c r="J36" s="84"/>
      <c r="K36" s="94">
        <v>45.616061268999999</v>
      </c>
      <c r="L36" s="95">
        <v>2.223962757560928E-4</v>
      </c>
      <c r="M36" s="95">
        <f t="shared" si="1"/>
        <v>6.5377600530762067E-4</v>
      </c>
      <c r="N36" s="95">
        <f>K36/'סכום נכסי הקרן'!$C$42</f>
        <v>4.7998611454764713E-5</v>
      </c>
    </row>
    <row r="37" spans="2:14">
      <c r="B37" s="87" t="s">
        <v>1660</v>
      </c>
      <c r="C37" s="84" t="s">
        <v>1661</v>
      </c>
      <c r="D37" s="97" t="s">
        <v>124</v>
      </c>
      <c r="E37" s="84" t="s">
        <v>1628</v>
      </c>
      <c r="F37" s="97" t="s">
        <v>1775</v>
      </c>
      <c r="G37" s="97" t="s">
        <v>168</v>
      </c>
      <c r="H37" s="94">
        <v>21777.770487000002</v>
      </c>
      <c r="I37" s="96">
        <v>3438.64</v>
      </c>
      <c r="J37" s="84"/>
      <c r="K37" s="94">
        <v>748.85912706400006</v>
      </c>
      <c r="L37" s="95">
        <v>5.2226268236010061E-4</v>
      </c>
      <c r="M37" s="95">
        <f t="shared" si="1"/>
        <v>1.0732757607960542E-2</v>
      </c>
      <c r="N37" s="95">
        <f>K37/'סכום נכסי הקרן'!$C$42</f>
        <v>7.8797242186989E-4</v>
      </c>
    </row>
    <row r="38" spans="2:14">
      <c r="B38" s="87" t="s">
        <v>1662</v>
      </c>
      <c r="C38" s="84" t="s">
        <v>1663</v>
      </c>
      <c r="D38" s="97" t="s">
        <v>124</v>
      </c>
      <c r="E38" s="84" t="s">
        <v>1628</v>
      </c>
      <c r="F38" s="97" t="s">
        <v>1775</v>
      </c>
      <c r="G38" s="97" t="s">
        <v>168</v>
      </c>
      <c r="H38" s="94">
        <v>17164.311976000001</v>
      </c>
      <c r="I38" s="96">
        <v>3819.31</v>
      </c>
      <c r="J38" s="84"/>
      <c r="K38" s="94">
        <v>655.55828375800002</v>
      </c>
      <c r="L38" s="95">
        <v>9.9950555398556655E-4</v>
      </c>
      <c r="M38" s="95">
        <f t="shared" si="1"/>
        <v>9.3955563912942915E-3</v>
      </c>
      <c r="N38" s="95">
        <f>K38/'סכום נכסי הקרן'!$C$42</f>
        <v>6.8979842784971847E-4</v>
      </c>
    </row>
    <row r="39" spans="2:14">
      <c r="B39" s="87" t="s">
        <v>1664</v>
      </c>
      <c r="C39" s="84" t="s">
        <v>1665</v>
      </c>
      <c r="D39" s="97" t="s">
        <v>124</v>
      </c>
      <c r="E39" s="84" t="s">
        <v>1635</v>
      </c>
      <c r="F39" s="97" t="s">
        <v>1775</v>
      </c>
      <c r="G39" s="97" t="s">
        <v>168</v>
      </c>
      <c r="H39" s="94">
        <v>43718.857309999999</v>
      </c>
      <c r="I39" s="96">
        <v>356.06</v>
      </c>
      <c r="J39" s="84"/>
      <c r="K39" s="94">
        <v>155.66536338099999</v>
      </c>
      <c r="L39" s="95">
        <v>1.3110751018861232E-4</v>
      </c>
      <c r="M39" s="95">
        <f t="shared" si="1"/>
        <v>2.2310185624279432E-3</v>
      </c>
      <c r="N39" s="95">
        <f>K39/'סכום נכסי הקרן'!$C$42</f>
        <v>1.6379584484132233E-4</v>
      </c>
    </row>
    <row r="40" spans="2:14">
      <c r="B40" s="87" t="s">
        <v>1666</v>
      </c>
      <c r="C40" s="84" t="s">
        <v>1667</v>
      </c>
      <c r="D40" s="97" t="s">
        <v>124</v>
      </c>
      <c r="E40" s="84" t="s">
        <v>1635</v>
      </c>
      <c r="F40" s="97" t="s">
        <v>1775</v>
      </c>
      <c r="G40" s="97" t="s">
        <v>168</v>
      </c>
      <c r="H40" s="94">
        <v>28072.369911000002</v>
      </c>
      <c r="I40" s="96">
        <v>330.15</v>
      </c>
      <c r="J40" s="84"/>
      <c r="K40" s="94">
        <v>92.680929083999999</v>
      </c>
      <c r="L40" s="95">
        <v>6.4291563600058432E-4</v>
      </c>
      <c r="M40" s="95">
        <f t="shared" si="1"/>
        <v>1.3283165161371399E-3</v>
      </c>
      <c r="N40" s="95">
        <f>K40/'סכום נכסי הקרן'!$C$42</f>
        <v>9.7521701361636212E-5</v>
      </c>
    </row>
    <row r="41" spans="2:14">
      <c r="B41" s="87" t="s">
        <v>1668</v>
      </c>
      <c r="C41" s="84" t="s">
        <v>1669</v>
      </c>
      <c r="D41" s="97" t="s">
        <v>124</v>
      </c>
      <c r="E41" s="84" t="s">
        <v>1635</v>
      </c>
      <c r="F41" s="97" t="s">
        <v>1775</v>
      </c>
      <c r="G41" s="97" t="s">
        <v>168</v>
      </c>
      <c r="H41" s="94">
        <v>876087.41751300008</v>
      </c>
      <c r="I41" s="96">
        <v>344.97</v>
      </c>
      <c r="J41" s="84"/>
      <c r="K41" s="94">
        <v>3022.2387641869996</v>
      </c>
      <c r="L41" s="95">
        <v>2.2241113823584908E-3</v>
      </c>
      <c r="M41" s="95">
        <f t="shared" si="1"/>
        <v>4.3315164250684372E-2</v>
      </c>
      <c r="N41" s="95">
        <f>K41/'סכום נכסי הקרן'!$C$42</f>
        <v>3.1800918389313661E-3</v>
      </c>
    </row>
    <row r="42" spans="2:14">
      <c r="B42" s="87" t="s">
        <v>1670</v>
      </c>
      <c r="C42" s="84" t="s">
        <v>1671</v>
      </c>
      <c r="D42" s="97" t="s">
        <v>124</v>
      </c>
      <c r="E42" s="84" t="s">
        <v>1635</v>
      </c>
      <c r="F42" s="97" t="s">
        <v>1775</v>
      </c>
      <c r="G42" s="97" t="s">
        <v>168</v>
      </c>
      <c r="H42" s="94">
        <v>74853.351492999995</v>
      </c>
      <c r="I42" s="96">
        <v>383.72</v>
      </c>
      <c r="J42" s="84"/>
      <c r="K42" s="94">
        <v>287.22728044499996</v>
      </c>
      <c r="L42" s="95">
        <v>3.6449171477794629E-4</v>
      </c>
      <c r="M42" s="95">
        <f t="shared" si="1"/>
        <v>4.116583036780465E-3</v>
      </c>
      <c r="N42" s="95">
        <f>K42/'סכום נכסי הקרן'!$C$42</f>
        <v>3.0222930804982501E-4</v>
      </c>
    </row>
    <row r="43" spans="2:14">
      <c r="B43" s="83"/>
      <c r="C43" s="84"/>
      <c r="D43" s="84"/>
      <c r="E43" s="84"/>
      <c r="F43" s="84"/>
      <c r="G43" s="84"/>
      <c r="H43" s="94"/>
      <c r="I43" s="96"/>
      <c r="J43" s="84"/>
      <c r="K43" s="84"/>
      <c r="L43" s="84"/>
      <c r="M43" s="95"/>
      <c r="N43" s="84"/>
    </row>
    <row r="44" spans="2:14">
      <c r="B44" s="81" t="s">
        <v>237</v>
      </c>
      <c r="C44" s="82"/>
      <c r="D44" s="82"/>
      <c r="E44" s="82"/>
      <c r="F44" s="82"/>
      <c r="G44" s="82"/>
      <c r="H44" s="91"/>
      <c r="I44" s="93"/>
      <c r="J44" s="91">
        <v>15.703761276</v>
      </c>
      <c r="K44" s="91">
        <v>56938.101443578002</v>
      </c>
      <c r="L44" s="82"/>
      <c r="M44" s="92">
        <f t="shared" ref="M44:M91" si="2">K44/$K$11</f>
        <v>0.81604512700178911</v>
      </c>
      <c r="N44" s="92">
        <f>K44/'סכום נכסי הקרן'!$C$42</f>
        <v>5.9912007572200242E-2</v>
      </c>
    </row>
    <row r="45" spans="2:14">
      <c r="B45" s="102" t="s">
        <v>264</v>
      </c>
      <c r="C45" s="82"/>
      <c r="D45" s="82"/>
      <c r="E45" s="82"/>
      <c r="F45" s="82"/>
      <c r="G45" s="82"/>
      <c r="H45" s="91"/>
      <c r="I45" s="93"/>
      <c r="J45" s="91">
        <v>9.4673754860000017</v>
      </c>
      <c r="K45" s="91">
        <v>54928.106254288003</v>
      </c>
      <c r="L45" s="82"/>
      <c r="M45" s="92">
        <f t="shared" si="2"/>
        <v>0.78723758446118441</v>
      </c>
      <c r="N45" s="92">
        <f>K45/'סכום נכסי הקרן'!$C$42</f>
        <v>5.7797029307247734E-2</v>
      </c>
    </row>
    <row r="46" spans="2:14">
      <c r="B46" s="87" t="s">
        <v>1672</v>
      </c>
      <c r="C46" s="84" t="s">
        <v>1673</v>
      </c>
      <c r="D46" s="97" t="s">
        <v>30</v>
      </c>
      <c r="E46" s="84"/>
      <c r="F46" s="97" t="s">
        <v>1811</v>
      </c>
      <c r="G46" s="97" t="s">
        <v>167</v>
      </c>
      <c r="H46" s="94">
        <v>207.345347</v>
      </c>
      <c r="I46" s="96">
        <v>501.76</v>
      </c>
      <c r="J46" s="84"/>
      <c r="K46" s="94">
        <v>3.5955395179999994</v>
      </c>
      <c r="L46" s="95">
        <v>3.6252679661607605E-7</v>
      </c>
      <c r="M46" s="95">
        <f t="shared" si="2"/>
        <v>5.1531793793893672E-5</v>
      </c>
      <c r="N46" s="95">
        <f>K46/'סכום נכסי הקרן'!$C$42</f>
        <v>3.783336384020893E-6</v>
      </c>
    </row>
    <row r="47" spans="2:14">
      <c r="B47" s="87" t="s">
        <v>1674</v>
      </c>
      <c r="C47" s="84" t="s">
        <v>1675</v>
      </c>
      <c r="D47" s="97" t="s">
        <v>30</v>
      </c>
      <c r="E47" s="84"/>
      <c r="F47" s="97" t="s">
        <v>1811</v>
      </c>
      <c r="G47" s="97" t="s">
        <v>167</v>
      </c>
      <c r="H47" s="94">
        <v>6198.9993559999994</v>
      </c>
      <c r="I47" s="96">
        <v>6612.3</v>
      </c>
      <c r="J47" s="84"/>
      <c r="K47" s="94">
        <v>1416.6020775740005</v>
      </c>
      <c r="L47" s="95">
        <v>1.1722592406856863E-4</v>
      </c>
      <c r="M47" s="95">
        <f t="shared" si="2"/>
        <v>2.0302946410153955E-2</v>
      </c>
      <c r="N47" s="95">
        <f>K47/'סכום נכסי הקרן'!$C$42</f>
        <v>1.4905919278413295E-3</v>
      </c>
    </row>
    <row r="48" spans="2:14">
      <c r="B48" s="87" t="s">
        <v>1676</v>
      </c>
      <c r="C48" s="84" t="s">
        <v>1677</v>
      </c>
      <c r="D48" s="97" t="s">
        <v>1442</v>
      </c>
      <c r="E48" s="84"/>
      <c r="F48" s="97" t="s">
        <v>1811</v>
      </c>
      <c r="G48" s="97" t="s">
        <v>167</v>
      </c>
      <c r="H48" s="94">
        <v>123.18213</v>
      </c>
      <c r="I48" s="96">
        <v>6298</v>
      </c>
      <c r="J48" s="84"/>
      <c r="K48" s="94">
        <v>26.811684452000001</v>
      </c>
      <c r="L48" s="95">
        <v>5.7128789787678664E-7</v>
      </c>
      <c r="M48" s="95">
        <f t="shared" si="2"/>
        <v>3.8426894977250793E-4</v>
      </c>
      <c r="N48" s="95">
        <f>K48/'סכום נכסי הקרן'!$C$42</f>
        <v>2.8212072429275661E-5</v>
      </c>
    </row>
    <row r="49" spans="2:14">
      <c r="B49" s="87" t="s">
        <v>1678</v>
      </c>
      <c r="C49" s="84" t="s">
        <v>1679</v>
      </c>
      <c r="D49" s="97" t="s">
        <v>128</v>
      </c>
      <c r="E49" s="84"/>
      <c r="F49" s="97" t="s">
        <v>1811</v>
      </c>
      <c r="G49" s="97" t="s">
        <v>177</v>
      </c>
      <c r="H49" s="94">
        <v>77623.947939000005</v>
      </c>
      <c r="I49" s="96">
        <v>1805</v>
      </c>
      <c r="J49" s="84"/>
      <c r="K49" s="94">
        <v>4462.1222153850003</v>
      </c>
      <c r="L49" s="95">
        <v>2.7237176148485555E-5</v>
      </c>
      <c r="M49" s="95">
        <f t="shared" si="2"/>
        <v>6.3951782683861438E-2</v>
      </c>
      <c r="N49" s="95">
        <f>K49/'סכום נכסי הקרן'!$C$42</f>
        <v>4.6951811384357547E-3</v>
      </c>
    </row>
    <row r="50" spans="2:14">
      <c r="B50" s="87" t="s">
        <v>1680</v>
      </c>
      <c r="C50" s="84" t="s">
        <v>1681</v>
      </c>
      <c r="D50" s="97" t="s">
        <v>30</v>
      </c>
      <c r="E50" s="84"/>
      <c r="F50" s="97" t="s">
        <v>1811</v>
      </c>
      <c r="G50" s="97" t="s">
        <v>169</v>
      </c>
      <c r="H50" s="94">
        <v>2853.7694820000006</v>
      </c>
      <c r="I50" s="96">
        <v>1028.4000000000001</v>
      </c>
      <c r="J50" s="84"/>
      <c r="K50" s="94">
        <v>113.81805484100001</v>
      </c>
      <c r="L50" s="95">
        <v>6.7521997398607871E-5</v>
      </c>
      <c r="M50" s="95">
        <f t="shared" si="2"/>
        <v>1.631256867773493E-3</v>
      </c>
      <c r="N50" s="95">
        <f>K50/'סכום נכסי הקרן'!$C$42</f>
        <v>1.1976282999608537E-4</v>
      </c>
    </row>
    <row r="51" spans="2:14">
      <c r="B51" s="87" t="s">
        <v>1682</v>
      </c>
      <c r="C51" s="84" t="s">
        <v>1683</v>
      </c>
      <c r="D51" s="97" t="s">
        <v>1442</v>
      </c>
      <c r="E51" s="84"/>
      <c r="F51" s="97" t="s">
        <v>1811</v>
      </c>
      <c r="G51" s="97" t="s">
        <v>167</v>
      </c>
      <c r="H51" s="94">
        <v>23082.378401000002</v>
      </c>
      <c r="I51" s="96">
        <v>3078</v>
      </c>
      <c r="J51" s="84"/>
      <c r="K51" s="94">
        <v>2455.4036984239997</v>
      </c>
      <c r="L51" s="95">
        <v>2.9096825237339988E-5</v>
      </c>
      <c r="M51" s="95">
        <f t="shared" si="2"/>
        <v>3.5191201886255963E-2</v>
      </c>
      <c r="N51" s="95">
        <f>K51/'סכום נכסי הקרן'!$C$42</f>
        <v>2.5836506880820725E-3</v>
      </c>
    </row>
    <row r="52" spans="2:14">
      <c r="B52" s="87" t="s">
        <v>1684</v>
      </c>
      <c r="C52" s="84" t="s">
        <v>1685</v>
      </c>
      <c r="D52" s="97" t="s">
        <v>1442</v>
      </c>
      <c r="E52" s="84"/>
      <c r="F52" s="97" t="s">
        <v>1811</v>
      </c>
      <c r="G52" s="97" t="s">
        <v>167</v>
      </c>
      <c r="H52" s="94">
        <v>3669.5308199999999</v>
      </c>
      <c r="I52" s="96">
        <v>10186</v>
      </c>
      <c r="J52" s="94">
        <v>8.4403107380000009</v>
      </c>
      <c r="K52" s="94">
        <v>1300.2184933660001</v>
      </c>
      <c r="L52" s="95">
        <v>1.8635069863836498E-5</v>
      </c>
      <c r="M52" s="95">
        <f t="shared" si="2"/>
        <v>1.863492000344184E-2</v>
      </c>
      <c r="N52" s="95">
        <f>K52/'סכום נכסי הקרן'!$C$42</f>
        <v>1.3681295695686516E-3</v>
      </c>
    </row>
    <row r="53" spans="2:14">
      <c r="B53" s="87" t="s">
        <v>1686</v>
      </c>
      <c r="C53" s="84" t="s">
        <v>1687</v>
      </c>
      <c r="D53" s="97" t="s">
        <v>30</v>
      </c>
      <c r="E53" s="84"/>
      <c r="F53" s="97" t="s">
        <v>1811</v>
      </c>
      <c r="G53" s="97" t="s">
        <v>176</v>
      </c>
      <c r="H53" s="94">
        <v>11100.351477</v>
      </c>
      <c r="I53" s="96">
        <v>3768</v>
      </c>
      <c r="J53" s="84"/>
      <c r="K53" s="94">
        <v>1109.8562100409999</v>
      </c>
      <c r="L53" s="95">
        <v>2.0704629878688701E-4</v>
      </c>
      <c r="M53" s="95">
        <f t="shared" si="2"/>
        <v>1.5906620152660263E-2</v>
      </c>
      <c r="N53" s="95">
        <f>K53/'סכום נכסי הקרן'!$C$42</f>
        <v>1.1678245669276635E-3</v>
      </c>
    </row>
    <row r="54" spans="2:14">
      <c r="B54" s="87" t="s">
        <v>1688</v>
      </c>
      <c r="C54" s="84" t="s">
        <v>1689</v>
      </c>
      <c r="D54" s="97" t="s">
        <v>127</v>
      </c>
      <c r="E54" s="84"/>
      <c r="F54" s="97" t="s">
        <v>1811</v>
      </c>
      <c r="G54" s="97" t="s">
        <v>167</v>
      </c>
      <c r="H54" s="94">
        <v>16604.632147</v>
      </c>
      <c r="I54" s="96">
        <v>441.6</v>
      </c>
      <c r="J54" s="84"/>
      <c r="K54" s="94">
        <v>253.41484799700001</v>
      </c>
      <c r="L54" s="95">
        <v>9.8837096113095241E-5</v>
      </c>
      <c r="M54" s="95">
        <f t="shared" si="2"/>
        <v>3.6319783514870869E-3</v>
      </c>
      <c r="N54" s="95">
        <f>K54/'סכום נכסי הקרן'!$C$42</f>
        <v>2.6665083497996874E-4</v>
      </c>
    </row>
    <row r="55" spans="2:14">
      <c r="B55" s="87" t="s">
        <v>1690</v>
      </c>
      <c r="C55" s="84" t="s">
        <v>1691</v>
      </c>
      <c r="D55" s="97" t="s">
        <v>1442</v>
      </c>
      <c r="E55" s="84"/>
      <c r="F55" s="97" t="s">
        <v>1811</v>
      </c>
      <c r="G55" s="97" t="s">
        <v>167</v>
      </c>
      <c r="H55" s="94">
        <v>3831.0342619999997</v>
      </c>
      <c r="I55" s="96">
        <v>8147</v>
      </c>
      <c r="J55" s="84"/>
      <c r="K55" s="94">
        <v>1078.6672328059999</v>
      </c>
      <c r="L55" s="95">
        <v>2.9577337847227582E-5</v>
      </c>
      <c r="M55" s="95">
        <f t="shared" si="2"/>
        <v>1.5459615207930721E-2</v>
      </c>
      <c r="N55" s="95">
        <f>K55/'סכום נכסי הקרן'!$C$42</f>
        <v>1.1350065734769307E-3</v>
      </c>
    </row>
    <row r="56" spans="2:14">
      <c r="B56" s="87" t="s">
        <v>1692</v>
      </c>
      <c r="C56" s="84" t="s">
        <v>1693</v>
      </c>
      <c r="D56" s="97" t="s">
        <v>30</v>
      </c>
      <c r="E56" s="84"/>
      <c r="F56" s="97" t="s">
        <v>1811</v>
      </c>
      <c r="G56" s="97" t="s">
        <v>169</v>
      </c>
      <c r="H56" s="94">
        <v>1336.5390769999999</v>
      </c>
      <c r="I56" s="96">
        <v>4745</v>
      </c>
      <c r="J56" s="84"/>
      <c r="K56" s="94">
        <v>245.950709504</v>
      </c>
      <c r="L56" s="95">
        <v>1.7448290822454307E-4</v>
      </c>
      <c r="M56" s="95">
        <f t="shared" si="2"/>
        <v>3.5250012361627381E-3</v>
      </c>
      <c r="N56" s="95">
        <f>K56/'סכום נכסי הקרן'!$C$42</f>
        <v>2.5879684071997914E-4</v>
      </c>
    </row>
    <row r="57" spans="2:14">
      <c r="B57" s="87" t="s">
        <v>1694</v>
      </c>
      <c r="C57" s="84" t="s">
        <v>1695</v>
      </c>
      <c r="D57" s="97" t="s">
        <v>127</v>
      </c>
      <c r="E57" s="84"/>
      <c r="F57" s="97" t="s">
        <v>1811</v>
      </c>
      <c r="G57" s="97" t="s">
        <v>167</v>
      </c>
      <c r="H57" s="94">
        <v>76548.453838999994</v>
      </c>
      <c r="I57" s="96">
        <v>3021</v>
      </c>
      <c r="J57" s="84"/>
      <c r="K57" s="94">
        <v>7992.0994998509996</v>
      </c>
      <c r="L57" s="95">
        <v>1.5510275922177066E-4</v>
      </c>
      <c r="M57" s="95">
        <f t="shared" si="2"/>
        <v>0.11454392903896948</v>
      </c>
      <c r="N57" s="95">
        <f>K57/'סכום נכסי הקרן'!$C$42</f>
        <v>8.4095309399687904E-3</v>
      </c>
    </row>
    <row r="58" spans="2:14">
      <c r="B58" s="87" t="s">
        <v>1696</v>
      </c>
      <c r="C58" s="84" t="s">
        <v>1697</v>
      </c>
      <c r="D58" s="97" t="s">
        <v>1698</v>
      </c>
      <c r="E58" s="84"/>
      <c r="F58" s="97" t="s">
        <v>1811</v>
      </c>
      <c r="G58" s="97" t="s">
        <v>172</v>
      </c>
      <c r="H58" s="94">
        <v>149395.289857</v>
      </c>
      <c r="I58" s="96">
        <v>2710</v>
      </c>
      <c r="J58" s="84"/>
      <c r="K58" s="94">
        <v>1795.6000656330002</v>
      </c>
      <c r="L58" s="95">
        <v>6.6933763738918569E-4</v>
      </c>
      <c r="M58" s="95">
        <f t="shared" si="2"/>
        <v>2.5734800536964014E-2</v>
      </c>
      <c r="N58" s="95">
        <f>K58/'סכום נכסי הקרן'!$C$42</f>
        <v>1.8893851744503714E-3</v>
      </c>
    </row>
    <row r="59" spans="2:14">
      <c r="B59" s="87" t="s">
        <v>1699</v>
      </c>
      <c r="C59" s="84" t="s">
        <v>1700</v>
      </c>
      <c r="D59" s="97" t="s">
        <v>1442</v>
      </c>
      <c r="E59" s="84"/>
      <c r="F59" s="97" t="s">
        <v>1811</v>
      </c>
      <c r="G59" s="97" t="s">
        <v>167</v>
      </c>
      <c r="H59" s="94">
        <v>6391.3709429999999</v>
      </c>
      <c r="I59" s="96">
        <v>5376</v>
      </c>
      <c r="J59" s="84"/>
      <c r="K59" s="94">
        <v>1187.481952418</v>
      </c>
      <c r="L59" s="95">
        <v>5.5509561776967173E-6</v>
      </c>
      <c r="M59" s="95">
        <f t="shared" si="2"/>
        <v>1.7019163549622997E-2</v>
      </c>
      <c r="N59" s="95">
        <f>K59/'סכום נכסי הקרן'!$C$42</f>
        <v>1.2495047414887534E-3</v>
      </c>
    </row>
    <row r="60" spans="2:14">
      <c r="B60" s="87" t="s">
        <v>1701</v>
      </c>
      <c r="C60" s="84" t="s">
        <v>1702</v>
      </c>
      <c r="D60" s="97" t="s">
        <v>30</v>
      </c>
      <c r="E60" s="84"/>
      <c r="F60" s="97" t="s">
        <v>1811</v>
      </c>
      <c r="G60" s="97" t="s">
        <v>169</v>
      </c>
      <c r="H60" s="94">
        <v>35323.357501999999</v>
      </c>
      <c r="I60" s="96">
        <v>2580.5</v>
      </c>
      <c r="J60" s="84"/>
      <c r="K60" s="94">
        <v>3535.0539179629995</v>
      </c>
      <c r="L60" s="95">
        <v>1.5595301325386314E-4</v>
      </c>
      <c r="M60" s="95">
        <f t="shared" si="2"/>
        <v>5.0664905402595897E-2</v>
      </c>
      <c r="N60" s="95">
        <f>K60/'סכום נכסי הקרן'!$C$42</f>
        <v>3.7196915901912854E-3</v>
      </c>
    </row>
    <row r="61" spans="2:14">
      <c r="B61" s="87" t="s">
        <v>1703</v>
      </c>
      <c r="C61" s="84" t="s">
        <v>1704</v>
      </c>
      <c r="D61" s="97" t="s">
        <v>127</v>
      </c>
      <c r="E61" s="84"/>
      <c r="F61" s="97" t="s">
        <v>1811</v>
      </c>
      <c r="G61" s="97" t="s">
        <v>167</v>
      </c>
      <c r="H61" s="94">
        <v>135.83228600000001</v>
      </c>
      <c r="I61" s="96">
        <v>32030</v>
      </c>
      <c r="J61" s="84"/>
      <c r="K61" s="94">
        <v>150.36047311600001</v>
      </c>
      <c r="L61" s="95">
        <v>1.1688758159662291E-6</v>
      </c>
      <c r="M61" s="95">
        <f t="shared" si="2"/>
        <v>2.1549881058395329E-3</v>
      </c>
      <c r="N61" s="95">
        <f>K61/'סכום נכסי הקרן'!$C$42</f>
        <v>1.582138774474619E-4</v>
      </c>
    </row>
    <row r="62" spans="2:14">
      <c r="B62" s="87" t="s">
        <v>1705</v>
      </c>
      <c r="C62" s="84" t="s">
        <v>1706</v>
      </c>
      <c r="D62" s="97" t="s">
        <v>1442</v>
      </c>
      <c r="E62" s="84"/>
      <c r="F62" s="97" t="s">
        <v>1811</v>
      </c>
      <c r="G62" s="97" t="s">
        <v>167</v>
      </c>
      <c r="H62" s="94">
        <v>3943.8898399999998</v>
      </c>
      <c r="I62" s="96">
        <v>20582</v>
      </c>
      <c r="J62" s="84"/>
      <c r="K62" s="94">
        <v>2805.3437420219998</v>
      </c>
      <c r="L62" s="95">
        <v>1.5136786950681251E-5</v>
      </c>
      <c r="M62" s="95">
        <f t="shared" si="2"/>
        <v>4.0206593339093918E-2</v>
      </c>
      <c r="N62" s="95">
        <f>K62/'סכום נכסי הקרן'!$C$42</f>
        <v>2.9518682789449334E-3</v>
      </c>
    </row>
    <row r="63" spans="2:14">
      <c r="B63" s="87" t="s">
        <v>1707</v>
      </c>
      <c r="C63" s="84" t="s">
        <v>1708</v>
      </c>
      <c r="D63" s="97" t="s">
        <v>1442</v>
      </c>
      <c r="E63" s="84"/>
      <c r="F63" s="97" t="s">
        <v>1811</v>
      </c>
      <c r="G63" s="97" t="s">
        <v>167</v>
      </c>
      <c r="H63" s="94">
        <v>679.35074399999996</v>
      </c>
      <c r="I63" s="96">
        <v>26432</v>
      </c>
      <c r="J63" s="94">
        <v>8.6193803999999999E-2</v>
      </c>
      <c r="K63" s="94">
        <v>620.66625022299991</v>
      </c>
      <c r="L63" s="95">
        <v>3.7122991475409831E-5</v>
      </c>
      <c r="M63" s="95">
        <f t="shared" si="2"/>
        <v>8.8954787066592468E-3</v>
      </c>
      <c r="N63" s="95">
        <f>K63/'סכום נכסי הקרן'!$C$42</f>
        <v>6.5308396557650953E-4</v>
      </c>
    </row>
    <row r="64" spans="2:14">
      <c r="B64" s="87" t="s">
        <v>1709</v>
      </c>
      <c r="C64" s="84" t="s">
        <v>1710</v>
      </c>
      <c r="D64" s="97" t="s">
        <v>30</v>
      </c>
      <c r="E64" s="84"/>
      <c r="F64" s="97" t="s">
        <v>1811</v>
      </c>
      <c r="G64" s="97" t="s">
        <v>169</v>
      </c>
      <c r="H64" s="94">
        <v>2617.1664350000005</v>
      </c>
      <c r="I64" s="96">
        <v>3239</v>
      </c>
      <c r="J64" s="84"/>
      <c r="K64" s="94">
        <v>328.75509460299997</v>
      </c>
      <c r="L64" s="95">
        <v>4.7584844272727283E-4</v>
      </c>
      <c r="M64" s="95">
        <f t="shared" si="2"/>
        <v>4.7117656916193023E-3</v>
      </c>
      <c r="N64" s="95">
        <f>K64/'סכום נכסי הקרן'!$C$42</f>
        <v>3.4592614115825737E-4</v>
      </c>
    </row>
    <row r="65" spans="2:14">
      <c r="B65" s="87" t="s">
        <v>1711</v>
      </c>
      <c r="C65" s="84" t="s">
        <v>1712</v>
      </c>
      <c r="D65" s="97" t="s">
        <v>1425</v>
      </c>
      <c r="E65" s="84"/>
      <c r="F65" s="97" t="s">
        <v>1811</v>
      </c>
      <c r="G65" s="97" t="s">
        <v>167</v>
      </c>
      <c r="H65" s="94">
        <v>2970.6343139999999</v>
      </c>
      <c r="I65" s="96">
        <v>6409</v>
      </c>
      <c r="J65" s="84"/>
      <c r="K65" s="94">
        <v>657.98076620500001</v>
      </c>
      <c r="L65" s="95">
        <v>4.0582435983606556E-5</v>
      </c>
      <c r="M65" s="95">
        <f t="shared" si="2"/>
        <v>9.4302757610309294E-3</v>
      </c>
      <c r="N65" s="95">
        <f>K65/'סכום נכסי הקרן'!$C$42</f>
        <v>6.9234743779259488E-4</v>
      </c>
    </row>
    <row r="66" spans="2:14">
      <c r="B66" s="87" t="s">
        <v>1713</v>
      </c>
      <c r="C66" s="84" t="s">
        <v>1714</v>
      </c>
      <c r="D66" s="97" t="s">
        <v>1442</v>
      </c>
      <c r="E66" s="84"/>
      <c r="F66" s="97" t="s">
        <v>1811</v>
      </c>
      <c r="G66" s="97" t="s">
        <v>167</v>
      </c>
      <c r="H66" s="94">
        <v>5625.0899230000005</v>
      </c>
      <c r="I66" s="96">
        <v>16567</v>
      </c>
      <c r="J66" s="84"/>
      <c r="K66" s="94">
        <v>3220.6762861100001</v>
      </c>
      <c r="L66" s="95">
        <v>1.9400206666666667E-5</v>
      </c>
      <c r="M66" s="95">
        <f t="shared" si="2"/>
        <v>4.6159199592116361E-2</v>
      </c>
      <c r="N66" s="95">
        <f>K66/'סכום נכסי הקרן'!$C$42</f>
        <v>3.3888938540080449E-3</v>
      </c>
    </row>
    <row r="67" spans="2:14">
      <c r="B67" s="87" t="s">
        <v>1715</v>
      </c>
      <c r="C67" s="84" t="s">
        <v>1716</v>
      </c>
      <c r="D67" s="97" t="s">
        <v>127</v>
      </c>
      <c r="E67" s="84"/>
      <c r="F67" s="97" t="s">
        <v>1811</v>
      </c>
      <c r="G67" s="97" t="s">
        <v>167</v>
      </c>
      <c r="H67" s="94">
        <v>60361.510251</v>
      </c>
      <c r="I67" s="96">
        <v>752.25</v>
      </c>
      <c r="J67" s="84"/>
      <c r="K67" s="94">
        <v>1569.2640567939998</v>
      </c>
      <c r="L67" s="95">
        <v>4.0040802819900497E-4</v>
      </c>
      <c r="M67" s="95">
        <f t="shared" si="2"/>
        <v>2.2490920035238355E-2</v>
      </c>
      <c r="N67" s="95">
        <f>K67/'סכום נכסי הקרן'!$C$42</f>
        <v>1.6512275202324642E-3</v>
      </c>
    </row>
    <row r="68" spans="2:14">
      <c r="B68" s="87" t="s">
        <v>1717</v>
      </c>
      <c r="C68" s="84" t="s">
        <v>1718</v>
      </c>
      <c r="D68" s="97" t="s">
        <v>1442</v>
      </c>
      <c r="E68" s="84"/>
      <c r="F68" s="97" t="s">
        <v>1811</v>
      </c>
      <c r="G68" s="97" t="s">
        <v>167</v>
      </c>
      <c r="H68" s="94">
        <v>1404.024731</v>
      </c>
      <c r="I68" s="96">
        <v>23304</v>
      </c>
      <c r="J68" s="84"/>
      <c r="K68" s="94">
        <v>1130.7821990549999</v>
      </c>
      <c r="L68" s="95">
        <v>1.1555759102880658E-4</v>
      </c>
      <c r="M68" s="95">
        <f t="shared" si="2"/>
        <v>1.6206534461877076E-2</v>
      </c>
      <c r="N68" s="95">
        <f>K68/'סכום נכסי הקרן'!$C$42</f>
        <v>1.1898435310391539E-3</v>
      </c>
    </row>
    <row r="69" spans="2:14">
      <c r="B69" s="87" t="s">
        <v>1719</v>
      </c>
      <c r="C69" s="84" t="s">
        <v>1720</v>
      </c>
      <c r="D69" s="97" t="s">
        <v>30</v>
      </c>
      <c r="E69" s="84"/>
      <c r="F69" s="97" t="s">
        <v>1811</v>
      </c>
      <c r="G69" s="97" t="s">
        <v>169</v>
      </c>
      <c r="H69" s="94">
        <v>6025.8623340000004</v>
      </c>
      <c r="I69" s="96">
        <v>3119</v>
      </c>
      <c r="J69" s="84"/>
      <c r="K69" s="94">
        <v>728.89468339899997</v>
      </c>
      <c r="L69" s="95">
        <v>3.39485201915493E-4</v>
      </c>
      <c r="M69" s="95">
        <f t="shared" si="2"/>
        <v>1.0446624306128036E-2</v>
      </c>
      <c r="N69" s="95">
        <f>K69/'סכום נכסי הקרן'!$C$42</f>
        <v>7.6696522511224047E-4</v>
      </c>
    </row>
    <row r="70" spans="2:14">
      <c r="B70" s="87" t="s">
        <v>1721</v>
      </c>
      <c r="C70" s="84" t="s">
        <v>1722</v>
      </c>
      <c r="D70" s="97" t="s">
        <v>1442</v>
      </c>
      <c r="E70" s="84"/>
      <c r="F70" s="97" t="s">
        <v>1811</v>
      </c>
      <c r="G70" s="97" t="s">
        <v>167</v>
      </c>
      <c r="H70" s="94">
        <v>473.06087200000002</v>
      </c>
      <c r="I70" s="96">
        <v>22208</v>
      </c>
      <c r="J70" s="94">
        <v>0.94087094400000004</v>
      </c>
      <c r="K70" s="94">
        <v>364.01910183799993</v>
      </c>
      <c r="L70" s="95">
        <v>1.9308607020408164E-5</v>
      </c>
      <c r="M70" s="95">
        <f t="shared" si="2"/>
        <v>5.2171745572660386E-3</v>
      </c>
      <c r="N70" s="95">
        <f>K70/'סכום נכסי הקרן'!$C$42</f>
        <v>3.8303200550786218E-4</v>
      </c>
    </row>
    <row r="71" spans="2:14">
      <c r="B71" s="87" t="s">
        <v>1723</v>
      </c>
      <c r="C71" s="84" t="s">
        <v>1724</v>
      </c>
      <c r="D71" s="97" t="s">
        <v>30</v>
      </c>
      <c r="E71" s="84"/>
      <c r="F71" s="97" t="s">
        <v>1811</v>
      </c>
      <c r="G71" s="97" t="s">
        <v>169</v>
      </c>
      <c r="H71" s="94">
        <v>5414.225456000001</v>
      </c>
      <c r="I71" s="96">
        <v>6109</v>
      </c>
      <c r="J71" s="84"/>
      <c r="K71" s="94">
        <v>1282.7341695210002</v>
      </c>
      <c r="L71" s="95">
        <v>1.0026343437037038E-3</v>
      </c>
      <c r="M71" s="95">
        <f t="shared" si="2"/>
        <v>1.8384332138534333E-2</v>
      </c>
      <c r="N71" s="95">
        <f>K71/'סכום נכסי הקרן'!$C$42</f>
        <v>1.3497320305563181E-3</v>
      </c>
    </row>
    <row r="72" spans="2:14">
      <c r="B72" s="87" t="s">
        <v>1725</v>
      </c>
      <c r="C72" s="84" t="s">
        <v>1726</v>
      </c>
      <c r="D72" s="97" t="s">
        <v>1425</v>
      </c>
      <c r="E72" s="84"/>
      <c r="F72" s="97" t="s">
        <v>1811</v>
      </c>
      <c r="G72" s="97" t="s">
        <v>167</v>
      </c>
      <c r="H72" s="94">
        <v>3120.3226450000006</v>
      </c>
      <c r="I72" s="96">
        <v>4868</v>
      </c>
      <c r="J72" s="84"/>
      <c r="K72" s="94">
        <v>524.95709077200002</v>
      </c>
      <c r="L72" s="95">
        <v>8.0942221660181595E-5</v>
      </c>
      <c r="M72" s="95">
        <f t="shared" si="2"/>
        <v>7.5237611537510105E-3</v>
      </c>
      <c r="N72" s="95">
        <f>K72/'סכום נכסי הקרן'!$C$42</f>
        <v>5.5237586782865293E-4</v>
      </c>
    </row>
    <row r="73" spans="2:14">
      <c r="B73" s="87" t="s">
        <v>1727</v>
      </c>
      <c r="C73" s="84" t="s">
        <v>1728</v>
      </c>
      <c r="D73" s="97" t="s">
        <v>127</v>
      </c>
      <c r="E73" s="84"/>
      <c r="F73" s="97" t="s">
        <v>1811</v>
      </c>
      <c r="G73" s="97" t="s">
        <v>167</v>
      </c>
      <c r="H73" s="94">
        <v>1296.654</v>
      </c>
      <c r="I73" s="96">
        <v>2718.5</v>
      </c>
      <c r="J73" s="84"/>
      <c r="K73" s="94">
        <v>121.82240674900001</v>
      </c>
      <c r="L73" s="95">
        <v>2.6735134020618558E-4</v>
      </c>
      <c r="M73" s="95">
        <f t="shared" si="2"/>
        <v>1.7459764001028872E-3</v>
      </c>
      <c r="N73" s="95">
        <f>K73/'סכום נכסי הקרן'!$C$42</f>
        <v>1.2818525329374067E-4</v>
      </c>
    </row>
    <row r="74" spans="2:14">
      <c r="B74" s="87" t="s">
        <v>1729</v>
      </c>
      <c r="C74" s="84" t="s">
        <v>1730</v>
      </c>
      <c r="D74" s="97" t="s">
        <v>127</v>
      </c>
      <c r="E74" s="84"/>
      <c r="F74" s="97" t="s">
        <v>1811</v>
      </c>
      <c r="G74" s="97" t="s">
        <v>167</v>
      </c>
      <c r="H74" s="94">
        <v>1597.2521099999999</v>
      </c>
      <c r="I74" s="96">
        <v>3282.875</v>
      </c>
      <c r="J74" s="84"/>
      <c r="K74" s="94">
        <v>181.218090991</v>
      </c>
      <c r="L74" s="95">
        <v>1.5109097376762404E-5</v>
      </c>
      <c r="M74" s="95">
        <f t="shared" si="2"/>
        <v>2.5972439601681147E-3</v>
      </c>
      <c r="N74" s="95">
        <f>K74/'סכום נכסי הקרן'!$C$42</f>
        <v>1.9068320446952717E-4</v>
      </c>
    </row>
    <row r="75" spans="2:14">
      <c r="B75" s="87" t="s">
        <v>1731</v>
      </c>
      <c r="C75" s="84" t="s">
        <v>1732</v>
      </c>
      <c r="D75" s="97" t="s">
        <v>30</v>
      </c>
      <c r="E75" s="84"/>
      <c r="F75" s="97" t="s">
        <v>1811</v>
      </c>
      <c r="G75" s="97" t="s">
        <v>169</v>
      </c>
      <c r="H75" s="94">
        <v>1996.8471610000001</v>
      </c>
      <c r="I75" s="96">
        <v>4482.6000000000004</v>
      </c>
      <c r="J75" s="84"/>
      <c r="K75" s="94">
        <v>347.14028346399999</v>
      </c>
      <c r="L75" s="95">
        <v>2.2660245972703946E-4</v>
      </c>
      <c r="M75" s="95">
        <f t="shared" si="2"/>
        <v>4.9752648845787619E-3</v>
      </c>
      <c r="N75" s="95">
        <f>K75/'סכום נכסי הקרן'!$C$42</f>
        <v>3.6527159782663739E-4</v>
      </c>
    </row>
    <row r="76" spans="2:14">
      <c r="B76" s="87" t="s">
        <v>1733</v>
      </c>
      <c r="C76" s="84" t="s">
        <v>1734</v>
      </c>
      <c r="D76" s="97" t="s">
        <v>30</v>
      </c>
      <c r="E76" s="84"/>
      <c r="F76" s="97" t="s">
        <v>1811</v>
      </c>
      <c r="G76" s="97" t="s">
        <v>169</v>
      </c>
      <c r="H76" s="94">
        <v>648.327</v>
      </c>
      <c r="I76" s="96">
        <v>10859</v>
      </c>
      <c r="J76" s="84"/>
      <c r="K76" s="94">
        <v>273.03237295600002</v>
      </c>
      <c r="L76" s="95">
        <v>2.8262325182370064E-4</v>
      </c>
      <c r="M76" s="95">
        <f t="shared" si="2"/>
        <v>3.913139564115359E-3</v>
      </c>
      <c r="N76" s="95">
        <f>K76/'סכום נכסי הקרן'!$C$42</f>
        <v>2.8729299329035971E-4</v>
      </c>
    </row>
    <row r="77" spans="2:14">
      <c r="B77" s="87" t="s">
        <v>1735</v>
      </c>
      <c r="C77" s="84" t="s">
        <v>1736</v>
      </c>
      <c r="D77" s="97" t="s">
        <v>30</v>
      </c>
      <c r="E77" s="84"/>
      <c r="F77" s="97" t="s">
        <v>1811</v>
      </c>
      <c r="G77" s="97" t="s">
        <v>169</v>
      </c>
      <c r="H77" s="94">
        <v>6240.7023440000012</v>
      </c>
      <c r="I77" s="96">
        <v>5964.4</v>
      </c>
      <c r="J77" s="84"/>
      <c r="K77" s="94">
        <v>1443.545351323</v>
      </c>
      <c r="L77" s="95">
        <v>1.0810104203565999E-3</v>
      </c>
      <c r="M77" s="95">
        <f t="shared" si="2"/>
        <v>2.0689101316814017E-2</v>
      </c>
      <c r="N77" s="95">
        <f>K77/'סכום נכסי הקרן'!$C$42</f>
        <v>1.5189424625438172E-3</v>
      </c>
    </row>
    <row r="78" spans="2:14">
      <c r="B78" s="87" t="s">
        <v>1737</v>
      </c>
      <c r="C78" s="84" t="s">
        <v>1738</v>
      </c>
      <c r="D78" s="97" t="s">
        <v>30</v>
      </c>
      <c r="E78" s="84"/>
      <c r="F78" s="97" t="s">
        <v>1811</v>
      </c>
      <c r="G78" s="97" t="s">
        <v>169</v>
      </c>
      <c r="H78" s="94">
        <v>22561.779598999998</v>
      </c>
      <c r="I78" s="96">
        <v>1900</v>
      </c>
      <c r="J78" s="84"/>
      <c r="K78" s="94">
        <v>1662.4827792489998</v>
      </c>
      <c r="L78" s="95">
        <v>6.0415151093444041E-4</v>
      </c>
      <c r="M78" s="95">
        <f t="shared" si="2"/>
        <v>2.3826944283958981E-2</v>
      </c>
      <c r="N78" s="95">
        <f>K78/'סכום נכסי הקרן'!$C$42</f>
        <v>1.7493151041876316E-3</v>
      </c>
    </row>
    <row r="79" spans="2:14">
      <c r="B79" s="87" t="s">
        <v>1739</v>
      </c>
      <c r="C79" s="84" t="s">
        <v>1740</v>
      </c>
      <c r="D79" s="97" t="s">
        <v>1442</v>
      </c>
      <c r="E79" s="84"/>
      <c r="F79" s="97" t="s">
        <v>1811</v>
      </c>
      <c r="G79" s="97" t="s">
        <v>167</v>
      </c>
      <c r="H79" s="94">
        <v>865.26240099999995</v>
      </c>
      <c r="I79" s="96">
        <v>14141</v>
      </c>
      <c r="J79" s="84"/>
      <c r="K79" s="94">
        <v>422.86494907999997</v>
      </c>
      <c r="L79" s="95">
        <v>8.2241952499097744E-5</v>
      </c>
      <c r="M79" s="95">
        <f t="shared" si="2"/>
        <v>6.0605617737103977E-3</v>
      </c>
      <c r="N79" s="95">
        <f>K79/'סכום נכסי הקרן'!$C$42</f>
        <v>4.4495140141622173E-4</v>
      </c>
    </row>
    <row r="80" spans="2:14">
      <c r="B80" s="87" t="s">
        <v>1741</v>
      </c>
      <c r="C80" s="84" t="s">
        <v>1742</v>
      </c>
      <c r="D80" s="97" t="s">
        <v>128</v>
      </c>
      <c r="E80" s="84"/>
      <c r="F80" s="97" t="s">
        <v>1811</v>
      </c>
      <c r="G80" s="97" t="s">
        <v>177</v>
      </c>
      <c r="H80" s="94">
        <v>305.53058199999998</v>
      </c>
      <c r="I80" s="96">
        <v>21360</v>
      </c>
      <c r="J80" s="84"/>
      <c r="K80" s="94">
        <v>207.83776502500001</v>
      </c>
      <c r="L80" s="95">
        <v>2.027624578588304E-3</v>
      </c>
      <c r="M80" s="95">
        <f t="shared" si="2"/>
        <v>2.9787609887846679E-3</v>
      </c>
      <c r="N80" s="95">
        <f>K80/'סכום נכסי הקרן'!$C$42</f>
        <v>2.1869323767857076E-4</v>
      </c>
    </row>
    <row r="81" spans="2:14">
      <c r="B81" s="87" t="s">
        <v>1743</v>
      </c>
      <c r="C81" s="84" t="s">
        <v>1744</v>
      </c>
      <c r="D81" s="97" t="s">
        <v>128</v>
      </c>
      <c r="E81" s="84"/>
      <c r="F81" s="97" t="s">
        <v>1811</v>
      </c>
      <c r="G81" s="97" t="s">
        <v>177</v>
      </c>
      <c r="H81" s="94">
        <v>177.532679</v>
      </c>
      <c r="I81" s="96">
        <v>34500</v>
      </c>
      <c r="J81" s="84"/>
      <c r="K81" s="94">
        <v>195.05897144799999</v>
      </c>
      <c r="L81" s="95">
        <v>2.0216899241578793E-3</v>
      </c>
      <c r="M81" s="95">
        <f t="shared" si="2"/>
        <v>2.7956134660699146E-3</v>
      </c>
      <c r="N81" s="95">
        <f>K81/'סכום נכסי הקרן'!$C$42</f>
        <v>2.0524700118423536E-4</v>
      </c>
    </row>
    <row r="82" spans="2:14">
      <c r="B82" s="87" t="s">
        <v>1745</v>
      </c>
      <c r="C82" s="84" t="s">
        <v>1746</v>
      </c>
      <c r="D82" s="97" t="s">
        <v>1442</v>
      </c>
      <c r="E82" s="84"/>
      <c r="F82" s="97" t="s">
        <v>1811</v>
      </c>
      <c r="G82" s="97" t="s">
        <v>167</v>
      </c>
      <c r="H82" s="94">
        <v>5134.7498409999998</v>
      </c>
      <c r="I82" s="96">
        <v>2984</v>
      </c>
      <c r="J82" s="84"/>
      <c r="K82" s="94">
        <v>529.53155213700006</v>
      </c>
      <c r="L82" s="95">
        <v>5.181382281533804E-5</v>
      </c>
      <c r="M82" s="95">
        <f t="shared" si="2"/>
        <v>7.5893229974184776E-3</v>
      </c>
      <c r="N82" s="95">
        <f>K82/'סכום נכסי הקרן'!$C$42</f>
        <v>5.5718925564788332E-4</v>
      </c>
    </row>
    <row r="83" spans="2:14">
      <c r="B83" s="87" t="s">
        <v>1747</v>
      </c>
      <c r="C83" s="84" t="s">
        <v>1748</v>
      </c>
      <c r="D83" s="97" t="s">
        <v>127</v>
      </c>
      <c r="E83" s="84"/>
      <c r="F83" s="97" t="s">
        <v>1811</v>
      </c>
      <c r="G83" s="97" t="s">
        <v>167</v>
      </c>
      <c r="H83" s="94">
        <v>215.66208700000004</v>
      </c>
      <c r="I83" s="96">
        <v>58895.5</v>
      </c>
      <c r="J83" s="84"/>
      <c r="K83" s="94">
        <v>438.96475313600001</v>
      </c>
      <c r="L83" s="95">
        <v>1.6618220084565165E-5</v>
      </c>
      <c r="M83" s="95">
        <f t="shared" si="2"/>
        <v>6.2913065002201422E-3</v>
      </c>
      <c r="N83" s="95">
        <f>K83/'סכום נכסי הקרן'!$C$42</f>
        <v>4.6189210646361152E-4</v>
      </c>
    </row>
    <row r="84" spans="2:14">
      <c r="B84" s="87" t="s">
        <v>1749</v>
      </c>
      <c r="C84" s="84" t="s">
        <v>1750</v>
      </c>
      <c r="D84" s="97" t="s">
        <v>30</v>
      </c>
      <c r="E84" s="84"/>
      <c r="F84" s="97" t="s">
        <v>1811</v>
      </c>
      <c r="G84" s="97" t="s">
        <v>169</v>
      </c>
      <c r="H84" s="94">
        <v>1764.7512800000002</v>
      </c>
      <c r="I84" s="96">
        <v>13188</v>
      </c>
      <c r="J84" s="84"/>
      <c r="K84" s="94">
        <v>902.59442398500016</v>
      </c>
      <c r="L84" s="95">
        <v>1.3706806058252428E-3</v>
      </c>
      <c r="M84" s="95">
        <f t="shared" si="2"/>
        <v>1.2936114177987259E-2</v>
      </c>
      <c r="N84" s="95">
        <f>K84/'סכום נכסי הקרן'!$C$42</f>
        <v>9.4973739189391714E-4</v>
      </c>
    </row>
    <row r="85" spans="2:14">
      <c r="B85" s="87" t="s">
        <v>1751</v>
      </c>
      <c r="C85" s="84" t="s">
        <v>1752</v>
      </c>
      <c r="D85" s="97" t="s">
        <v>30</v>
      </c>
      <c r="E85" s="84"/>
      <c r="F85" s="97" t="s">
        <v>1811</v>
      </c>
      <c r="G85" s="97" t="s">
        <v>169</v>
      </c>
      <c r="H85" s="94">
        <v>759.29983600000003</v>
      </c>
      <c r="I85" s="96">
        <v>25550</v>
      </c>
      <c r="J85" s="84"/>
      <c r="K85" s="94">
        <v>752.3750973650001</v>
      </c>
      <c r="L85" s="95">
        <v>1.1248869794266972E-3</v>
      </c>
      <c r="M85" s="95">
        <f t="shared" si="2"/>
        <v>1.0783149004197336E-2</v>
      </c>
      <c r="N85" s="95">
        <f>K85/'סכום נכסי הקרן'!$C$42</f>
        <v>7.9167203309605432E-4</v>
      </c>
    </row>
    <row r="86" spans="2:14">
      <c r="B86" s="87" t="s">
        <v>1753</v>
      </c>
      <c r="C86" s="84" t="s">
        <v>1754</v>
      </c>
      <c r="D86" s="97" t="s">
        <v>30</v>
      </c>
      <c r="E86" s="84"/>
      <c r="F86" s="97" t="s">
        <v>1811</v>
      </c>
      <c r="G86" s="97" t="s">
        <v>169</v>
      </c>
      <c r="H86" s="94">
        <v>1458.7876159999996</v>
      </c>
      <c r="I86" s="96">
        <v>20180</v>
      </c>
      <c r="J86" s="84"/>
      <c r="K86" s="94">
        <v>1141.677472826</v>
      </c>
      <c r="L86" s="95">
        <v>5.6378265352656986E-4</v>
      </c>
      <c r="M86" s="95">
        <f t="shared" si="2"/>
        <v>1.6362687105585885E-2</v>
      </c>
      <c r="N86" s="95">
        <f>K86/'סכום נכסי הקרן'!$C$42</f>
        <v>1.2013078705257136E-3</v>
      </c>
    </row>
    <row r="87" spans="2:14">
      <c r="B87" s="87" t="s">
        <v>1755</v>
      </c>
      <c r="C87" s="84" t="s">
        <v>1756</v>
      </c>
      <c r="D87" s="97" t="s">
        <v>1442</v>
      </c>
      <c r="E87" s="84"/>
      <c r="F87" s="97" t="s">
        <v>1811</v>
      </c>
      <c r="G87" s="97" t="s">
        <v>167</v>
      </c>
      <c r="H87" s="94">
        <v>3371.3004000000005</v>
      </c>
      <c r="I87" s="96">
        <v>2370</v>
      </c>
      <c r="J87" s="84"/>
      <c r="K87" s="94">
        <v>276.13377612300002</v>
      </c>
      <c r="L87" s="95">
        <v>2.9598774363476739E-5</v>
      </c>
      <c r="M87" s="95">
        <f t="shared" si="2"/>
        <v>3.9575893240675099E-3</v>
      </c>
      <c r="N87" s="95">
        <f>K87/'סכום נכסי הקרן'!$C$42</f>
        <v>2.9055638432930886E-4</v>
      </c>
    </row>
    <row r="88" spans="2:14">
      <c r="B88" s="87" t="s">
        <v>1757</v>
      </c>
      <c r="C88" s="84" t="s">
        <v>1758</v>
      </c>
      <c r="D88" s="97" t="s">
        <v>139</v>
      </c>
      <c r="E88" s="84"/>
      <c r="F88" s="97" t="s">
        <v>1811</v>
      </c>
      <c r="G88" s="97" t="s">
        <v>171</v>
      </c>
      <c r="H88" s="94">
        <v>4811.6081029999996</v>
      </c>
      <c r="I88" s="96">
        <v>8545</v>
      </c>
      <c r="J88" s="84"/>
      <c r="K88" s="94">
        <v>996.26219901399998</v>
      </c>
      <c r="L88" s="95">
        <v>9.1486628069931049E-5</v>
      </c>
      <c r="M88" s="95">
        <f t="shared" si="2"/>
        <v>1.427857431331965E-2</v>
      </c>
      <c r="N88" s="95">
        <f>K88/'סכום נכסי הקרן'!$C$42</f>
        <v>1.0482974826684496E-3</v>
      </c>
    </row>
    <row r="89" spans="2:14">
      <c r="B89" s="87" t="s">
        <v>1759</v>
      </c>
      <c r="C89" s="84" t="s">
        <v>1760</v>
      </c>
      <c r="D89" s="97" t="s">
        <v>127</v>
      </c>
      <c r="E89" s="84"/>
      <c r="F89" s="97" t="s">
        <v>1811</v>
      </c>
      <c r="G89" s="97" t="s">
        <v>170</v>
      </c>
      <c r="H89" s="94">
        <v>2593.308</v>
      </c>
      <c r="I89" s="96">
        <v>3470</v>
      </c>
      <c r="J89" s="84"/>
      <c r="K89" s="94">
        <v>410.31731512000005</v>
      </c>
      <c r="L89" s="95">
        <v>2.9639703332777946E-5</v>
      </c>
      <c r="M89" s="95">
        <f t="shared" si="2"/>
        <v>5.8807272641490504E-3</v>
      </c>
      <c r="N89" s="95">
        <f>K89/'סכום נכסי הקרן'!$C$42</f>
        <v>4.3174839812378402E-4</v>
      </c>
    </row>
    <row r="90" spans="2:14">
      <c r="B90" s="87" t="s">
        <v>1761</v>
      </c>
      <c r="C90" s="84" t="s">
        <v>1762</v>
      </c>
      <c r="D90" s="97" t="s">
        <v>1442</v>
      </c>
      <c r="E90" s="84"/>
      <c r="F90" s="97" t="s">
        <v>1811</v>
      </c>
      <c r="G90" s="97" t="s">
        <v>167</v>
      </c>
      <c r="H90" s="94">
        <v>4419.4221349999998</v>
      </c>
      <c r="I90" s="96">
        <v>24485</v>
      </c>
      <c r="J90" s="84"/>
      <c r="K90" s="94">
        <v>3739.7220813190002</v>
      </c>
      <c r="L90" s="95">
        <v>4.247171715327327E-5</v>
      </c>
      <c r="M90" s="95">
        <f t="shared" si="2"/>
        <v>5.3598239200607668E-2</v>
      </c>
      <c r="N90" s="95">
        <f>K90/'סכום נכסי הקרן'!$C$42</f>
        <v>3.9350496762863051E-3</v>
      </c>
    </row>
    <row r="91" spans="2:14">
      <c r="B91" s="87" t="s">
        <v>1763</v>
      </c>
      <c r="C91" s="84" t="s">
        <v>1764</v>
      </c>
      <c r="D91" s="97" t="s">
        <v>1442</v>
      </c>
      <c r="E91" s="84"/>
      <c r="F91" s="97" t="s">
        <v>1811</v>
      </c>
      <c r="G91" s="97" t="s">
        <v>167</v>
      </c>
      <c r="H91" s="94">
        <v>4860.1703890000017</v>
      </c>
      <c r="I91" s="96">
        <v>3122</v>
      </c>
      <c r="J91" s="84"/>
      <c r="K91" s="94">
        <v>524.3944995469999</v>
      </c>
      <c r="L91" s="95">
        <v>2.0083348714876041E-4</v>
      </c>
      <c r="M91" s="95">
        <f t="shared" si="2"/>
        <v>7.5156980147278339E-3</v>
      </c>
      <c r="N91" s="95">
        <f>K91/'סכום נכסי הקרן'!$C$42</f>
        <v>5.5178389217653786E-4</v>
      </c>
    </row>
    <row r="92" spans="2:14">
      <c r="B92" s="83"/>
      <c r="C92" s="84"/>
      <c r="D92" s="84"/>
      <c r="E92" s="84"/>
      <c r="F92" s="84"/>
      <c r="G92" s="84"/>
      <c r="H92" s="94"/>
      <c r="I92" s="96"/>
      <c r="J92" s="84"/>
      <c r="K92" s="84"/>
      <c r="L92" s="84"/>
      <c r="M92" s="95"/>
      <c r="N92" s="84"/>
    </row>
    <row r="93" spans="2:14">
      <c r="B93" s="102" t="s">
        <v>265</v>
      </c>
      <c r="C93" s="82"/>
      <c r="D93" s="82"/>
      <c r="E93" s="82"/>
      <c r="F93" s="82"/>
      <c r="G93" s="82"/>
      <c r="H93" s="91"/>
      <c r="I93" s="93"/>
      <c r="J93" s="91">
        <v>6.2363857899999999</v>
      </c>
      <c r="K93" s="91">
        <v>2009.9951892900006</v>
      </c>
      <c r="L93" s="82"/>
      <c r="M93" s="92">
        <f t="shared" ref="M93:M97" si="3">K93/$K$11</f>
        <v>2.8807542540604778E-2</v>
      </c>
      <c r="N93" s="92">
        <f>K93/'סכום נכסי הקרן'!$C$42</f>
        <v>2.1149782649525096E-3</v>
      </c>
    </row>
    <row r="94" spans="2:14">
      <c r="B94" s="87" t="s">
        <v>1765</v>
      </c>
      <c r="C94" s="84" t="s">
        <v>1766</v>
      </c>
      <c r="D94" s="97" t="s">
        <v>127</v>
      </c>
      <c r="E94" s="84"/>
      <c r="F94" s="97" t="s">
        <v>1775</v>
      </c>
      <c r="G94" s="97" t="s">
        <v>167</v>
      </c>
      <c r="H94" s="94">
        <v>301.43391200000002</v>
      </c>
      <c r="I94" s="96">
        <v>10286</v>
      </c>
      <c r="J94" s="84"/>
      <c r="K94" s="94">
        <v>107.154980983</v>
      </c>
      <c r="L94" s="95">
        <v>4.4385636868858739E-5</v>
      </c>
      <c r="M94" s="95">
        <f t="shared" si="3"/>
        <v>1.5357607269676392E-3</v>
      </c>
      <c r="N94" s="95">
        <f>K94/'סכום נכסי הקרן'!$C$42</f>
        <v>1.1275174038625345E-4</v>
      </c>
    </row>
    <row r="95" spans="2:14">
      <c r="B95" s="87" t="s">
        <v>1767</v>
      </c>
      <c r="C95" s="84" t="s">
        <v>1768</v>
      </c>
      <c r="D95" s="97" t="s">
        <v>127</v>
      </c>
      <c r="E95" s="84"/>
      <c r="F95" s="97" t="s">
        <v>1775</v>
      </c>
      <c r="G95" s="97" t="s">
        <v>167</v>
      </c>
      <c r="H95" s="94">
        <v>3152.5454869999999</v>
      </c>
      <c r="I95" s="96">
        <v>10350</v>
      </c>
      <c r="J95" s="84"/>
      <c r="K95" s="94">
        <v>1127.6529106060002</v>
      </c>
      <c r="L95" s="95">
        <v>6.9471964428575601E-5</v>
      </c>
      <c r="M95" s="95">
        <f t="shared" si="3"/>
        <v>1.6161685046019406E-2</v>
      </c>
      <c r="N95" s="95">
        <f>K95/'סכום נכסי הקרן'!$C$42</f>
        <v>1.1865507982556794E-3</v>
      </c>
    </row>
    <row r="96" spans="2:14">
      <c r="B96" s="87" t="s">
        <v>1769</v>
      </c>
      <c r="C96" s="84" t="s">
        <v>1770</v>
      </c>
      <c r="D96" s="97" t="s">
        <v>127</v>
      </c>
      <c r="E96" s="84"/>
      <c r="F96" s="97" t="s">
        <v>1775</v>
      </c>
      <c r="G96" s="97" t="s">
        <v>170</v>
      </c>
      <c r="H96" s="94">
        <v>45590.614846999997</v>
      </c>
      <c r="I96" s="96">
        <v>168</v>
      </c>
      <c r="J96" s="94">
        <v>6.2363857899999999</v>
      </c>
      <c r="K96" s="94">
        <v>355.47399034800003</v>
      </c>
      <c r="L96" s="95">
        <v>2.1770762807586371E-4</v>
      </c>
      <c r="M96" s="95">
        <f t="shared" si="3"/>
        <v>5.0947047801869517E-3</v>
      </c>
      <c r="N96" s="95">
        <f>K96/'סכום נכסי הקרן'!$C$42</f>
        <v>3.7404057847895985E-4</v>
      </c>
    </row>
    <row r="97" spans="2:14">
      <c r="B97" s="87" t="s">
        <v>1771</v>
      </c>
      <c r="C97" s="84" t="s">
        <v>1772</v>
      </c>
      <c r="D97" s="97" t="s">
        <v>127</v>
      </c>
      <c r="E97" s="84"/>
      <c r="F97" s="97" t="s">
        <v>1775</v>
      </c>
      <c r="G97" s="97" t="s">
        <v>167</v>
      </c>
      <c r="H97" s="94">
        <v>1643.3670199999999</v>
      </c>
      <c r="I97" s="96">
        <v>7390</v>
      </c>
      <c r="J97" s="84"/>
      <c r="K97" s="94">
        <v>419.71330735300012</v>
      </c>
      <c r="L97" s="95">
        <v>2.9525413205975888E-5</v>
      </c>
      <c r="M97" s="95">
        <f t="shared" si="3"/>
        <v>6.0153919874307779E-3</v>
      </c>
      <c r="N97" s="95">
        <f>K97/'סכום נכסי הקרן'!$C$42</f>
        <v>4.4163514783161659E-4</v>
      </c>
    </row>
    <row r="98" spans="2:14">
      <c r="D98" s="1"/>
      <c r="E98" s="1"/>
      <c r="F98" s="1"/>
      <c r="G98" s="1"/>
    </row>
    <row r="99" spans="2:14">
      <c r="D99" s="1"/>
      <c r="E99" s="1"/>
      <c r="F99" s="1"/>
      <c r="G99" s="1"/>
    </row>
    <row r="100" spans="2:14">
      <c r="D100" s="1"/>
      <c r="E100" s="1"/>
      <c r="F100" s="1"/>
      <c r="G100" s="1"/>
    </row>
    <row r="101" spans="2:14">
      <c r="B101" s="99" t="s">
        <v>259</v>
      </c>
      <c r="D101" s="1"/>
      <c r="E101" s="1"/>
      <c r="F101" s="1"/>
      <c r="G101" s="1"/>
    </row>
    <row r="102" spans="2:14">
      <c r="B102" s="99" t="s">
        <v>116</v>
      </c>
      <c r="D102" s="1"/>
      <c r="E102" s="1"/>
      <c r="F102" s="1"/>
      <c r="G102" s="1"/>
    </row>
    <row r="103" spans="2:14">
      <c r="B103" s="99" t="s">
        <v>241</v>
      </c>
      <c r="D103" s="1"/>
      <c r="E103" s="1"/>
      <c r="F103" s="1"/>
      <c r="G103" s="1"/>
    </row>
    <row r="104" spans="2:14">
      <c r="B104" s="99" t="s">
        <v>249</v>
      </c>
      <c r="D104" s="1"/>
      <c r="E104" s="1"/>
      <c r="F104" s="1"/>
      <c r="G104" s="1"/>
    </row>
    <row r="105" spans="2:14">
      <c r="B105" s="99" t="s">
        <v>257</v>
      </c>
      <c r="D105" s="1"/>
      <c r="E105" s="1"/>
      <c r="F105" s="1"/>
      <c r="G105" s="1"/>
    </row>
    <row r="106" spans="2:14">
      <c r="D106" s="1"/>
      <c r="E106" s="1"/>
      <c r="F106" s="1"/>
      <c r="G106" s="1"/>
    </row>
    <row r="107" spans="2:14">
      <c r="D107" s="1"/>
      <c r="E107" s="1"/>
      <c r="F107" s="1"/>
      <c r="G107" s="1"/>
    </row>
    <row r="108" spans="2:14">
      <c r="D108" s="1"/>
      <c r="E108" s="1"/>
      <c r="F108" s="1"/>
      <c r="G108" s="1"/>
    </row>
    <row r="109" spans="2:14">
      <c r="D109" s="1"/>
      <c r="E109" s="1"/>
      <c r="F109" s="1"/>
      <c r="G109" s="1"/>
    </row>
    <row r="110" spans="2:14">
      <c r="D110" s="1"/>
      <c r="E110" s="1"/>
      <c r="F110" s="1"/>
      <c r="G110" s="1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AG49:AG1048576 K1:AF1048576 AH1:XFD1048576 AG1:AG43 B45:B100 B102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topLeftCell="A10" workbookViewId="0">
      <selection activeCell="K39" sqref="K39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58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8.1406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183</v>
      </c>
      <c r="C1" s="78" t="s" vm="1">
        <v>267</v>
      </c>
    </row>
    <row r="2" spans="2:65">
      <c r="B2" s="57" t="s">
        <v>182</v>
      </c>
      <c r="C2" s="78" t="s">
        <v>268</v>
      </c>
    </row>
    <row r="3" spans="2:65">
      <c r="B3" s="57" t="s">
        <v>184</v>
      </c>
      <c r="C3" s="78" t="s">
        <v>269</v>
      </c>
    </row>
    <row r="4" spans="2:65">
      <c r="B4" s="57" t="s">
        <v>185</v>
      </c>
      <c r="C4" s="78">
        <v>8803</v>
      </c>
    </row>
    <row r="6" spans="2:65" ht="26.25" customHeight="1">
      <c r="B6" s="153" t="s">
        <v>213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65" ht="26.25" customHeight="1">
      <c r="B7" s="153" t="s">
        <v>95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BM7" s="3"/>
    </row>
    <row r="8" spans="2:65" s="3" customFormat="1" ht="78.75">
      <c r="B8" s="23" t="s">
        <v>119</v>
      </c>
      <c r="C8" s="31" t="s">
        <v>47</v>
      </c>
      <c r="D8" s="31" t="s">
        <v>123</v>
      </c>
      <c r="E8" s="31" t="s">
        <v>121</v>
      </c>
      <c r="F8" s="31" t="s">
        <v>68</v>
      </c>
      <c r="G8" s="31" t="s">
        <v>15</v>
      </c>
      <c r="H8" s="31" t="s">
        <v>69</v>
      </c>
      <c r="I8" s="31" t="s">
        <v>105</v>
      </c>
      <c r="J8" s="31" t="s">
        <v>243</v>
      </c>
      <c r="K8" s="31" t="s">
        <v>242</v>
      </c>
      <c r="L8" s="31" t="s">
        <v>65</v>
      </c>
      <c r="M8" s="31" t="s">
        <v>62</v>
      </c>
      <c r="N8" s="31" t="s">
        <v>186</v>
      </c>
      <c r="O8" s="21" t="s">
        <v>188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250</v>
      </c>
      <c r="K9" s="33"/>
      <c r="L9" s="33" t="s">
        <v>246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79" t="s">
        <v>33</v>
      </c>
      <c r="C11" s="80"/>
      <c r="D11" s="80"/>
      <c r="E11" s="80"/>
      <c r="F11" s="80"/>
      <c r="G11" s="80"/>
      <c r="H11" s="80"/>
      <c r="I11" s="80"/>
      <c r="J11" s="88"/>
      <c r="K11" s="90"/>
      <c r="L11" s="88">
        <v>21346.025095848003</v>
      </c>
      <c r="M11" s="80"/>
      <c r="N11" s="89">
        <f>L11/$L$11</f>
        <v>1</v>
      </c>
      <c r="O11" s="89">
        <f>L11/'סכום נכסי הקרן'!$C$42</f>
        <v>2.246093889249386E-2</v>
      </c>
      <c r="P11" s="5"/>
      <c r="BG11" s="1"/>
      <c r="BH11" s="3"/>
      <c r="BI11" s="1"/>
      <c r="BM11" s="1"/>
    </row>
    <row r="12" spans="2:65" s="4" customFormat="1" ht="18" customHeight="1">
      <c r="B12" s="81" t="s">
        <v>237</v>
      </c>
      <c r="C12" s="82"/>
      <c r="D12" s="82"/>
      <c r="E12" s="82"/>
      <c r="F12" s="82"/>
      <c r="G12" s="82"/>
      <c r="H12" s="82"/>
      <c r="I12" s="82"/>
      <c r="J12" s="91"/>
      <c r="K12" s="93"/>
      <c r="L12" s="91">
        <v>21346.025095847996</v>
      </c>
      <c r="M12" s="82"/>
      <c r="N12" s="92">
        <f t="shared" ref="N12:N29" si="0">L12/$L$11</f>
        <v>0.99999999999999967</v>
      </c>
      <c r="O12" s="92">
        <f>L12/'סכום נכסי הקרן'!$C$42</f>
        <v>2.2460938892493853E-2</v>
      </c>
      <c r="P12" s="5"/>
      <c r="BG12" s="1"/>
      <c r="BH12" s="3"/>
      <c r="BI12" s="1"/>
      <c r="BM12" s="1"/>
    </row>
    <row r="13" spans="2:65">
      <c r="B13" s="102" t="s">
        <v>54</v>
      </c>
      <c r="C13" s="82"/>
      <c r="D13" s="82"/>
      <c r="E13" s="82"/>
      <c r="F13" s="82"/>
      <c r="G13" s="82"/>
      <c r="H13" s="82"/>
      <c r="I13" s="82"/>
      <c r="J13" s="91"/>
      <c r="K13" s="93"/>
      <c r="L13" s="91">
        <v>14201.444235004001</v>
      </c>
      <c r="M13" s="82"/>
      <c r="N13" s="92">
        <f t="shared" si="0"/>
        <v>0.66529689585000584</v>
      </c>
      <c r="O13" s="92">
        <f>L13/'סכום נכסי הקרן'!$C$42</f>
        <v>1.4943192923052835E-2</v>
      </c>
      <c r="BH13" s="3"/>
    </row>
    <row r="14" spans="2:65" ht="20.25">
      <c r="B14" s="87" t="s">
        <v>1773</v>
      </c>
      <c r="C14" s="84" t="s">
        <v>1774</v>
      </c>
      <c r="D14" s="97" t="s">
        <v>30</v>
      </c>
      <c r="E14" s="84"/>
      <c r="F14" s="97" t="s">
        <v>1775</v>
      </c>
      <c r="G14" s="84" t="s">
        <v>1776</v>
      </c>
      <c r="H14" s="84" t="s">
        <v>920</v>
      </c>
      <c r="I14" s="97" t="s">
        <v>170</v>
      </c>
      <c r="J14" s="94">
        <v>233.72641800000002</v>
      </c>
      <c r="K14" s="96">
        <v>114692</v>
      </c>
      <c r="L14" s="94">
        <v>1222.2982767839999</v>
      </c>
      <c r="M14" s="95">
        <v>4.4556507638094154E-4</v>
      </c>
      <c r="N14" s="95">
        <f t="shared" si="0"/>
        <v>5.7261165547010814E-2</v>
      </c>
      <c r="O14" s="95">
        <f>L14/'סכום נכסי הקרן'!$C$42</f>
        <v>1.2861395402643848E-3</v>
      </c>
      <c r="BH14" s="4"/>
    </row>
    <row r="15" spans="2:65">
      <c r="B15" s="87" t="s">
        <v>1777</v>
      </c>
      <c r="C15" s="84" t="s">
        <v>1778</v>
      </c>
      <c r="D15" s="97" t="s">
        <v>30</v>
      </c>
      <c r="E15" s="84"/>
      <c r="F15" s="97" t="s">
        <v>1775</v>
      </c>
      <c r="G15" s="84" t="s">
        <v>919</v>
      </c>
      <c r="H15" s="84" t="s">
        <v>920</v>
      </c>
      <c r="I15" s="97" t="s">
        <v>167</v>
      </c>
      <c r="J15" s="94">
        <v>291.31517700000001</v>
      </c>
      <c r="K15" s="96">
        <v>105203.5</v>
      </c>
      <c r="L15" s="94">
        <v>1059.1732853939998</v>
      </c>
      <c r="M15" s="95">
        <v>3.6779155504758701E-4</v>
      </c>
      <c r="N15" s="95">
        <f t="shared" si="0"/>
        <v>4.9619227965773297E-2</v>
      </c>
      <c r="O15" s="95">
        <f>L15/'סכום נכסי הקרן'!$C$42</f>
        <v>1.1144944472319565E-3</v>
      </c>
    </row>
    <row r="16" spans="2:65">
      <c r="B16" s="87" t="s">
        <v>1779</v>
      </c>
      <c r="C16" s="84" t="s">
        <v>1780</v>
      </c>
      <c r="D16" s="97" t="s">
        <v>30</v>
      </c>
      <c r="E16" s="84"/>
      <c r="F16" s="97" t="s">
        <v>1775</v>
      </c>
      <c r="G16" s="84" t="s">
        <v>1039</v>
      </c>
      <c r="H16" s="84" t="s">
        <v>920</v>
      </c>
      <c r="I16" s="97" t="s">
        <v>167</v>
      </c>
      <c r="J16" s="94">
        <v>12.876875999999999</v>
      </c>
      <c r="K16" s="96">
        <v>1053173</v>
      </c>
      <c r="L16" s="94">
        <v>468.68790402799999</v>
      </c>
      <c r="M16" s="95">
        <v>9.2271342229907836E-5</v>
      </c>
      <c r="N16" s="95">
        <f t="shared" si="0"/>
        <v>2.1956682891709149E-2</v>
      </c>
      <c r="O16" s="95">
        <f>L16/'סכום נכסי הקרן'!$C$42</f>
        <v>4.9316771271254456E-4</v>
      </c>
    </row>
    <row r="17" spans="2:15">
      <c r="B17" s="87" t="s">
        <v>1781</v>
      </c>
      <c r="C17" s="84" t="s">
        <v>1782</v>
      </c>
      <c r="D17" s="97" t="s">
        <v>30</v>
      </c>
      <c r="E17" s="84"/>
      <c r="F17" s="97" t="s">
        <v>1775</v>
      </c>
      <c r="G17" s="84" t="s">
        <v>1039</v>
      </c>
      <c r="H17" s="84" t="s">
        <v>920</v>
      </c>
      <c r="I17" s="97" t="s">
        <v>169</v>
      </c>
      <c r="J17" s="94">
        <v>169.42715499999997</v>
      </c>
      <c r="K17" s="96">
        <v>98805.46</v>
      </c>
      <c r="L17" s="94">
        <v>649.22339975299997</v>
      </c>
      <c r="M17" s="95">
        <v>5.9670224417557316E-4</v>
      </c>
      <c r="N17" s="95">
        <f t="shared" si="0"/>
        <v>3.0414252622577485E-2</v>
      </c>
      <c r="O17" s="95">
        <f>L17/'סכום נכסי הקרן'!$C$42</f>
        <v>6.8313266961658411E-4</v>
      </c>
    </row>
    <row r="18" spans="2:15">
      <c r="B18" s="87" t="s">
        <v>1783</v>
      </c>
      <c r="C18" s="84" t="s">
        <v>1784</v>
      </c>
      <c r="D18" s="97" t="s">
        <v>30</v>
      </c>
      <c r="E18" s="84"/>
      <c r="F18" s="97" t="s">
        <v>1775</v>
      </c>
      <c r="G18" s="84" t="s">
        <v>1039</v>
      </c>
      <c r="H18" s="84" t="s">
        <v>920</v>
      </c>
      <c r="I18" s="97" t="s">
        <v>167</v>
      </c>
      <c r="J18" s="94">
        <v>93.94426</v>
      </c>
      <c r="K18" s="96">
        <v>198843.8</v>
      </c>
      <c r="L18" s="94">
        <v>645.588874218</v>
      </c>
      <c r="M18" s="95">
        <v>3.9561871788932544E-4</v>
      </c>
      <c r="N18" s="95">
        <f t="shared" si="0"/>
        <v>3.0243985534504639E-2</v>
      </c>
      <c r="O18" s="95">
        <f>L18/'סכום נכסי הקרן'!$C$42</f>
        <v>6.79308310955977E-4</v>
      </c>
    </row>
    <row r="19" spans="2:15">
      <c r="B19" s="87" t="s">
        <v>1785</v>
      </c>
      <c r="C19" s="84" t="s">
        <v>1786</v>
      </c>
      <c r="D19" s="97" t="s">
        <v>30</v>
      </c>
      <c r="E19" s="84"/>
      <c r="F19" s="97" t="s">
        <v>1775</v>
      </c>
      <c r="G19" s="84" t="s">
        <v>1117</v>
      </c>
      <c r="H19" s="84" t="s">
        <v>955</v>
      </c>
      <c r="I19" s="97" t="s">
        <v>169</v>
      </c>
      <c r="J19" s="94">
        <v>0.42698099999999994</v>
      </c>
      <c r="K19" s="96">
        <v>19255.740000000002</v>
      </c>
      <c r="L19" s="94">
        <v>0.31886083900000001</v>
      </c>
      <c r="M19" s="95">
        <v>5.4365484963783329E-8</v>
      </c>
      <c r="N19" s="95">
        <f t="shared" si="0"/>
        <v>1.4937714987603072E-5</v>
      </c>
      <c r="O19" s="95">
        <f>L19/'סכום נכסי הקרן'!$C$42</f>
        <v>3.355151035300423E-7</v>
      </c>
    </row>
    <row r="20" spans="2:15">
      <c r="B20" s="87" t="s">
        <v>1787</v>
      </c>
      <c r="C20" s="84" t="s">
        <v>1788</v>
      </c>
      <c r="D20" s="97" t="s">
        <v>30</v>
      </c>
      <c r="E20" s="84"/>
      <c r="F20" s="97" t="s">
        <v>1775</v>
      </c>
      <c r="G20" s="84" t="s">
        <v>1120</v>
      </c>
      <c r="H20" s="84" t="s">
        <v>920</v>
      </c>
      <c r="I20" s="97" t="s">
        <v>167</v>
      </c>
      <c r="J20" s="94">
        <v>11257.186145</v>
      </c>
      <c r="K20" s="96">
        <v>1797</v>
      </c>
      <c r="L20" s="94">
        <v>699.11989113700008</v>
      </c>
      <c r="M20" s="95">
        <v>1.1758804074452634E-4</v>
      </c>
      <c r="N20" s="95">
        <f t="shared" si="0"/>
        <v>3.2751760011421764E-2</v>
      </c>
      <c r="O20" s="95">
        <f>L20/'סכום נכסי הקרן'!$C$42</f>
        <v>7.3563528023816828E-4</v>
      </c>
    </row>
    <row r="21" spans="2:15">
      <c r="B21" s="87" t="s">
        <v>1789</v>
      </c>
      <c r="C21" s="84" t="s">
        <v>1790</v>
      </c>
      <c r="D21" s="97" t="s">
        <v>30</v>
      </c>
      <c r="E21" s="84"/>
      <c r="F21" s="97" t="s">
        <v>1775</v>
      </c>
      <c r="G21" s="84" t="s">
        <v>1120</v>
      </c>
      <c r="H21" s="84" t="s">
        <v>926</v>
      </c>
      <c r="I21" s="97" t="s">
        <v>167</v>
      </c>
      <c r="J21" s="94">
        <v>202.27655999999999</v>
      </c>
      <c r="K21" s="96">
        <v>135328</v>
      </c>
      <c r="L21" s="94">
        <v>946.03440423300003</v>
      </c>
      <c r="M21" s="95">
        <v>4.5805182096779E-5</v>
      </c>
      <c r="N21" s="95">
        <f t="shared" si="0"/>
        <v>4.4318996159009125E-2</v>
      </c>
      <c r="O21" s="95">
        <f>L21/'סכום נכסי הקרן'!$C$42</f>
        <v>9.9544626450417408E-4</v>
      </c>
    </row>
    <row r="22" spans="2:15">
      <c r="B22" s="87" t="s">
        <v>1791</v>
      </c>
      <c r="C22" s="84" t="s">
        <v>1792</v>
      </c>
      <c r="D22" s="97" t="s">
        <v>30</v>
      </c>
      <c r="E22" s="84"/>
      <c r="F22" s="97" t="s">
        <v>1775</v>
      </c>
      <c r="G22" s="84" t="s">
        <v>1120</v>
      </c>
      <c r="H22" s="84" t="s">
        <v>920</v>
      </c>
      <c r="I22" s="97" t="s">
        <v>167</v>
      </c>
      <c r="J22" s="94">
        <v>19509.954822</v>
      </c>
      <c r="K22" s="96">
        <v>1448</v>
      </c>
      <c r="L22" s="94">
        <v>976.33432797299997</v>
      </c>
      <c r="M22" s="95">
        <v>8.3670571381803163E-5</v>
      </c>
      <c r="N22" s="95">
        <f t="shared" si="0"/>
        <v>4.573846060749296E-2</v>
      </c>
      <c r="O22" s="95">
        <f>L22/'סכום נכסי הקרן'!$C$42</f>
        <v>1.0273287687416371E-3</v>
      </c>
    </row>
    <row r="23" spans="2:15">
      <c r="B23" s="87" t="s">
        <v>1793</v>
      </c>
      <c r="C23" s="84" t="s">
        <v>1794</v>
      </c>
      <c r="D23" s="97" t="s">
        <v>30</v>
      </c>
      <c r="E23" s="84"/>
      <c r="F23" s="97" t="s">
        <v>1775</v>
      </c>
      <c r="G23" s="84" t="s">
        <v>1120</v>
      </c>
      <c r="H23" s="84" t="s">
        <v>920</v>
      </c>
      <c r="I23" s="97" t="s">
        <v>167</v>
      </c>
      <c r="J23" s="94">
        <v>14.939939000000003</v>
      </c>
      <c r="K23" s="96">
        <v>1201639</v>
      </c>
      <c r="L23" s="94">
        <v>620.4354172809999</v>
      </c>
      <c r="M23" s="95">
        <v>6.6514960447757845E-5</v>
      </c>
      <c r="N23" s="95">
        <f t="shared" si="0"/>
        <v>2.9065618282332117E-2</v>
      </c>
      <c r="O23" s="95">
        <f>L23/'סכום נכסי הקרן'!$C$42</f>
        <v>6.5284107611201408E-4</v>
      </c>
    </row>
    <row r="24" spans="2:15">
      <c r="B24" s="87" t="s">
        <v>1795</v>
      </c>
      <c r="C24" s="84" t="s">
        <v>1796</v>
      </c>
      <c r="D24" s="97" t="s">
        <v>30</v>
      </c>
      <c r="E24" s="84"/>
      <c r="F24" s="97" t="s">
        <v>1775</v>
      </c>
      <c r="G24" s="84" t="s">
        <v>1120</v>
      </c>
      <c r="H24" s="84" t="s">
        <v>920</v>
      </c>
      <c r="I24" s="97" t="s">
        <v>167</v>
      </c>
      <c r="J24" s="94">
        <v>816.167779</v>
      </c>
      <c r="K24" s="96">
        <v>31862.69</v>
      </c>
      <c r="L24" s="94">
        <v>898.74320052199982</v>
      </c>
      <c r="M24" s="95">
        <v>5.9170774460432922E-5</v>
      </c>
      <c r="N24" s="95">
        <f t="shared" si="0"/>
        <v>4.2103539018925523E-2</v>
      </c>
      <c r="O24" s="95">
        <f>L24/'סכום נכסי הקרן'!$C$42</f>
        <v>9.4568501706181717E-4</v>
      </c>
    </row>
    <row r="25" spans="2:15">
      <c r="B25" s="87" t="s">
        <v>1797</v>
      </c>
      <c r="C25" s="84" t="s">
        <v>1798</v>
      </c>
      <c r="D25" s="97" t="s">
        <v>30</v>
      </c>
      <c r="E25" s="84"/>
      <c r="F25" s="97" t="s">
        <v>1775</v>
      </c>
      <c r="G25" s="84" t="s">
        <v>1130</v>
      </c>
      <c r="H25" s="84" t="s">
        <v>920</v>
      </c>
      <c r="I25" s="97" t="s">
        <v>169</v>
      </c>
      <c r="J25" s="94">
        <v>988.54985799999997</v>
      </c>
      <c r="K25" s="96">
        <v>15266</v>
      </c>
      <c r="L25" s="94">
        <v>585.26700248999998</v>
      </c>
      <c r="M25" s="95">
        <v>3.253369236459914E-5</v>
      </c>
      <c r="N25" s="95">
        <f t="shared" si="0"/>
        <v>2.7418079003563047E-2</v>
      </c>
      <c r="O25" s="95">
        <f>L25/'סכום נכסי הקרן'!$C$42</f>
        <v>6.1583579704859858E-4</v>
      </c>
    </row>
    <row r="26" spans="2:15">
      <c r="B26" s="87" t="s">
        <v>1799</v>
      </c>
      <c r="C26" s="84" t="s">
        <v>1800</v>
      </c>
      <c r="D26" s="97" t="s">
        <v>30</v>
      </c>
      <c r="E26" s="84"/>
      <c r="F26" s="97" t="s">
        <v>1775</v>
      </c>
      <c r="G26" s="84" t="s">
        <v>1130</v>
      </c>
      <c r="H26" s="84" t="s">
        <v>920</v>
      </c>
      <c r="I26" s="97" t="s">
        <v>167</v>
      </c>
      <c r="J26" s="94">
        <v>1935.8853369999999</v>
      </c>
      <c r="K26" s="96">
        <v>13094.15</v>
      </c>
      <c r="L26" s="94">
        <v>876.05359768699998</v>
      </c>
      <c r="M26" s="95">
        <v>2.545462870013344E-4</v>
      </c>
      <c r="N26" s="95">
        <f t="shared" si="0"/>
        <v>4.1040596258710503E-2</v>
      </c>
      <c r="O26" s="95">
        <f>L26/'סכום נכסי הקרן'!$C$42</f>
        <v>9.2181032467840874E-4</v>
      </c>
    </row>
    <row r="27" spans="2:15">
      <c r="B27" s="87" t="s">
        <v>1801</v>
      </c>
      <c r="C27" s="84" t="s">
        <v>1802</v>
      </c>
      <c r="D27" s="97" t="s">
        <v>30</v>
      </c>
      <c r="E27" s="84"/>
      <c r="F27" s="97" t="s">
        <v>1775</v>
      </c>
      <c r="G27" s="84" t="s">
        <v>1130</v>
      </c>
      <c r="H27" s="84" t="s">
        <v>920</v>
      </c>
      <c r="I27" s="97" t="s">
        <v>169</v>
      </c>
      <c r="J27" s="94">
        <v>192.498739</v>
      </c>
      <c r="K27" s="96">
        <v>194854</v>
      </c>
      <c r="L27" s="94">
        <v>1454.6798246339999</v>
      </c>
      <c r="M27" s="95">
        <v>6.3242075991513274E-4</v>
      </c>
      <c r="N27" s="95">
        <f t="shared" si="0"/>
        <v>6.8147573991044749E-2</v>
      </c>
      <c r="O27" s="95">
        <f>L27/'סכום נכסי הקרן'!$C$42</f>
        <v>1.5306584950845602E-3</v>
      </c>
    </row>
    <row r="28" spans="2:15">
      <c r="B28" s="87" t="s">
        <v>1803</v>
      </c>
      <c r="C28" s="84" t="s">
        <v>1804</v>
      </c>
      <c r="D28" s="97" t="s">
        <v>30</v>
      </c>
      <c r="E28" s="84"/>
      <c r="F28" s="97" t="s">
        <v>1775</v>
      </c>
      <c r="G28" s="84" t="s">
        <v>1130</v>
      </c>
      <c r="H28" s="84" t="s">
        <v>920</v>
      </c>
      <c r="I28" s="97" t="s">
        <v>169</v>
      </c>
      <c r="J28" s="94">
        <v>1531.9367669999999</v>
      </c>
      <c r="K28" s="96">
        <v>9751</v>
      </c>
      <c r="L28" s="94">
        <v>579.32223942500002</v>
      </c>
      <c r="M28" s="95">
        <v>4.3419767915975158E-5</v>
      </c>
      <c r="N28" s="95">
        <f t="shared" si="0"/>
        <v>2.7139583918960326E-2</v>
      </c>
      <c r="O28" s="95">
        <f>L28/'סכום נכסי הקרן'!$C$42</f>
        <v>6.0958053597147692E-4</v>
      </c>
    </row>
    <row r="29" spans="2:15">
      <c r="B29" s="87" t="s">
        <v>1805</v>
      </c>
      <c r="C29" s="84" t="s">
        <v>1806</v>
      </c>
      <c r="D29" s="97" t="s">
        <v>30</v>
      </c>
      <c r="E29" s="84"/>
      <c r="F29" s="97" t="s">
        <v>1775</v>
      </c>
      <c r="G29" s="84" t="s">
        <v>936</v>
      </c>
      <c r="H29" s="84"/>
      <c r="I29" s="97" t="s">
        <v>170</v>
      </c>
      <c r="J29" s="94">
        <v>3370.2933710000002</v>
      </c>
      <c r="K29" s="96">
        <v>16399.28</v>
      </c>
      <c r="L29" s="94">
        <v>2520.1637286059999</v>
      </c>
      <c r="M29" s="95">
        <v>2.4499283973341379E-3</v>
      </c>
      <c r="N29" s="95">
        <f t="shared" si="0"/>
        <v>0.11806243632198272</v>
      </c>
      <c r="O29" s="95">
        <f>L29/'סכום נכסי הקרן'!$C$42</f>
        <v>2.6517931677270015E-3</v>
      </c>
    </row>
    <row r="30" spans="2:15">
      <c r="B30" s="83"/>
      <c r="C30" s="84"/>
      <c r="D30" s="84"/>
      <c r="E30" s="84"/>
      <c r="F30" s="84"/>
      <c r="G30" s="84"/>
      <c r="H30" s="84"/>
      <c r="I30" s="84"/>
      <c r="J30" s="94"/>
      <c r="K30" s="96"/>
      <c r="L30" s="84"/>
      <c r="M30" s="84"/>
      <c r="N30" s="95"/>
      <c r="O30" s="84"/>
    </row>
    <row r="31" spans="2:15">
      <c r="B31" s="102" t="s">
        <v>254</v>
      </c>
      <c r="C31" s="82"/>
      <c r="D31" s="82"/>
      <c r="E31" s="82"/>
      <c r="F31" s="82"/>
      <c r="G31" s="82"/>
      <c r="H31" s="82"/>
      <c r="I31" s="82"/>
      <c r="J31" s="91"/>
      <c r="K31" s="93"/>
      <c r="L31" s="91">
        <v>373.49990918999998</v>
      </c>
      <c r="M31" s="82"/>
      <c r="N31" s="92">
        <f>L31/$L$11</f>
        <v>1.7497398579497087E-2</v>
      </c>
      <c r="O31" s="92">
        <f>L31/'סכום נכסי הקרן'!$C$42</f>
        <v>3.9300800027169291E-4</v>
      </c>
    </row>
    <row r="32" spans="2:15">
      <c r="B32" s="87" t="s">
        <v>1807</v>
      </c>
      <c r="C32" s="84" t="s">
        <v>1808</v>
      </c>
      <c r="D32" s="97" t="s">
        <v>30</v>
      </c>
      <c r="E32" s="84"/>
      <c r="F32" s="97" t="s">
        <v>1775</v>
      </c>
      <c r="G32" s="84" t="s">
        <v>959</v>
      </c>
      <c r="H32" s="84" t="s">
        <v>926</v>
      </c>
      <c r="I32" s="97" t="s">
        <v>167</v>
      </c>
      <c r="J32" s="94">
        <v>10764.232120999999</v>
      </c>
      <c r="K32" s="96">
        <v>1004</v>
      </c>
      <c r="L32" s="94">
        <v>373.49990918999998</v>
      </c>
      <c r="M32" s="95">
        <v>3.3751451548623026E-5</v>
      </c>
      <c r="N32" s="95">
        <f>L32/$L$11</f>
        <v>1.7497398579497087E-2</v>
      </c>
      <c r="O32" s="95">
        <f>L32/'סכום נכסי הקרן'!$C$42</f>
        <v>3.9300800027169291E-4</v>
      </c>
    </row>
    <row r="33" spans="2:59">
      <c r="B33" s="83"/>
      <c r="C33" s="84"/>
      <c r="D33" s="84"/>
      <c r="E33" s="84"/>
      <c r="F33" s="84"/>
      <c r="G33" s="84"/>
      <c r="H33" s="84"/>
      <c r="I33" s="84"/>
      <c r="J33" s="94"/>
      <c r="K33" s="96"/>
      <c r="L33" s="84"/>
      <c r="M33" s="84"/>
      <c r="N33" s="95"/>
      <c r="O33" s="84"/>
    </row>
    <row r="34" spans="2:59">
      <c r="B34" s="102" t="s">
        <v>32</v>
      </c>
      <c r="C34" s="82"/>
      <c r="D34" s="82"/>
      <c r="E34" s="82"/>
      <c r="F34" s="82"/>
      <c r="G34" s="82"/>
      <c r="H34" s="82"/>
      <c r="I34" s="82"/>
      <c r="J34" s="91"/>
      <c r="K34" s="93"/>
      <c r="L34" s="91">
        <v>6771.0809516539985</v>
      </c>
      <c r="M34" s="82"/>
      <c r="N34" s="92">
        <f t="shared" ref="N34:N40" si="1">L34/$L$11</f>
        <v>0.31720570557049688</v>
      </c>
      <c r="O34" s="92">
        <f>L34/'סכום נכסי הקרן'!$C$42</f>
        <v>7.1247379691693298E-3</v>
      </c>
    </row>
    <row r="35" spans="2:59">
      <c r="B35" s="87" t="s">
        <v>1809</v>
      </c>
      <c r="C35" s="84" t="s">
        <v>1810</v>
      </c>
      <c r="D35" s="97" t="s">
        <v>141</v>
      </c>
      <c r="E35" s="84"/>
      <c r="F35" s="97" t="s">
        <v>1811</v>
      </c>
      <c r="G35" s="84" t="s">
        <v>936</v>
      </c>
      <c r="H35" s="84"/>
      <c r="I35" s="97" t="s">
        <v>169</v>
      </c>
      <c r="J35" s="94">
        <v>2214.3504949999997</v>
      </c>
      <c r="K35" s="96">
        <v>3053</v>
      </c>
      <c r="L35" s="94">
        <v>262.18230059699999</v>
      </c>
      <c r="M35" s="95">
        <v>1.9511221911670307E-5</v>
      </c>
      <c r="N35" s="95">
        <f t="shared" si="1"/>
        <v>1.2282488164412252E-2</v>
      </c>
      <c r="O35" s="95">
        <f>L35/'סכום נכסי הקרן'!$C$42</f>
        <v>2.7587621610864269E-4</v>
      </c>
    </row>
    <row r="36" spans="2:59">
      <c r="B36" s="87" t="s">
        <v>1812</v>
      </c>
      <c r="C36" s="84" t="s">
        <v>1813</v>
      </c>
      <c r="D36" s="97" t="s">
        <v>141</v>
      </c>
      <c r="E36" s="84"/>
      <c r="F36" s="97" t="s">
        <v>1811</v>
      </c>
      <c r="G36" s="84" t="s">
        <v>936</v>
      </c>
      <c r="H36" s="84"/>
      <c r="I36" s="97" t="s">
        <v>177</v>
      </c>
      <c r="J36" s="94">
        <v>8557.9164000000001</v>
      </c>
      <c r="K36" s="96">
        <v>1430</v>
      </c>
      <c r="L36" s="94">
        <v>389.737867935</v>
      </c>
      <c r="M36" s="95">
        <v>4.9546421030821003E-5</v>
      </c>
      <c r="N36" s="95">
        <f t="shared" si="1"/>
        <v>1.8258100334137037E-2</v>
      </c>
      <c r="O36" s="95">
        <f>L36/'סכום נכסי הקרן'!$C$42</f>
        <v>4.1009407589807375E-4</v>
      </c>
    </row>
    <row r="37" spans="2:59" ht="20.25">
      <c r="B37" s="87" t="s">
        <v>1814</v>
      </c>
      <c r="C37" s="84" t="s">
        <v>1815</v>
      </c>
      <c r="D37" s="97" t="s">
        <v>30</v>
      </c>
      <c r="E37" s="84"/>
      <c r="F37" s="97" t="s">
        <v>1811</v>
      </c>
      <c r="G37" s="84" t="s">
        <v>936</v>
      </c>
      <c r="H37" s="84"/>
      <c r="I37" s="97" t="s">
        <v>169</v>
      </c>
      <c r="J37" s="94">
        <v>190.89080900000002</v>
      </c>
      <c r="K37" s="96">
        <v>32228</v>
      </c>
      <c r="L37" s="94">
        <v>238.587987844</v>
      </c>
      <c r="M37" s="95">
        <v>3.7932169920123181E-5</v>
      </c>
      <c r="N37" s="95">
        <f t="shared" si="1"/>
        <v>1.1177162341592465E-2</v>
      </c>
      <c r="O37" s="95">
        <f>L37/'סכום נכסי הקרן'!$C$42</f>
        <v>2.5104956034599198E-4</v>
      </c>
      <c r="BG37" s="4"/>
    </row>
    <row r="38" spans="2:59">
      <c r="B38" s="87" t="s">
        <v>1816</v>
      </c>
      <c r="C38" s="84" t="s">
        <v>1817</v>
      </c>
      <c r="D38" s="97" t="s">
        <v>141</v>
      </c>
      <c r="E38" s="84"/>
      <c r="F38" s="97" t="s">
        <v>1811</v>
      </c>
      <c r="G38" s="84" t="s">
        <v>936</v>
      </c>
      <c r="H38" s="84"/>
      <c r="I38" s="97" t="s">
        <v>167</v>
      </c>
      <c r="J38" s="94">
        <v>43011.870428000002</v>
      </c>
      <c r="K38" s="96">
        <v>1563.4</v>
      </c>
      <c r="L38" s="94">
        <v>2323.9788443919992</v>
      </c>
      <c r="M38" s="95">
        <v>5.6696489711154326E-5</v>
      </c>
      <c r="N38" s="95">
        <f t="shared" si="1"/>
        <v>0.1088717376634226</v>
      </c>
      <c r="O38" s="95">
        <f>L38/'סכום נכסי הקרן'!$C$42</f>
        <v>2.4453614467777576E-3</v>
      </c>
      <c r="BG38" s="3"/>
    </row>
    <row r="39" spans="2:59">
      <c r="B39" s="87" t="s">
        <v>1818</v>
      </c>
      <c r="C39" s="84" t="s">
        <v>1819</v>
      </c>
      <c r="D39" s="97" t="s">
        <v>30</v>
      </c>
      <c r="E39" s="84"/>
      <c r="F39" s="97" t="s">
        <v>1811</v>
      </c>
      <c r="G39" s="84" t="s">
        <v>936</v>
      </c>
      <c r="H39" s="84"/>
      <c r="I39" s="97" t="s">
        <v>177</v>
      </c>
      <c r="J39" s="94">
        <v>1116.6051379999999</v>
      </c>
      <c r="K39" s="96">
        <v>10851.15</v>
      </c>
      <c r="L39" s="94">
        <v>385.87257900399999</v>
      </c>
      <c r="M39" s="95">
        <v>2.8038841762757582E-4</v>
      </c>
      <c r="N39" s="95">
        <f t="shared" si="1"/>
        <v>1.8077022643389271E-2</v>
      </c>
      <c r="O39" s="95">
        <f>L39/'סכום נכסי הקרן'!$C$42</f>
        <v>4.0602690095139425E-4</v>
      </c>
    </row>
    <row r="40" spans="2:59">
      <c r="B40" s="87" t="s">
        <v>1820</v>
      </c>
      <c r="C40" s="84" t="s">
        <v>1821</v>
      </c>
      <c r="D40" s="97" t="s">
        <v>141</v>
      </c>
      <c r="E40" s="84"/>
      <c r="F40" s="97" t="s">
        <v>1811</v>
      </c>
      <c r="G40" s="84" t="s">
        <v>936</v>
      </c>
      <c r="H40" s="84"/>
      <c r="I40" s="97" t="s">
        <v>167</v>
      </c>
      <c r="J40" s="94">
        <v>4507.5942700000005</v>
      </c>
      <c r="K40" s="96">
        <v>20353.52</v>
      </c>
      <c r="L40" s="94">
        <v>3170.7213718819994</v>
      </c>
      <c r="M40" s="95">
        <v>9.1211679451021668E-5</v>
      </c>
      <c r="N40" s="95">
        <f t="shared" si="1"/>
        <v>0.14853919442354321</v>
      </c>
      <c r="O40" s="95">
        <f>L40/'סכום נכסי הקרן'!$C$42</f>
        <v>3.3363297690874693E-3</v>
      </c>
    </row>
    <row r="41" spans="2:59">
      <c r="B41" s="6"/>
      <c r="C41" s="1"/>
      <c r="D41" s="1"/>
      <c r="E41" s="1"/>
    </row>
    <row r="42" spans="2:59">
      <c r="C42" s="1"/>
      <c r="D42" s="1"/>
      <c r="E42" s="1"/>
    </row>
    <row r="43" spans="2:59">
      <c r="C43" s="1"/>
      <c r="D43" s="1"/>
      <c r="E43" s="1"/>
    </row>
    <row r="44" spans="2:59">
      <c r="C44" s="1"/>
      <c r="D44" s="1"/>
      <c r="E44" s="1"/>
    </row>
    <row r="45" spans="2:59">
      <c r="B45" s="99" t="s">
        <v>259</v>
      </c>
      <c r="C45" s="1"/>
      <c r="D45" s="1"/>
      <c r="E45" s="1"/>
    </row>
    <row r="46" spans="2:59">
      <c r="B46" s="99" t="s">
        <v>116</v>
      </c>
      <c r="C46" s="1"/>
      <c r="D46" s="1"/>
      <c r="E46" s="1"/>
    </row>
    <row r="47" spans="2:59">
      <c r="B47" s="99" t="s">
        <v>241</v>
      </c>
      <c r="C47" s="1"/>
      <c r="D47" s="1"/>
      <c r="E47" s="1"/>
    </row>
    <row r="48" spans="2:59">
      <c r="B48" s="99" t="s">
        <v>249</v>
      </c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D1:AF1048576 AH1:XFD1048576 AG1:AG37 B39:B44 B46:B1048576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46656d4-8850-49b3-aebd-68bd05f7f4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2020-03-29T06:58:47Z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