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90" windowWidth="17025" windowHeight="9600" firstSheet="3" activeTab="9"/>
  </bookViews>
  <sheets>
    <sheet name="744" sheetId="20" r:id="rId1"/>
    <sheet name="863" sheetId="18" r:id="rId2"/>
    <sheet name="862" sheetId="19" r:id="rId3"/>
    <sheet name="859" sheetId="14" r:id="rId4"/>
    <sheet name="858" sheetId="15" r:id="rId5"/>
    <sheet name="8012" sheetId="16" r:id="rId6"/>
    <sheet name="9779" sheetId="17" r:id="rId7"/>
    <sheet name="9780" sheetId="12" r:id="rId8"/>
    <sheet name="9781" sheetId="13" r:id="rId9"/>
    <sheet name="מגדל תגמולים- נספח 1" sheetId="11" r:id="rId10"/>
    <sheet name="מגדל תגמולים- נספח 2" sheetId="9" r:id="rId11"/>
    <sheet name="מגדל תגמולים- נספח 3" sheetId="10" r:id="rId12"/>
  </sheets>
  <definedNames>
    <definedName name="_xlnm.Print_Area" localSheetId="0">'744'!$A$1:$C$63</definedName>
    <definedName name="_xlnm.Print_Area" localSheetId="5">'8012'!$A$1:$C$63</definedName>
    <definedName name="_xlnm.Print_Area" localSheetId="4">'858'!$A$1:$C$63</definedName>
    <definedName name="_xlnm.Print_Area" localSheetId="3">'859'!$A$1:$C$63</definedName>
    <definedName name="_xlnm.Print_Area" localSheetId="2">'862'!$A$1:$C$63</definedName>
    <definedName name="_xlnm.Print_Area" localSheetId="1">'863'!$A$1:$C$63</definedName>
    <definedName name="_xlnm.Print_Area" localSheetId="6">'9779'!$A$1:$C$63</definedName>
    <definedName name="_xlnm.Print_Area" localSheetId="7">'9780'!$A$1:$C$63</definedName>
    <definedName name="_xlnm.Print_Area" localSheetId="8">'9781'!$A$1:$C$63</definedName>
    <definedName name="_xlnm.Print_Area" localSheetId="9">'מגדל תגמולים- נספח 1'!$A$1:$C$63</definedName>
  </definedNames>
  <calcPr calcId="145621"/>
</workbook>
</file>

<file path=xl/calcChain.xml><?xml version="1.0" encoding="utf-8"?>
<calcChain xmlns="http://schemas.openxmlformats.org/spreadsheetml/2006/main">
  <c r="C60" i="10" l="1"/>
  <c r="C58" i="10"/>
  <c r="C50" i="10"/>
  <c r="C37" i="10"/>
  <c r="C31" i="10"/>
  <c r="D68" i="9"/>
  <c r="C62" i="10"/>
  <c r="D70" i="9"/>
  <c r="D50" i="9"/>
  <c r="D58" i="9"/>
  <c r="D47" i="9"/>
  <c r="D41" i="9"/>
  <c r="D31" i="9"/>
  <c r="D30" i="9"/>
  <c r="D32" i="9"/>
  <c r="D28" i="9"/>
  <c r="D36" i="9"/>
  <c r="D20" i="9"/>
  <c r="D12" i="9"/>
  <c r="C29" i="11"/>
  <c r="C21" i="11"/>
  <c r="C27" i="17"/>
  <c r="C29" i="16"/>
  <c r="C27" i="20"/>
  <c r="C23" i="11"/>
  <c r="C22" i="11"/>
  <c r="C19" i="11"/>
  <c r="C16" i="11"/>
  <c r="C8" i="11"/>
  <c r="C63" i="11"/>
  <c r="C62" i="11"/>
  <c r="C41" i="11"/>
  <c r="C9" i="11"/>
  <c r="C10" i="11"/>
  <c r="C11" i="11"/>
  <c r="C12" i="11"/>
  <c r="C13" i="11"/>
  <c r="C14" i="11"/>
  <c r="C15" i="11"/>
  <c r="C17" i="11"/>
  <c r="C18" i="11"/>
  <c r="C20" i="11"/>
  <c r="C24" i="11"/>
  <c r="C25" i="11"/>
  <c r="C26" i="11"/>
  <c r="C27" i="11"/>
  <c r="C28" i="11"/>
  <c r="C30" i="11"/>
  <c r="C31" i="11"/>
  <c r="C32" i="11"/>
  <c r="C33" i="11"/>
  <c r="C34" i="11"/>
  <c r="C62" i="20"/>
  <c r="C31" i="20"/>
  <c r="C21" i="20"/>
  <c r="C16" i="20"/>
  <c r="C14" i="20"/>
  <c r="C12" i="20" s="1"/>
  <c r="C10" i="20"/>
  <c r="C8" i="20"/>
  <c r="C62" i="19"/>
  <c r="C31" i="19"/>
  <c r="C21" i="19"/>
  <c r="C38" i="19" s="1"/>
  <c r="C16" i="19"/>
  <c r="C14" i="19"/>
  <c r="C12" i="19"/>
  <c r="C8" i="19"/>
  <c r="C62" i="18"/>
  <c r="C38" i="18"/>
  <c r="C31" i="18"/>
  <c r="C21" i="18"/>
  <c r="C16" i="18"/>
  <c r="C14" i="18"/>
  <c r="C12" i="18" s="1"/>
  <c r="C8" i="18"/>
  <c r="C41" i="17"/>
  <c r="C62" i="17" s="1"/>
  <c r="C31" i="17"/>
  <c r="C29" i="17"/>
  <c r="C26" i="17"/>
  <c r="C17" i="17"/>
  <c r="C16" i="17" s="1"/>
  <c r="C14" i="17"/>
  <c r="C12" i="17"/>
  <c r="C10" i="17"/>
  <c r="C8" i="17" s="1"/>
  <c r="C9" i="17"/>
  <c r="C62" i="16"/>
  <c r="C31" i="16"/>
  <c r="C21" i="16"/>
  <c r="C38" i="16" s="1"/>
  <c r="C16" i="16"/>
  <c r="C14" i="16"/>
  <c r="C12" i="16" s="1"/>
  <c r="C10" i="16"/>
  <c r="C8" i="16"/>
  <c r="C62" i="15"/>
  <c r="C31" i="15"/>
  <c r="C21" i="15"/>
  <c r="C38" i="15" s="1"/>
  <c r="C16" i="15"/>
  <c r="C12" i="15"/>
  <c r="C10" i="15"/>
  <c r="C8" i="15" s="1"/>
  <c r="C62" i="14"/>
  <c r="C38" i="14"/>
  <c r="C31" i="14"/>
  <c r="C21" i="14"/>
  <c r="C16" i="14"/>
  <c r="C14" i="14"/>
  <c r="C12" i="14"/>
  <c r="C8" i="14"/>
  <c r="C62" i="13"/>
  <c r="C31" i="13"/>
  <c r="C23" i="13"/>
  <c r="C21" i="13" s="1"/>
  <c r="C38" i="13" s="1"/>
  <c r="C16" i="13"/>
  <c r="C14" i="13"/>
  <c r="C12" i="13"/>
  <c r="C10" i="13"/>
  <c r="C8" i="13"/>
  <c r="C62" i="12"/>
  <c r="C31" i="12"/>
  <c r="C23" i="12"/>
  <c r="C21" i="12"/>
  <c r="C17" i="12"/>
  <c r="C16" i="12"/>
  <c r="C14" i="12"/>
  <c r="C12" i="12"/>
  <c r="C8" i="12"/>
  <c r="C38" i="20" l="1"/>
  <c r="C35" i="13"/>
  <c r="C39" i="13" s="1"/>
  <c r="C35" i="12"/>
  <c r="C39" i="12" s="1"/>
  <c r="C38" i="12"/>
  <c r="C35" i="16"/>
  <c r="C39" i="16" s="1"/>
  <c r="C35" i="15"/>
  <c r="C39" i="15" s="1"/>
  <c r="C35" i="14"/>
  <c r="C39" i="14" s="1"/>
  <c r="C35" i="19"/>
  <c r="C39" i="19" s="1"/>
  <c r="C35" i="18"/>
  <c r="C39" i="18" s="1"/>
  <c r="C35" i="20"/>
  <c r="C35" i="17"/>
  <c r="C39" i="17" s="1"/>
  <c r="C21" i="17"/>
  <c r="C38" i="17" s="1"/>
  <c r="C38" i="11" l="1"/>
  <c r="C39" i="20"/>
  <c r="C35" i="11"/>
  <c r="C39" i="11" s="1"/>
</calcChain>
</file>

<file path=xl/sharedStrings.xml><?xml version="1.0" encoding="utf-8"?>
<sst xmlns="http://schemas.openxmlformats.org/spreadsheetml/2006/main" count="529" uniqueCount="102">
  <si>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</si>
  <si>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</si>
  <si>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</si>
  <si>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</si>
  <si>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</si>
  <si>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</si>
  <si>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</si>
  <si>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</si>
  <si>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</si>
  <si>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</si>
  <si>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</si>
  <si>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</si>
  <si>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</si>
  <si>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</si>
  <si>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</si>
  <si>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</si>
  <si>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</si>
  <si>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</si>
  <si>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</si>
  <si>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</si>
  <si>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</si>
  <si>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</si>
  <si>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</si>
  <si>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</si>
  <si>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</si>
  <si>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</si>
  <si>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</si>
  <si>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</si>
  <si>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</si>
  <si>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</si>
  <si>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</si>
  <si>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</si>
  <si>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שווי נכסים ממוצע</t>
  </si>
  <si>
    <t xml:space="preserve">סך נכסים לסוף שנה 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</si>
  <si>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</si>
  <si>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</si>
  <si>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</si>
  <si>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</si>
  <si>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</si>
  <si>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LEUMI</t>
  </si>
  <si>
    <t>סך עמלות ברוקראז'</t>
  </si>
  <si>
    <t>עמלות קסטודיאן</t>
  </si>
  <si>
    <t>בנק לאומי</t>
  </si>
  <si>
    <t>UBS</t>
  </si>
  <si>
    <t>בנק הפועלים</t>
  </si>
  <si>
    <t>בנק דיסקונט</t>
  </si>
  <si>
    <t>אחר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</si>
  <si>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</si>
  <si>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</si>
  <si>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</si>
  <si>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</si>
  <si>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</si>
  <si>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</si>
  <si>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</si>
  <si>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</si>
  <si>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</si>
  <si>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</si>
  <si>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</si>
  <si>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</si>
  <si>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גורם 5</t>
  </si>
  <si>
    <t>גורם 6</t>
  </si>
  <si>
    <t>גורם 7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</si>
  <si>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</si>
  <si>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</si>
  <si>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</si>
  <si>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</si>
  <si>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</si>
  <si>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</si>
  <si>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BROOKFIELD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</si>
  <si>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</si>
  <si>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</si>
  <si>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</si>
  <si>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</si>
  <si>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</si>
  <si>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</si>
  <si>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</si>
  <si>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</si>
  <si>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</si>
  <si>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</si>
  <si>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</si>
  <si>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בתעודת סל</t>
  </si>
  <si>
    <t>קרן סל ישראלית</t>
  </si>
  <si>
    <t>קרן סל זרה</t>
  </si>
  <si>
    <t>BlackRock Inc USA</t>
  </si>
  <si>
    <t>BlackRock Inc Ireland</t>
  </si>
  <si>
    <t>סך תשלומים בגין השקעה בתעודות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</si>
  <si>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</si>
  <si>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</si>
  <si>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</si>
  <si>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לתגמולים ולפיצויים- מסלול כללי- מספר באוצר 744</t>
  </si>
  <si>
    <t>מגדל לתגמולים ולפיצויים- מסלול מניות- מספר באוצר 863</t>
  </si>
  <si>
    <t>מגדל לתגמולים ולפיצויים- מסלול חו"ל- מספר באוצר 862</t>
  </si>
  <si>
    <t>מגדל לתגמולים ולפיצויים- מסלול אג"ח ממשלתי ישראלי- מספר באוצר 859</t>
  </si>
  <si>
    <t>מגדל לתגמולים ולפיצויים- מסלול שקלי טווח קצר- מספר באוצר 858</t>
  </si>
  <si>
    <t>מגדל לתגמולים ולפיצויים- מסלול אג"ח עד 10% מניות- מספר באוצר 8012</t>
  </si>
  <si>
    <t>מגדל לתגמולים ולפיצויים- מסלול לבני 50 ומטה- מספר באוצר 9779</t>
  </si>
  <si>
    <t>מגדל לתגמולים ולפיצויים- מסלול לבני 50 עד 60- מספר באוצר 9780</t>
  </si>
  <si>
    <t>מגדל לתגמולים ולפיצויים- מסלול לבני 60 ומעלה- מספר באוצר 9781</t>
  </si>
  <si>
    <t xml:space="preserve">שם הקופה:  </t>
  </si>
  <si>
    <t>מגדל לתגמולים ולפיצויים- מצרפי (מספרים באוצר- 858 ,744, 859, 862, 863, 8012, 9779, 9780, 9781)</t>
  </si>
  <si>
    <t xml:space="preserve">נספח 2 - פירוט עמלות והוצאות לשנה המסתיימת ביום </t>
  </si>
  <si>
    <t>נספח 3- פירוט עמלות ניהול חיצוני לשנה המסתיימת ביום: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</si>
</sst>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6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5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165" fontId="5" fillId="4" borderId="7" xfId="1" applyNumberFormat="1" applyFont="1" applyFill="1" applyBorder="1" applyProtection="1"/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165" fontId="0" fillId="3" borderId="7" xfId="1" applyNumberFormat="1" applyFont="1" applyFill="1" applyBorder="1" applyProtection="1"/>
    <xf numFmtId="0" fontId="4" fillId="3" borderId="10" xfId="0" applyFont="1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6" fillId="3" borderId="8" xfId="0" applyFont="1" applyFill="1" applyBorder="1" applyAlignment="1" applyProtection="1"/>
    <xf numFmtId="10" fontId="5" fillId="4" borderId="7" xfId="2" applyNumberFormat="1" applyFont="1" applyFill="1" applyBorder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165" fontId="0" fillId="5" borderId="7" xfId="1" applyNumberFormat="1" applyFont="1" applyFill="1" applyBorder="1"/>
    <xf numFmtId="165" fontId="0" fillId="3" borderId="7" xfId="1" applyNumberFormat="1" applyFont="1" applyFill="1" applyBorder="1"/>
    <xf numFmtId="165" fontId="5" fillId="4" borderId="13" xfId="1" applyNumberFormat="1" applyFont="1" applyFill="1" applyBorder="1"/>
    <xf numFmtId="165" fontId="5" fillId="0" borderId="0" xfId="1" applyNumberFormat="1" applyFont="1" applyProtection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0" fillId="0" borderId="0" xfId="0" applyNumberFormat="1" applyProtection="1"/>
    <xf numFmtId="0" fontId="4" fillId="2" borderId="0" xfId="0" applyFont="1" applyFill="1" applyBorder="1" applyAlignment="1" applyProtection="1"/>
    <xf numFmtId="165" fontId="0" fillId="2" borderId="0" xfId="1" applyNumberFormat="1" applyFont="1" applyFill="1" applyProtection="1"/>
    <xf numFmtId="0" fontId="4" fillId="2" borderId="12" xfId="0" applyFont="1" applyFill="1" applyBorder="1" applyAlignment="1" applyProtection="1"/>
    <xf numFmtId="0" fontId="24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22" fillId="3" borderId="26" xfId="0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5" fontId="0" fillId="3" borderId="7" xfId="1" applyNumberFormat="1" applyFont="1" applyFill="1" applyBorder="1" applyAlignment="1">
      <alignment horizontal="right"/>
    </xf>
    <xf numFmtId="0" fontId="22" fillId="3" borderId="29" xfId="0" applyNumberFormat="1" applyFont="1" applyFill="1" applyBorder="1" applyAlignment="1">
      <alignment horizontal="right" readingOrder="2"/>
    </xf>
    <xf numFmtId="0" fontId="22" fillId="3" borderId="9" xfId="0" applyNumberFormat="1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5" fontId="0" fillId="5" borderId="7" xfId="1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27" xfId="0" applyNumberFormat="1" applyFont="1" applyFill="1" applyBorder="1" applyAlignment="1">
      <alignment horizontal="right" readingOrder="2"/>
    </xf>
    <xf numFmtId="0" fontId="22" fillId="3" borderId="28" xfId="0" applyNumberFormat="1" applyFont="1" applyFill="1" applyBorder="1" applyAlignment="1">
      <alignment horizontal="right" readingOrder="2"/>
    </xf>
    <xf numFmtId="0" fontId="4" fillId="3" borderId="29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65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5" fontId="25" fillId="3" borderId="7" xfId="1" applyNumberFormat="1" applyFont="1" applyFill="1" applyBorder="1" applyAlignment="1">
      <alignment horizontal="right"/>
    </xf>
    <xf numFmtId="0" fontId="22" fillId="3" borderId="30" xfId="0" applyFont="1" applyFill="1" applyBorder="1" applyAlignment="1">
      <alignment horizontal="right"/>
    </xf>
    <xf numFmtId="0" fontId="0" fillId="0" borderId="0" xfId="0" applyBorder="1"/>
    <xf numFmtId="0" fontId="22" fillId="3" borderId="9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/>
    <xf numFmtId="165" fontId="0" fillId="0" borderId="0" xfId="0" applyNumberFormat="1"/>
    <xf numFmtId="0" fontId="4" fillId="0" borderId="0" xfId="0" applyFont="1" applyAlignment="1">
      <alignment horizontal="right" wrapText="1"/>
    </xf>
    <xf numFmtId="0" fontId="4" fillId="3" borderId="32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33" xfId="0" applyFont="1" applyFill="1" applyBorder="1" applyAlignment="1">
      <alignment horizontal="right"/>
    </xf>
    <xf numFmtId="165" fontId="0" fillId="5" borderId="34" xfId="1" applyNumberFormat="1" applyFont="1" applyFill="1" applyBorder="1" applyAlignment="1">
      <alignment horizontal="right"/>
    </xf>
    <xf numFmtId="165" fontId="4" fillId="3" borderId="34" xfId="0" applyNumberFormat="1" applyFont="1" applyFill="1" applyBorder="1" applyAlignment="1">
      <alignment horizontal="right"/>
    </xf>
    <xf numFmtId="0" fontId="22" fillId="3" borderId="27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22" fillId="3" borderId="34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22" fillId="3" borderId="3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30" xfId="0" applyNumberFormat="1" applyFont="1" applyFill="1" applyBorder="1" applyAlignment="1">
      <alignment horizontal="right" readingOrder="2"/>
    </xf>
    <xf numFmtId="0" fontId="4" fillId="3" borderId="36" xfId="0" applyFont="1" applyFill="1" applyBorder="1" applyAlignment="1">
      <alignment horizontal="right"/>
    </xf>
    <xf numFmtId="0" fontId="22" fillId="3" borderId="37" xfId="0" applyFont="1" applyFill="1" applyBorder="1" applyAlignment="1">
      <alignment horizontal="right"/>
    </xf>
    <xf numFmtId="0" fontId="4" fillId="0" borderId="0" xfId="0" applyFont="1" applyFill="1" applyBorder="1" applyAlignment="1" applyProtection="1"/>
    <xf numFmtId="165" fontId="5" fillId="0" borderId="0" xfId="1" applyNumberFormat="1" applyFont="1" applyFill="1" applyBorder="1"/>
    <xf numFmtId="0" fontId="0" fillId="0" borderId="0" xfId="0" applyFill="1" applyProtection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38" xfId="0" applyFont="1" applyBorder="1" applyAlignment="1">
      <alignment horizontal="right" wrapText="1"/>
    </xf>
    <xf numFmtId="0" fontId="26" fillId="0" borderId="38" xfId="0" applyFont="1" applyBorder="1" applyAlignment="1">
      <alignment horizontal="right"/>
    </xf>
    <xf numFmtId="165" fontId="4" fillId="3" borderId="3" xfId="1" applyNumberFormat="1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colors>
    <mruColors>
      <color rgb="FF63EC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rightToLeft="1" topLeftCell="A13" zoomScaleNormal="100" workbookViewId="0">
      <selection activeCell="G22" sqref="G22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0.75" style="2" customWidth="1"/>
    <col min="4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89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229.97786988205149</v>
      </c>
    </row>
    <row r="9" spans="1:3" x14ac:dyDescent="0.2">
      <c r="A9" s="11"/>
      <c r="B9" s="12" t="s">
        <v>3</v>
      </c>
      <c r="C9" s="21">
        <v>1.4473961518154899</v>
      </c>
    </row>
    <row r="10" spans="1:3" x14ac:dyDescent="0.2">
      <c r="A10" s="11"/>
      <c r="B10" s="12" t="s">
        <v>4</v>
      </c>
      <c r="C10" s="21">
        <f>228.030473730236+0.5</f>
        <v>228.530473730236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27.8750569102829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15.5320447580375+12.8430121522454-0.5</f>
        <v>27.8750569102829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25.923369999999998</v>
      </c>
    </row>
    <row r="17" spans="1:4" ht="25.5" x14ac:dyDescent="0.2">
      <c r="A17" s="11" t="s">
        <v>9</v>
      </c>
      <c r="B17" s="15" t="s">
        <v>10</v>
      </c>
      <c r="C17" s="21">
        <v>25.923369999999998</v>
      </c>
    </row>
    <row r="18" spans="1:4" x14ac:dyDescent="0.2">
      <c r="A18" s="11" t="s">
        <v>11</v>
      </c>
      <c r="B18" s="15" t="s">
        <v>12</v>
      </c>
      <c r="C18" s="21">
        <v>0</v>
      </c>
    </row>
    <row r="19" spans="1:4" x14ac:dyDescent="0.2">
      <c r="A19" s="11" t="s">
        <v>13</v>
      </c>
      <c r="B19" s="12" t="s">
        <v>14</v>
      </c>
      <c r="C19" s="21">
        <v>0</v>
      </c>
    </row>
    <row r="20" spans="1:4" x14ac:dyDescent="0.2">
      <c r="A20" s="16"/>
      <c r="B20" s="28"/>
      <c r="C20" s="22"/>
    </row>
    <row r="21" spans="1:4" ht="15" x14ac:dyDescent="0.25">
      <c r="A21" s="17">
        <v>4</v>
      </c>
      <c r="B21" s="9" t="s">
        <v>15</v>
      </c>
      <c r="C21" s="10">
        <f>C22+C23+C24+C25+C26+C27+C28+C29</f>
        <v>1662.4337292555285</v>
      </c>
      <c r="D21" s="29"/>
    </row>
    <row r="22" spans="1:4" x14ac:dyDescent="0.2">
      <c r="A22" s="11"/>
      <c r="B22" s="12" t="s">
        <v>16</v>
      </c>
      <c r="C22" s="21">
        <v>240.18186622707861</v>
      </c>
    </row>
    <row r="23" spans="1:4" x14ac:dyDescent="0.2">
      <c r="A23" s="11"/>
      <c r="B23" s="12" t="s">
        <v>17</v>
      </c>
      <c r="C23" s="21">
        <v>978.22413302844996</v>
      </c>
    </row>
    <row r="24" spans="1:4" x14ac:dyDescent="0.2">
      <c r="A24" s="11"/>
      <c r="B24" s="12" t="s">
        <v>18</v>
      </c>
      <c r="C24" s="21"/>
    </row>
    <row r="25" spans="1:4" x14ac:dyDescent="0.2">
      <c r="A25" s="11"/>
      <c r="B25" s="12" t="s">
        <v>19</v>
      </c>
      <c r="C25" s="21"/>
    </row>
    <row r="26" spans="1:4" x14ac:dyDescent="0.2">
      <c r="A26" s="11"/>
      <c r="B26" s="12" t="s">
        <v>20</v>
      </c>
      <c r="C26" s="21">
        <v>3.7799999999999999E-3</v>
      </c>
    </row>
    <row r="27" spans="1:4" x14ac:dyDescent="0.2">
      <c r="A27" s="11"/>
      <c r="B27" s="12" t="s">
        <v>21</v>
      </c>
      <c r="C27" s="21">
        <f>238.42212+0.2</f>
        <v>238.62212</v>
      </c>
    </row>
    <row r="28" spans="1:4" x14ac:dyDescent="0.2">
      <c r="A28" s="11"/>
      <c r="B28" s="12" t="s">
        <v>22</v>
      </c>
      <c r="C28" s="21">
        <v>0</v>
      </c>
    </row>
    <row r="29" spans="1:4" x14ac:dyDescent="0.2">
      <c r="A29" s="11"/>
      <c r="B29" s="12" t="s">
        <v>23</v>
      </c>
      <c r="C29" s="21">
        <v>205.40183000000002</v>
      </c>
    </row>
    <row r="30" spans="1:4" x14ac:dyDescent="0.2">
      <c r="A30" s="11"/>
      <c r="B30" s="12"/>
      <c r="C30" s="22"/>
    </row>
    <row r="31" spans="1:4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4" x14ac:dyDescent="0.2">
      <c r="A32" s="11" t="s">
        <v>9</v>
      </c>
      <c r="B32" s="12" t="s">
        <v>25</v>
      </c>
      <c r="C32" s="21"/>
    </row>
    <row r="33" spans="1:4" x14ac:dyDescent="0.2">
      <c r="A33" s="11" t="s">
        <v>11</v>
      </c>
      <c r="B33" s="12" t="s">
        <v>26</v>
      </c>
      <c r="C33" s="21"/>
    </row>
    <row r="34" spans="1:4" x14ac:dyDescent="0.2">
      <c r="A34" s="11"/>
      <c r="B34" s="12"/>
      <c r="C34" s="22"/>
    </row>
    <row r="35" spans="1:4" ht="15" x14ac:dyDescent="0.25">
      <c r="A35" s="11">
        <v>6</v>
      </c>
      <c r="B35" s="9" t="s">
        <v>27</v>
      </c>
      <c r="C35" s="10">
        <f>C31+C21+C16+C12+C8</f>
        <v>1946.2100260478628</v>
      </c>
      <c r="D35" s="29"/>
    </row>
    <row r="36" spans="1:4" x14ac:dyDescent="0.2">
      <c r="A36" s="11"/>
      <c r="B36" s="12"/>
      <c r="C36" s="13"/>
    </row>
    <row r="37" spans="1:4" ht="15" x14ac:dyDescent="0.25">
      <c r="A37" s="11">
        <v>7</v>
      </c>
      <c r="B37" s="9" t="s">
        <v>28</v>
      </c>
      <c r="C37" s="13"/>
    </row>
    <row r="38" spans="1:4" ht="26.25" x14ac:dyDescent="0.25">
      <c r="A38" s="11" t="s">
        <v>9</v>
      </c>
      <c r="B38" s="15" t="s">
        <v>29</v>
      </c>
      <c r="C38" s="18">
        <f>(C33+C21+C17)/C41</f>
        <v>1.5399519316066004E-3</v>
      </c>
    </row>
    <row r="39" spans="1:4" ht="15" x14ac:dyDescent="0.25">
      <c r="A39" s="11" t="s">
        <v>11</v>
      </c>
      <c r="B39" s="12" t="s">
        <v>31</v>
      </c>
      <c r="C39" s="18">
        <f t="shared" ref="C39" si="4">C35/C62</f>
        <v>1.7722542450680754E-3</v>
      </c>
    </row>
    <row r="40" spans="1:4" x14ac:dyDescent="0.2">
      <c r="A40" s="11"/>
      <c r="B40" s="12"/>
      <c r="C40" s="22"/>
    </row>
    <row r="41" spans="1:4" ht="15.75" thickBot="1" x14ac:dyDescent="0.3">
      <c r="A41" s="19"/>
      <c r="B41" s="20" t="s">
        <v>30</v>
      </c>
      <c r="C41" s="23">
        <v>1096370</v>
      </c>
    </row>
    <row r="42" spans="1:4" s="86" customFormat="1" ht="15" x14ac:dyDescent="0.25">
      <c r="A42" s="84"/>
      <c r="B42" s="84"/>
      <c r="C42" s="85"/>
    </row>
    <row r="43" spans="1:4" s="86" customFormat="1" ht="15" x14ac:dyDescent="0.25">
      <c r="A43" s="84"/>
      <c r="B43" s="84"/>
      <c r="C43" s="85"/>
    </row>
    <row r="44" spans="1:4" s="86" customFormat="1" ht="15" x14ac:dyDescent="0.25">
      <c r="A44" s="84"/>
      <c r="B44" s="84"/>
      <c r="C44" s="85"/>
    </row>
    <row r="45" spans="1:4" s="86" customFormat="1" ht="15" x14ac:dyDescent="0.25">
      <c r="A45" s="84"/>
      <c r="B45" s="84"/>
      <c r="C45" s="85"/>
    </row>
    <row r="46" spans="1:4" s="86" customFormat="1" ht="15" x14ac:dyDescent="0.25">
      <c r="A46" s="84"/>
      <c r="B46" s="84"/>
      <c r="C46" s="85"/>
    </row>
    <row r="47" spans="1:4" s="86" customFormat="1" ht="15" x14ac:dyDescent="0.25">
      <c r="A47" s="84"/>
      <c r="B47" s="84"/>
      <c r="C47" s="85"/>
    </row>
    <row r="48" spans="1:4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1098155.093415</v>
      </c>
    </row>
    <row r="63" spans="1:3" ht="15" thickBot="1" x14ac:dyDescent="0.25">
      <c r="B63" s="32" t="s">
        <v>33</v>
      </c>
      <c r="C63" s="31">
        <v>1099940.18683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tabSelected="1" zoomScaleNormal="100" workbookViewId="0">
      <selection activeCell="B3" sqref="B3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2.125" style="2" customWidth="1"/>
    <col min="4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.75" x14ac:dyDescent="0.25">
      <c r="A4" s="5"/>
      <c r="B4" s="91" t="s">
        <v>98</v>
      </c>
      <c r="C4" s="6"/>
    </row>
    <row r="5" spans="1:3" ht="32.25" thickBot="1" x14ac:dyDescent="0.3">
      <c r="A5" s="7"/>
      <c r="B5" s="92" t="s">
        <v>99</v>
      </c>
      <c r="C5" s="24"/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>'744'!C8+'863'!C8+'862'!C8+'859'!C8+'858'!C8+'8012'!C8+'9779'!C8+'9780'!C8+'9781'!C8+0.5</f>
        <v>687.61407505481338</v>
      </c>
    </row>
    <row r="9" spans="1:3" x14ac:dyDescent="0.2">
      <c r="A9" s="11"/>
      <c r="B9" s="12" t="s">
        <v>3</v>
      </c>
      <c r="C9" s="21">
        <f>'744'!C9+'863'!C9+'862'!C9+'859'!C9+'858'!C9+'8012'!C9+'9779'!C9+'9780'!C9+'9781'!C9</f>
        <v>5.5154456441366504</v>
      </c>
    </row>
    <row r="10" spans="1:3" x14ac:dyDescent="0.2">
      <c r="A10" s="11"/>
      <c r="B10" s="12" t="s">
        <v>4</v>
      </c>
      <c r="C10" s="21">
        <f>'744'!C10+'863'!C10+'862'!C10+'859'!C10+'858'!C10+'8012'!C10+'9779'!C10+'9780'!C10+'9781'!C10</f>
        <v>681.59862941067672</v>
      </c>
    </row>
    <row r="11" spans="1:3" x14ac:dyDescent="0.2">
      <c r="A11" s="11"/>
      <c r="B11" s="12"/>
      <c r="C11" s="22">
        <f>'744'!C11+'863'!C11+'862'!C11+'859'!C11+'858'!C11+'8012'!C11+'9779'!C11+'9780'!C11+'9781'!C11</f>
        <v>0</v>
      </c>
    </row>
    <row r="12" spans="1:3" ht="15" x14ac:dyDescent="0.25">
      <c r="A12" s="8">
        <v>2</v>
      </c>
      <c r="B12" s="9" t="s">
        <v>5</v>
      </c>
      <c r="C12" s="10">
        <f>'744'!C12+'863'!C12+'862'!C12+'859'!C12+'858'!C12+'8012'!C12+'9779'!C12+'9780'!C12+'9781'!C12</f>
        <v>100.2128943648172</v>
      </c>
    </row>
    <row r="13" spans="1:3" x14ac:dyDescent="0.2">
      <c r="A13" s="11"/>
      <c r="B13" s="14" t="s">
        <v>6</v>
      </c>
      <c r="C13" s="21">
        <f>'744'!C13+'863'!C13+'862'!C13+'859'!C13+'858'!C13+'8012'!C13+'9779'!C13+'9780'!C13+'9781'!C13</f>
        <v>0</v>
      </c>
    </row>
    <row r="14" spans="1:3" x14ac:dyDescent="0.2">
      <c r="A14" s="11"/>
      <c r="B14" s="14" t="s">
        <v>7</v>
      </c>
      <c r="C14" s="21">
        <f>'744'!C14+'863'!C14+'862'!C14+'859'!C14+'858'!C14+'8012'!C14+'9779'!C14+'9780'!C14+'9781'!C14</f>
        <v>100.2128943648172</v>
      </c>
    </row>
    <row r="15" spans="1:3" x14ac:dyDescent="0.2">
      <c r="A15" s="26"/>
      <c r="B15" s="28"/>
      <c r="C15" s="22">
        <f>'744'!C15+'863'!C15+'862'!C15+'859'!C15+'858'!C15+'8012'!C15+'9779'!C15+'9780'!C15+'9781'!C15</f>
        <v>0</v>
      </c>
    </row>
    <row r="16" spans="1:3" ht="15" x14ac:dyDescent="0.25">
      <c r="A16" s="8">
        <v>3</v>
      </c>
      <c r="B16" s="9" t="s">
        <v>8</v>
      </c>
      <c r="C16" s="10">
        <f>SUM(C17:C19)</f>
        <v>502.57329639304407</v>
      </c>
    </row>
    <row r="17" spans="1:3" ht="25.5" x14ac:dyDescent="0.2">
      <c r="A17" s="11" t="s">
        <v>9</v>
      </c>
      <c r="B17" s="15" t="s">
        <v>10</v>
      </c>
      <c r="C17" s="21">
        <f>'744'!C17+'863'!C17+'862'!C17+'859'!C17+'858'!C17+'8012'!C17+'9779'!C17+'9780'!C17+'9781'!C17</f>
        <v>55.760289999999998</v>
      </c>
    </row>
    <row r="18" spans="1:3" x14ac:dyDescent="0.2">
      <c r="A18" s="11" t="s">
        <v>11</v>
      </c>
      <c r="B18" s="15" t="s">
        <v>12</v>
      </c>
      <c r="C18" s="21">
        <f>'744'!C18+'863'!C18+'862'!C18+'859'!C18+'858'!C18+'8012'!C18+'9779'!C18+'9780'!C18+'9781'!C18</f>
        <v>0</v>
      </c>
    </row>
    <row r="19" spans="1:3" x14ac:dyDescent="0.2">
      <c r="A19" s="11" t="s">
        <v>13</v>
      </c>
      <c r="B19" s="12" t="s">
        <v>14</v>
      </c>
      <c r="C19" s="21">
        <f>'744'!C19+'863'!C19+'862'!C19+'859'!C19+'858'!C19+'8012'!C19+'9779'!C19+'9780'!C19+'9781'!C19+0.7</f>
        <v>446.81300639304408</v>
      </c>
    </row>
    <row r="20" spans="1:3" x14ac:dyDescent="0.2">
      <c r="A20" s="16"/>
      <c r="B20" s="28"/>
      <c r="C20" s="22">
        <f>'744'!C20+'863'!C20+'862'!C20+'859'!C20+'858'!C20+'8012'!C20+'9779'!C20+'9780'!C20+'9781'!C20</f>
        <v>0</v>
      </c>
    </row>
    <row r="21" spans="1:3" ht="15" x14ac:dyDescent="0.25">
      <c r="A21" s="17">
        <v>4</v>
      </c>
      <c r="B21" s="9" t="s">
        <v>15</v>
      </c>
      <c r="C21" s="10">
        <f>SUM(C22:C29)</f>
        <v>3075.435628266293</v>
      </c>
    </row>
    <row r="22" spans="1:3" x14ac:dyDescent="0.2">
      <c r="A22" s="11"/>
      <c r="B22" s="12" t="s">
        <v>16</v>
      </c>
      <c r="C22" s="21">
        <f>'744'!C22+'863'!C22+'862'!C22+'859'!C22+'858'!C22+'8012'!C22+'9779'!C22+'9780'!C22+'9781'!C22+0.5</f>
        <v>294.74018859395818</v>
      </c>
    </row>
    <row r="23" spans="1:3" x14ac:dyDescent="0.2">
      <c r="A23" s="11"/>
      <c r="B23" s="12" t="s">
        <v>17</v>
      </c>
      <c r="C23" s="21">
        <f>'744'!C23+'863'!C23+'862'!C23+'859'!C23+'858'!C23+'8012'!C23+'9779'!C23+'9780'!C23+'9781'!C23-0.5</f>
        <v>1620.0677996723346</v>
      </c>
    </row>
    <row r="24" spans="1:3" x14ac:dyDescent="0.2">
      <c r="A24" s="11"/>
      <c r="B24" s="12" t="s">
        <v>18</v>
      </c>
      <c r="C24" s="21">
        <f>'744'!C24+'863'!C24+'862'!C24+'859'!C24+'858'!C24+'8012'!C24+'9779'!C24+'9780'!C24+'9781'!C24</f>
        <v>0</v>
      </c>
    </row>
    <row r="25" spans="1:3" x14ac:dyDescent="0.2">
      <c r="A25" s="11"/>
      <c r="B25" s="12" t="s">
        <v>19</v>
      </c>
      <c r="C25" s="21">
        <f>'744'!C25+'863'!C25+'862'!C25+'859'!C25+'858'!C25+'8012'!C25+'9779'!C25+'9780'!C25+'9781'!C25</f>
        <v>0</v>
      </c>
    </row>
    <row r="26" spans="1:3" x14ac:dyDescent="0.2">
      <c r="A26" s="11"/>
      <c r="B26" s="12" t="s">
        <v>20</v>
      </c>
      <c r="C26" s="21">
        <f>'744'!C26+'863'!C26+'862'!C26+'859'!C26+'858'!C26+'8012'!C26+'9779'!C26+'9780'!C26+'9781'!C26</f>
        <v>1.0060000000000001E-2</v>
      </c>
    </row>
    <row r="27" spans="1:3" x14ac:dyDescent="0.2">
      <c r="A27" s="11"/>
      <c r="B27" s="12" t="s">
        <v>21</v>
      </c>
      <c r="C27" s="21">
        <f>'744'!C27+'863'!C27+'862'!C27+'859'!C27+'858'!C27+'8012'!C27+'9779'!C27+'9780'!C27+'9781'!C27</f>
        <v>674.49143000000004</v>
      </c>
    </row>
    <row r="28" spans="1:3" x14ac:dyDescent="0.2">
      <c r="A28" s="11"/>
      <c r="B28" s="12" t="s">
        <v>22</v>
      </c>
      <c r="C28" s="21">
        <f>'744'!C28+'863'!C28+'862'!C28+'859'!C28+'858'!C28+'8012'!C28+'9779'!C28+'9780'!C28+'9781'!C28</f>
        <v>0</v>
      </c>
    </row>
    <row r="29" spans="1:3" x14ac:dyDescent="0.2">
      <c r="A29" s="11"/>
      <c r="B29" s="12" t="s">
        <v>23</v>
      </c>
      <c r="C29" s="21">
        <f>'744'!C29+'863'!C29+'862'!C29+'859'!C29+'858'!C29+'8012'!C29+'9779'!C29+'9780'!C29+'9781'!C29-1</f>
        <v>486.12615</v>
      </c>
    </row>
    <row r="30" spans="1:3" x14ac:dyDescent="0.2">
      <c r="A30" s="11"/>
      <c r="B30" s="12"/>
      <c r="C30" s="22">
        <f>'744'!C30+'863'!C30+'862'!C30+'859'!C30+'858'!C30+'8012'!C30+'9779'!C30+'9780'!C30+'9781'!C30</f>
        <v>0</v>
      </c>
    </row>
    <row r="31" spans="1:3" ht="15" x14ac:dyDescent="0.25">
      <c r="A31" s="11">
        <v>5</v>
      </c>
      <c r="B31" s="9" t="s">
        <v>24</v>
      </c>
      <c r="C31" s="10">
        <f>'744'!C31+'863'!C31+'862'!C31+'859'!C31+'858'!C31+'8012'!C31+'9779'!C31+'9780'!C31+'9781'!C31</f>
        <v>0</v>
      </c>
    </row>
    <row r="32" spans="1:3" x14ac:dyDescent="0.2">
      <c r="A32" s="11" t="s">
        <v>9</v>
      </c>
      <c r="B32" s="12" t="s">
        <v>25</v>
      </c>
      <c r="C32" s="21">
        <f>'744'!C32+'863'!C32+'862'!C32+'859'!C32+'858'!C32+'8012'!C32+'9779'!C32+'9780'!C32+'9781'!C32</f>
        <v>0</v>
      </c>
    </row>
    <row r="33" spans="1:3" x14ac:dyDescent="0.2">
      <c r="A33" s="11" t="s">
        <v>11</v>
      </c>
      <c r="B33" s="12" t="s">
        <v>26</v>
      </c>
      <c r="C33" s="21">
        <f>'744'!C33+'863'!C33+'862'!C33+'859'!C33+'858'!C33+'8012'!C33+'9779'!C33+'9780'!C33+'9781'!C33</f>
        <v>0</v>
      </c>
    </row>
    <row r="34" spans="1:3" x14ac:dyDescent="0.2">
      <c r="A34" s="11"/>
      <c r="B34" s="12"/>
      <c r="C34" s="22">
        <f>'744'!C34+'863'!C34+'862'!C34+'859'!C34+'858'!C34+'8012'!C34+'9779'!C34+'9780'!C34+'9781'!C34</f>
        <v>0</v>
      </c>
    </row>
    <row r="35" spans="1:3" ht="15" x14ac:dyDescent="0.25">
      <c r="A35" s="11">
        <v>6</v>
      </c>
      <c r="B35" s="9" t="s">
        <v>27</v>
      </c>
      <c r="C35" s="10">
        <f>'744'!C35+'863'!C35+'862'!C35+'859'!C35+'858'!C35+'8012'!C35+'9779'!C35+'9780'!C35+'9781'!C35</f>
        <v>4365.6358940789669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1.1569067624252706E-3</v>
      </c>
    </row>
    <row r="39" spans="1:3" ht="15" x14ac:dyDescent="0.25">
      <c r="A39" s="11" t="s">
        <v>11</v>
      </c>
      <c r="B39" s="12" t="s">
        <v>31</v>
      </c>
      <c r="C39" s="18">
        <f>C35/C62</f>
        <v>1.4382334316544632E-3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f>'744'!C41+'863'!C41+'862'!C41+'859'!C41+'858'!C41+'8012'!C41+'9779'!C41+'9780'!C41+'9781'!C41</f>
        <v>2706524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ht="15" x14ac:dyDescent="0.25">
      <c r="B62" s="30" t="s">
        <v>32</v>
      </c>
      <c r="C62" s="10">
        <f>'744'!C62+'863'!C62+'862'!C62+'859'!C62+'858'!C62+'8012'!C62+'9779'!C62+'9780'!C62+'9781'!C62</f>
        <v>3035415.3908499987</v>
      </c>
    </row>
    <row r="63" spans="1:3" ht="15.75" thickBot="1" x14ac:dyDescent="0.3">
      <c r="B63" s="32" t="s">
        <v>33</v>
      </c>
      <c r="C63" s="10">
        <f>'744'!C63+'863'!C63+'862'!C63+'859'!C63+'858'!C63+'8012'!C63+'9779'!C63+'9780'!C63+'9781'!C63</f>
        <v>3364306.7816999978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rightToLeft="1" workbookViewId="0">
      <selection activeCell="D5" sqref="D5"/>
    </sheetView>
  </sheetViews>
  <sheetFormatPr defaultRowHeight="14.25" x14ac:dyDescent="0.2"/>
  <cols>
    <col min="1" max="1" width="4.5" customWidth="1"/>
    <col min="2" max="2" width="8.75" customWidth="1"/>
    <col min="3" max="3" width="61.5" customWidth="1"/>
    <col min="4" max="4" width="11" customWidth="1"/>
  </cols>
  <sheetData>
    <row r="1" spans="1:4" ht="15" x14ac:dyDescent="0.25">
      <c r="A1" s="33" t="s">
        <v>87</v>
      </c>
      <c r="B1" s="33"/>
    </row>
    <row r="2" spans="1:4" x14ac:dyDescent="0.2">
      <c r="A2" s="34" t="s">
        <v>100</v>
      </c>
      <c r="B2" s="35"/>
      <c r="C2" s="36"/>
      <c r="D2" s="3">
        <v>43830</v>
      </c>
    </row>
    <row r="3" spans="1:4" ht="15.75" x14ac:dyDescent="0.25">
      <c r="A3" s="91" t="s">
        <v>98</v>
      </c>
      <c r="B3" s="34"/>
      <c r="C3" s="37"/>
    </row>
    <row r="4" spans="1:4" ht="16.5" thickBot="1" x14ac:dyDescent="0.3">
      <c r="A4" s="93" t="s">
        <v>99</v>
      </c>
      <c r="B4" s="92"/>
    </row>
    <row r="5" spans="1:4" ht="15" customHeight="1" thickBot="1" x14ac:dyDescent="0.25">
      <c r="A5" s="38"/>
      <c r="B5" s="39"/>
      <c r="C5" s="40"/>
      <c r="D5" s="41" t="s">
        <v>1</v>
      </c>
    </row>
    <row r="6" spans="1:4" ht="15" customHeight="1" x14ac:dyDescent="0.2">
      <c r="A6" s="38" t="s">
        <v>34</v>
      </c>
      <c r="B6" s="39"/>
      <c r="C6" s="40"/>
      <c r="D6" s="41"/>
    </row>
    <row r="7" spans="1:4" x14ac:dyDescent="0.2">
      <c r="A7" s="42" t="s">
        <v>35</v>
      </c>
      <c r="B7" s="43"/>
      <c r="C7" s="44"/>
      <c r="D7" s="45"/>
    </row>
    <row r="8" spans="1:4" x14ac:dyDescent="0.2">
      <c r="A8" s="46"/>
      <c r="B8" s="47">
        <v>1</v>
      </c>
      <c r="C8" s="48" t="s">
        <v>36</v>
      </c>
      <c r="D8" s="49">
        <v>5.5154456441366504</v>
      </c>
    </row>
    <row r="9" spans="1:4" x14ac:dyDescent="0.2">
      <c r="A9" s="46"/>
      <c r="B9" s="47">
        <v>2</v>
      </c>
      <c r="C9" s="48" t="s">
        <v>37</v>
      </c>
      <c r="D9" s="49">
        <v>0</v>
      </c>
    </row>
    <row r="10" spans="1:4" x14ac:dyDescent="0.2">
      <c r="A10" s="46"/>
      <c r="B10" s="47">
        <v>3</v>
      </c>
      <c r="C10" s="48" t="s">
        <v>37</v>
      </c>
      <c r="D10" s="49">
        <v>0</v>
      </c>
    </row>
    <row r="11" spans="1:4" x14ac:dyDescent="0.2">
      <c r="A11" s="50" t="s">
        <v>38</v>
      </c>
      <c r="B11" s="51"/>
      <c r="C11" s="52"/>
      <c r="D11" s="45"/>
    </row>
    <row r="12" spans="1:4" x14ac:dyDescent="0.2">
      <c r="A12" s="53"/>
      <c r="B12" s="54">
        <v>1</v>
      </c>
      <c r="C12" s="48" t="s">
        <v>36</v>
      </c>
      <c r="D12" s="49">
        <f>534.116711409815+1</f>
        <v>535.11671140981503</v>
      </c>
    </row>
    <row r="13" spans="1:4" x14ac:dyDescent="0.2">
      <c r="A13" s="53"/>
      <c r="B13" s="47">
        <v>2</v>
      </c>
      <c r="C13" s="48" t="s">
        <v>39</v>
      </c>
      <c r="D13" s="49">
        <v>146.8819180008615</v>
      </c>
    </row>
    <row r="14" spans="1:4" x14ac:dyDescent="0.2">
      <c r="A14" s="53"/>
      <c r="B14" s="54">
        <v>3</v>
      </c>
      <c r="C14" s="48" t="s">
        <v>37</v>
      </c>
      <c r="D14" s="49">
        <v>0</v>
      </c>
    </row>
    <row r="15" spans="1:4" x14ac:dyDescent="0.2">
      <c r="A15" s="53"/>
      <c r="B15" s="47">
        <v>4</v>
      </c>
      <c r="C15" s="48" t="s">
        <v>37</v>
      </c>
      <c r="D15" s="49">
        <v>0</v>
      </c>
    </row>
    <row r="16" spans="1:4" x14ac:dyDescent="0.2">
      <c r="A16" s="53"/>
      <c r="B16" s="54">
        <v>5</v>
      </c>
      <c r="C16" s="48" t="s">
        <v>37</v>
      </c>
      <c r="D16" s="49">
        <v>0</v>
      </c>
    </row>
    <row r="17" spans="1:5" x14ac:dyDescent="0.2">
      <c r="A17" s="53"/>
      <c r="B17" s="47">
        <v>6</v>
      </c>
      <c r="C17" s="48" t="s">
        <v>37</v>
      </c>
      <c r="D17" s="49">
        <v>0</v>
      </c>
    </row>
    <row r="18" spans="1:5" x14ac:dyDescent="0.2">
      <c r="A18" s="53"/>
      <c r="B18" s="54">
        <v>7</v>
      </c>
      <c r="C18" s="48" t="s">
        <v>37</v>
      </c>
      <c r="D18" s="49">
        <v>0</v>
      </c>
    </row>
    <row r="19" spans="1:5" x14ac:dyDescent="0.2">
      <c r="A19" s="53"/>
      <c r="B19" s="47">
        <v>8</v>
      </c>
      <c r="C19" s="48" t="s">
        <v>37</v>
      </c>
      <c r="D19" s="49">
        <v>0</v>
      </c>
    </row>
    <row r="20" spans="1:5" x14ac:dyDescent="0.2">
      <c r="A20" s="55" t="s">
        <v>40</v>
      </c>
      <c r="B20" s="51"/>
      <c r="C20" s="56"/>
      <c r="D20" s="57">
        <f>SUM(D8:D19)</f>
        <v>687.51407505481325</v>
      </c>
    </row>
    <row r="21" spans="1:5" x14ac:dyDescent="0.2">
      <c r="A21" s="55"/>
      <c r="B21" s="58"/>
      <c r="C21" s="58"/>
      <c r="D21" s="45"/>
    </row>
    <row r="22" spans="1:5" x14ac:dyDescent="0.2">
      <c r="A22" s="55" t="s">
        <v>41</v>
      </c>
      <c r="B22" s="58"/>
      <c r="C22" s="44"/>
      <c r="D22" s="45"/>
    </row>
    <row r="23" spans="1:5" x14ac:dyDescent="0.2">
      <c r="A23" s="55" t="s">
        <v>35</v>
      </c>
      <c r="B23" s="58"/>
      <c r="C23" s="52"/>
      <c r="D23" s="59"/>
    </row>
    <row r="24" spans="1:5" x14ac:dyDescent="0.2">
      <c r="A24" s="60"/>
      <c r="B24" s="48">
        <v>1</v>
      </c>
      <c r="C24" s="48" t="s">
        <v>37</v>
      </c>
      <c r="D24" s="49">
        <v>0</v>
      </c>
    </row>
    <row r="25" spans="1:5" x14ac:dyDescent="0.2">
      <c r="A25" s="60"/>
      <c r="B25" s="48">
        <v>2</v>
      </c>
      <c r="C25" s="48" t="s">
        <v>37</v>
      </c>
      <c r="D25" s="49">
        <v>0</v>
      </c>
    </row>
    <row r="26" spans="1:5" x14ac:dyDescent="0.2">
      <c r="A26" s="60"/>
      <c r="B26" s="48">
        <v>3</v>
      </c>
      <c r="C26" s="48" t="s">
        <v>37</v>
      </c>
      <c r="D26" s="49">
        <v>0</v>
      </c>
    </row>
    <row r="27" spans="1:5" x14ac:dyDescent="0.2">
      <c r="A27" s="55" t="s">
        <v>38</v>
      </c>
      <c r="B27" s="58"/>
      <c r="C27" s="52"/>
      <c r="D27" s="45"/>
    </row>
    <row r="28" spans="1:5" x14ac:dyDescent="0.2">
      <c r="A28" s="60"/>
      <c r="B28" s="48">
        <v>1</v>
      </c>
      <c r="C28" s="48" t="s">
        <v>42</v>
      </c>
      <c r="D28" s="49">
        <f>37.1757552047438+33+0.5</f>
        <v>70.675755204743808</v>
      </c>
      <c r="E28" s="61"/>
    </row>
    <row r="29" spans="1:5" x14ac:dyDescent="0.2">
      <c r="A29" s="60"/>
      <c r="B29" s="48">
        <v>2</v>
      </c>
      <c r="C29" s="48" t="s">
        <v>43</v>
      </c>
      <c r="D29" s="49">
        <v>20.273162515820221</v>
      </c>
    </row>
    <row r="30" spans="1:5" x14ac:dyDescent="0.2">
      <c r="A30" s="60"/>
      <c r="B30" s="48">
        <v>3</v>
      </c>
      <c r="C30" s="48" t="s">
        <v>44</v>
      </c>
      <c r="D30" s="49">
        <f>8.38678094367287-0.3</f>
        <v>8.0867809436728688</v>
      </c>
    </row>
    <row r="31" spans="1:5" x14ac:dyDescent="0.2">
      <c r="A31" s="60"/>
      <c r="B31" s="48">
        <v>4</v>
      </c>
      <c r="C31" s="48" t="s">
        <v>45</v>
      </c>
      <c r="D31" s="49">
        <f>1.49090457967697-0.4</f>
        <v>1.0909045796769701</v>
      </c>
    </row>
    <row r="32" spans="1:5" x14ac:dyDescent="0.2">
      <c r="A32" s="60"/>
      <c r="B32" s="48">
        <v>5</v>
      </c>
      <c r="C32" s="48" t="s">
        <v>46</v>
      </c>
      <c r="D32" s="49">
        <f>0.49401599343484-0.49</f>
        <v>4.0159934348399928E-3</v>
      </c>
    </row>
    <row r="33" spans="1:4" x14ac:dyDescent="0.2">
      <c r="A33" s="60"/>
      <c r="B33" s="48">
        <v>6</v>
      </c>
      <c r="C33" s="48"/>
      <c r="D33" s="49"/>
    </row>
    <row r="34" spans="1:4" x14ac:dyDescent="0.2">
      <c r="A34" s="60"/>
      <c r="B34" s="48">
        <v>7</v>
      </c>
      <c r="C34" s="48" t="s">
        <v>37</v>
      </c>
      <c r="D34" s="49">
        <v>0</v>
      </c>
    </row>
    <row r="35" spans="1:4" x14ac:dyDescent="0.2">
      <c r="A35" s="60"/>
      <c r="B35" s="48">
        <v>8</v>
      </c>
      <c r="C35" s="48" t="s">
        <v>37</v>
      </c>
      <c r="D35" s="49">
        <v>0</v>
      </c>
    </row>
    <row r="36" spans="1:4" x14ac:dyDescent="0.2">
      <c r="A36" s="55" t="s">
        <v>47</v>
      </c>
      <c r="B36" s="51"/>
      <c r="C36" s="56"/>
      <c r="D36" s="57">
        <f>SUM(D28:D35)</f>
        <v>100.1306192373487</v>
      </c>
    </row>
    <row r="37" spans="1:4" x14ac:dyDescent="0.2">
      <c r="A37" s="55"/>
      <c r="B37" s="58"/>
      <c r="C37" s="58"/>
      <c r="D37" s="45"/>
    </row>
    <row r="38" spans="1:4" x14ac:dyDescent="0.2">
      <c r="A38" s="55" t="s">
        <v>48</v>
      </c>
      <c r="B38" s="51"/>
      <c r="C38" s="56"/>
      <c r="D38" s="45"/>
    </row>
    <row r="39" spans="1:4" x14ac:dyDescent="0.2">
      <c r="A39" s="53"/>
      <c r="B39" s="54">
        <v>1</v>
      </c>
      <c r="C39" s="62" t="s">
        <v>49</v>
      </c>
      <c r="D39" s="49">
        <v>34.515529999999991</v>
      </c>
    </row>
    <row r="40" spans="1:4" x14ac:dyDescent="0.2">
      <c r="A40" s="53"/>
      <c r="B40" s="54">
        <v>2</v>
      </c>
      <c r="C40" s="62" t="s">
        <v>50</v>
      </c>
      <c r="D40" s="49">
        <v>7.0263100000000005</v>
      </c>
    </row>
    <row r="41" spans="1:4" x14ac:dyDescent="0.2">
      <c r="A41" s="53"/>
      <c r="B41" s="54">
        <v>3</v>
      </c>
      <c r="C41" s="62" t="s">
        <v>46</v>
      </c>
      <c r="D41" s="49">
        <f>5.65687-0.2</f>
        <v>5.4568699999999994</v>
      </c>
    </row>
    <row r="42" spans="1:4" x14ac:dyDescent="0.2">
      <c r="A42" s="53"/>
      <c r="B42" s="54">
        <v>4</v>
      </c>
      <c r="C42" s="62" t="s">
        <v>51</v>
      </c>
      <c r="D42" s="49">
        <v>4.5420299999999987</v>
      </c>
    </row>
    <row r="43" spans="1:4" x14ac:dyDescent="0.2">
      <c r="A43" s="53"/>
      <c r="B43" s="54">
        <v>5</v>
      </c>
      <c r="C43" s="62" t="s">
        <v>52</v>
      </c>
      <c r="D43" s="49">
        <v>3.81955</v>
      </c>
    </row>
    <row r="44" spans="1:4" x14ac:dyDescent="0.2">
      <c r="A44" s="53"/>
      <c r="B44" s="54">
        <v>6</v>
      </c>
      <c r="C44" s="62" t="s">
        <v>37</v>
      </c>
      <c r="D44" s="49">
        <v>0</v>
      </c>
    </row>
    <row r="45" spans="1:4" x14ac:dyDescent="0.2">
      <c r="A45" s="53"/>
      <c r="B45" s="54">
        <v>7</v>
      </c>
      <c r="C45" s="62" t="s">
        <v>37</v>
      </c>
      <c r="D45" s="49">
        <v>0</v>
      </c>
    </row>
    <row r="46" spans="1:4" x14ac:dyDescent="0.2">
      <c r="A46" s="53"/>
      <c r="B46" s="47">
        <v>8</v>
      </c>
      <c r="C46" s="62" t="s">
        <v>37</v>
      </c>
      <c r="D46" s="49">
        <v>0</v>
      </c>
    </row>
    <row r="47" spans="1:4" x14ac:dyDescent="0.2">
      <c r="A47" s="55" t="s">
        <v>53</v>
      </c>
      <c r="B47" s="51"/>
      <c r="C47" s="56"/>
      <c r="D47" s="57">
        <f>SUM(D39:D46)+0.5</f>
        <v>55.860289999999992</v>
      </c>
    </row>
    <row r="48" spans="1:4" x14ac:dyDescent="0.2">
      <c r="A48" s="55"/>
      <c r="B48" s="58"/>
      <c r="C48" s="58"/>
      <c r="D48" s="45"/>
    </row>
    <row r="49" spans="1:4" x14ac:dyDescent="0.2">
      <c r="A49" s="55" t="s">
        <v>54</v>
      </c>
      <c r="B49" s="51"/>
      <c r="C49" s="56"/>
      <c r="D49" s="45"/>
    </row>
    <row r="50" spans="1:4" x14ac:dyDescent="0.2">
      <c r="A50" s="53"/>
      <c r="B50" s="54">
        <v>1</v>
      </c>
      <c r="C50" s="62" t="s">
        <v>55</v>
      </c>
      <c r="D50" s="49">
        <f>110.4233759154+0.5</f>
        <v>110.9233759154</v>
      </c>
    </row>
    <row r="51" spans="1:4" x14ac:dyDescent="0.2">
      <c r="A51" s="53"/>
      <c r="B51" s="54">
        <v>2</v>
      </c>
      <c r="C51" s="62" t="s">
        <v>56</v>
      </c>
      <c r="D51" s="49">
        <v>77.480883326812545</v>
      </c>
    </row>
    <row r="52" spans="1:4" x14ac:dyDescent="0.2">
      <c r="A52" s="53"/>
      <c r="B52" s="54">
        <v>3</v>
      </c>
      <c r="C52" s="62" t="s">
        <v>57</v>
      </c>
      <c r="D52" s="49">
        <v>74.578959667787558</v>
      </c>
    </row>
    <row r="53" spans="1:4" x14ac:dyDescent="0.2">
      <c r="A53" s="53"/>
      <c r="B53" s="54">
        <v>4</v>
      </c>
      <c r="C53" s="62" t="s">
        <v>58</v>
      </c>
      <c r="D53" s="49">
        <v>63.23448520001547</v>
      </c>
    </row>
    <row r="54" spans="1:4" x14ac:dyDescent="0.2">
      <c r="A54" s="53"/>
      <c r="B54" s="54">
        <v>5</v>
      </c>
      <c r="C54" s="62" t="s">
        <v>59</v>
      </c>
      <c r="D54" s="49">
        <v>60.899095416037234</v>
      </c>
    </row>
    <row r="55" spans="1:4" x14ac:dyDescent="0.2">
      <c r="A55" s="53"/>
      <c r="B55" s="54">
        <v>6</v>
      </c>
      <c r="C55" s="62" t="s">
        <v>60</v>
      </c>
      <c r="D55" s="49">
        <v>32.564999999999991</v>
      </c>
    </row>
    <row r="56" spans="1:4" x14ac:dyDescent="0.2">
      <c r="A56" s="53"/>
      <c r="B56" s="54">
        <v>7</v>
      </c>
      <c r="C56" s="62" t="s">
        <v>61</v>
      </c>
      <c r="D56" s="49">
        <v>26.931206866991271</v>
      </c>
    </row>
    <row r="57" spans="1:4" x14ac:dyDescent="0.2">
      <c r="A57" s="53"/>
      <c r="B57" s="54">
        <v>8</v>
      </c>
      <c r="C57" s="62" t="s">
        <v>37</v>
      </c>
      <c r="D57" s="49">
        <v>0</v>
      </c>
    </row>
    <row r="58" spans="1:4" x14ac:dyDescent="0.2">
      <c r="A58" s="55" t="s">
        <v>14</v>
      </c>
      <c r="B58" s="58"/>
      <c r="C58" s="58"/>
      <c r="D58" s="57">
        <f>SUM(D50:D57)</f>
        <v>446.61300639304409</v>
      </c>
    </row>
    <row r="59" spans="1:4" x14ac:dyDescent="0.2">
      <c r="A59" s="55"/>
      <c r="B59" s="58"/>
      <c r="C59" s="58"/>
      <c r="D59" s="45"/>
    </row>
    <row r="60" spans="1:4" x14ac:dyDescent="0.2">
      <c r="A60" s="55" t="s">
        <v>62</v>
      </c>
      <c r="B60" s="58"/>
      <c r="C60" s="58"/>
      <c r="D60" s="45"/>
    </row>
    <row r="61" spans="1:4" x14ac:dyDescent="0.2">
      <c r="A61" s="53"/>
      <c r="B61" s="54">
        <v>1</v>
      </c>
      <c r="C61" s="62" t="s">
        <v>36</v>
      </c>
      <c r="D61" s="49"/>
    </row>
    <row r="62" spans="1:4" x14ac:dyDescent="0.2">
      <c r="A62" s="53"/>
      <c r="B62" s="54"/>
      <c r="C62" s="58" t="s">
        <v>63</v>
      </c>
      <c r="D62" s="57"/>
    </row>
    <row r="63" spans="1:4" x14ac:dyDescent="0.2">
      <c r="A63" s="55"/>
      <c r="B63" s="58"/>
      <c r="C63" s="62"/>
      <c r="D63" s="45"/>
    </row>
    <row r="64" spans="1:4" x14ac:dyDescent="0.2">
      <c r="A64" s="55" t="s">
        <v>64</v>
      </c>
      <c r="B64" s="58"/>
      <c r="C64" s="58"/>
      <c r="D64" s="45"/>
    </row>
    <row r="65" spans="1:4" x14ac:dyDescent="0.2">
      <c r="A65" s="53"/>
      <c r="B65" s="54">
        <v>1</v>
      </c>
      <c r="C65" s="62" t="s">
        <v>65</v>
      </c>
      <c r="D65" s="49"/>
    </row>
    <row r="66" spans="1:4" x14ac:dyDescent="0.2">
      <c r="A66" s="53"/>
      <c r="B66" s="54"/>
      <c r="C66" s="58" t="s">
        <v>26</v>
      </c>
      <c r="D66" s="57"/>
    </row>
    <row r="67" spans="1:4" x14ac:dyDescent="0.2">
      <c r="A67" s="53"/>
      <c r="B67" s="54"/>
      <c r="C67" s="58"/>
      <c r="D67" s="45"/>
    </row>
    <row r="68" spans="1:4" x14ac:dyDescent="0.2">
      <c r="A68" s="55"/>
      <c r="B68" s="58"/>
      <c r="C68" s="58" t="s">
        <v>66</v>
      </c>
      <c r="D68" s="57">
        <f>D58+D47+D36+D20+0.5</f>
        <v>1290.617990685206</v>
      </c>
    </row>
    <row r="69" spans="1:4" x14ac:dyDescent="0.2">
      <c r="A69" s="55"/>
      <c r="B69" s="58"/>
      <c r="C69" s="58"/>
      <c r="D69" s="45"/>
    </row>
    <row r="70" spans="1:4" ht="15.75" thickBot="1" x14ac:dyDescent="0.3">
      <c r="A70" s="63"/>
      <c r="B70" s="64"/>
      <c r="C70" s="65" t="s">
        <v>30</v>
      </c>
      <c r="D70" s="23">
        <f>'מגדל תגמולים- נספח 1'!C41</f>
        <v>2706524</v>
      </c>
    </row>
    <row r="72" spans="1:4" x14ac:dyDescent="0.2">
      <c r="D72" s="66"/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rightToLeft="1" workbookViewId="0">
      <selection activeCell="C6" sqref="C6"/>
    </sheetView>
  </sheetViews>
  <sheetFormatPr defaultRowHeight="14.25" x14ac:dyDescent="0.2"/>
  <cols>
    <col min="1" max="1" width="4.5" customWidth="1"/>
    <col min="2" max="2" width="70" customWidth="1"/>
    <col min="3" max="3" width="9.875" bestFit="1" customWidth="1"/>
  </cols>
  <sheetData>
    <row r="1" spans="1:3" ht="15" x14ac:dyDescent="0.25">
      <c r="A1" s="33" t="s">
        <v>87</v>
      </c>
      <c r="B1" s="35"/>
    </row>
    <row r="2" spans="1:3" x14ac:dyDescent="0.2">
      <c r="A2" s="34" t="s">
        <v>101</v>
      </c>
      <c r="B2" s="35"/>
      <c r="C2" s="3">
        <v>43830</v>
      </c>
    </row>
    <row r="3" spans="1:3" x14ac:dyDescent="0.2">
      <c r="A3" s="35"/>
      <c r="B3" s="67"/>
      <c r="C3" s="35"/>
    </row>
    <row r="4" spans="1:3" ht="15.75" x14ac:dyDescent="0.25">
      <c r="A4" s="91" t="s">
        <v>98</v>
      </c>
      <c r="B4" s="67"/>
      <c r="C4" s="35"/>
    </row>
    <row r="5" spans="1:3" ht="16.5" thickBot="1" x14ac:dyDescent="0.3">
      <c r="A5" s="93" t="s">
        <v>99</v>
      </c>
    </row>
    <row r="6" spans="1:3" x14ac:dyDescent="0.2">
      <c r="A6" s="68"/>
      <c r="B6" s="69"/>
      <c r="C6" s="70" t="s">
        <v>1</v>
      </c>
    </row>
    <row r="7" spans="1:3" x14ac:dyDescent="0.2">
      <c r="A7" s="55" t="s">
        <v>67</v>
      </c>
      <c r="B7" s="52"/>
      <c r="C7" s="71"/>
    </row>
    <row r="8" spans="1:3" x14ac:dyDescent="0.2">
      <c r="A8" s="53">
        <v>1</v>
      </c>
      <c r="B8" s="72" t="s">
        <v>46</v>
      </c>
      <c r="C8" s="73">
        <v>1656.5791741911794</v>
      </c>
    </row>
    <row r="9" spans="1:3" x14ac:dyDescent="0.2">
      <c r="A9" s="53">
        <v>2</v>
      </c>
      <c r="B9" s="72" t="s">
        <v>68</v>
      </c>
      <c r="C9" s="73">
        <v>258.42881407511305</v>
      </c>
    </row>
    <row r="10" spans="1:3" x14ac:dyDescent="0.2">
      <c r="A10" s="53">
        <v>3</v>
      </c>
      <c r="B10" s="72" t="s">
        <v>37</v>
      </c>
      <c r="C10" s="73">
        <v>0</v>
      </c>
    </row>
    <row r="11" spans="1:3" x14ac:dyDescent="0.2">
      <c r="A11" s="53">
        <v>4</v>
      </c>
      <c r="B11" s="72" t="s">
        <v>37</v>
      </c>
      <c r="C11" s="73">
        <v>0</v>
      </c>
    </row>
    <row r="12" spans="1:3" x14ac:dyDescent="0.2">
      <c r="A12" s="53">
        <v>5</v>
      </c>
      <c r="B12" s="72" t="s">
        <v>37</v>
      </c>
      <c r="C12" s="73">
        <v>0</v>
      </c>
    </row>
    <row r="13" spans="1:3" x14ac:dyDescent="0.2">
      <c r="A13" s="53">
        <v>6</v>
      </c>
      <c r="B13" s="72" t="s">
        <v>37</v>
      </c>
      <c r="C13" s="73">
        <v>0</v>
      </c>
    </row>
    <row r="14" spans="1:3" x14ac:dyDescent="0.2">
      <c r="A14" s="53">
        <v>7</v>
      </c>
      <c r="B14" s="72" t="s">
        <v>37</v>
      </c>
      <c r="C14" s="73">
        <v>0</v>
      </c>
    </row>
    <row r="15" spans="1:3" x14ac:dyDescent="0.2">
      <c r="A15" s="53">
        <v>8</v>
      </c>
      <c r="B15" s="72" t="s">
        <v>37</v>
      </c>
      <c r="C15" s="73">
        <v>0</v>
      </c>
    </row>
    <row r="16" spans="1:3" x14ac:dyDescent="0.2">
      <c r="A16" s="42" t="s">
        <v>69</v>
      </c>
      <c r="B16" s="72"/>
      <c r="C16" s="74">
        <v>1915.0079882662924</v>
      </c>
    </row>
    <row r="17" spans="1:3" x14ac:dyDescent="0.2">
      <c r="A17" s="75"/>
      <c r="B17" s="76"/>
      <c r="C17" s="77"/>
    </row>
    <row r="18" spans="1:3" x14ac:dyDescent="0.2">
      <c r="A18" s="42" t="s">
        <v>70</v>
      </c>
      <c r="B18" s="72"/>
      <c r="C18" s="77"/>
    </row>
    <row r="19" spans="1:3" x14ac:dyDescent="0.2">
      <c r="A19" s="53">
        <v>1</v>
      </c>
      <c r="B19" s="72" t="s">
        <v>36</v>
      </c>
      <c r="C19" s="73"/>
    </row>
    <row r="20" spans="1:3" x14ac:dyDescent="0.2">
      <c r="A20" s="55" t="s">
        <v>71</v>
      </c>
      <c r="B20" s="52"/>
      <c r="C20" s="74"/>
    </row>
    <row r="21" spans="1:3" x14ac:dyDescent="0.2">
      <c r="A21" s="60"/>
      <c r="B21" s="78"/>
      <c r="C21" s="77"/>
    </row>
    <row r="22" spans="1:3" x14ac:dyDescent="0.2">
      <c r="A22" s="50" t="s">
        <v>72</v>
      </c>
      <c r="B22" s="79"/>
      <c r="C22" s="77"/>
    </row>
    <row r="23" spans="1:3" x14ac:dyDescent="0.2">
      <c r="A23" s="53">
        <v>1</v>
      </c>
      <c r="B23" s="72" t="s">
        <v>36</v>
      </c>
      <c r="C23" s="73"/>
    </row>
    <row r="24" spans="1:3" x14ac:dyDescent="0.2">
      <c r="A24" s="42" t="s">
        <v>19</v>
      </c>
      <c r="B24" s="72"/>
      <c r="C24" s="74"/>
    </row>
    <row r="25" spans="1:3" x14ac:dyDescent="0.2">
      <c r="A25" s="75"/>
      <c r="B25" s="72"/>
      <c r="C25" s="77"/>
    </row>
    <row r="26" spans="1:3" x14ac:dyDescent="0.2">
      <c r="A26" s="42" t="s">
        <v>73</v>
      </c>
      <c r="B26" s="72"/>
      <c r="C26" s="77"/>
    </row>
    <row r="27" spans="1:3" x14ac:dyDescent="0.2">
      <c r="A27" s="42" t="s">
        <v>74</v>
      </c>
      <c r="B27" s="76" t="s">
        <v>75</v>
      </c>
      <c r="C27" s="77"/>
    </row>
    <row r="28" spans="1:3" x14ac:dyDescent="0.2">
      <c r="A28" s="53">
        <v>1</v>
      </c>
      <c r="B28" s="72"/>
      <c r="C28" s="73"/>
    </row>
    <row r="29" spans="1:3" x14ac:dyDescent="0.2">
      <c r="A29" s="53">
        <v>2</v>
      </c>
      <c r="B29" s="72"/>
      <c r="C29" s="73"/>
    </row>
    <row r="30" spans="1:3" x14ac:dyDescent="0.2">
      <c r="A30" s="55" t="s">
        <v>76</v>
      </c>
      <c r="B30" s="80" t="s">
        <v>77</v>
      </c>
      <c r="C30" s="77"/>
    </row>
    <row r="31" spans="1:3" x14ac:dyDescent="0.2">
      <c r="A31" s="81">
        <v>1</v>
      </c>
      <c r="B31" s="79" t="s">
        <v>46</v>
      </c>
      <c r="C31" s="73">
        <f>396.77717-1.8</f>
        <v>394.97717</v>
      </c>
    </row>
    <row r="32" spans="1:3" x14ac:dyDescent="0.2">
      <c r="A32" s="81">
        <v>2</v>
      </c>
      <c r="B32" s="79" t="s">
        <v>78</v>
      </c>
      <c r="C32" s="73">
        <v>90.648979999999995</v>
      </c>
    </row>
    <row r="33" spans="1:3" x14ac:dyDescent="0.2">
      <c r="A33" s="81">
        <v>3</v>
      </c>
      <c r="B33" s="79" t="s">
        <v>37</v>
      </c>
      <c r="C33" s="73">
        <v>0</v>
      </c>
    </row>
    <row r="34" spans="1:3" x14ac:dyDescent="0.2">
      <c r="A34" s="81">
        <v>4</v>
      </c>
      <c r="B34" s="79" t="s">
        <v>37</v>
      </c>
      <c r="C34" s="73">
        <v>0</v>
      </c>
    </row>
    <row r="35" spans="1:3" x14ac:dyDescent="0.2">
      <c r="A35" s="81">
        <v>5</v>
      </c>
      <c r="B35" s="79" t="s">
        <v>37</v>
      </c>
      <c r="C35" s="73">
        <v>0</v>
      </c>
    </row>
    <row r="36" spans="1:3" x14ac:dyDescent="0.2">
      <c r="A36" s="81">
        <v>6</v>
      </c>
      <c r="B36" s="79" t="s">
        <v>37</v>
      </c>
      <c r="C36" s="73">
        <v>0</v>
      </c>
    </row>
    <row r="37" spans="1:3" x14ac:dyDescent="0.2">
      <c r="A37" s="50" t="s">
        <v>79</v>
      </c>
      <c r="B37" s="78"/>
      <c r="C37" s="74">
        <f>SUM(C31:C36)</f>
        <v>485.62615</v>
      </c>
    </row>
    <row r="38" spans="1:3" x14ac:dyDescent="0.2">
      <c r="A38" s="50"/>
      <c r="B38" s="79"/>
      <c r="C38" s="77"/>
    </row>
    <row r="39" spans="1:3" x14ac:dyDescent="0.2">
      <c r="A39" s="42" t="s">
        <v>80</v>
      </c>
      <c r="B39" s="72"/>
      <c r="C39" s="77"/>
    </row>
    <row r="40" spans="1:3" x14ac:dyDescent="0.2">
      <c r="A40" s="42" t="s">
        <v>74</v>
      </c>
      <c r="B40" s="76" t="s">
        <v>81</v>
      </c>
      <c r="C40" s="77"/>
    </row>
    <row r="41" spans="1:3" x14ac:dyDescent="0.2">
      <c r="A41" s="53">
        <v>1</v>
      </c>
      <c r="B41" s="52" t="s">
        <v>37</v>
      </c>
      <c r="C41" s="73">
        <v>0</v>
      </c>
    </row>
    <row r="42" spans="1:3" x14ac:dyDescent="0.2">
      <c r="A42" s="53">
        <v>2</v>
      </c>
      <c r="B42" s="52" t="s">
        <v>37</v>
      </c>
      <c r="C42" s="73">
        <v>0</v>
      </c>
    </row>
    <row r="43" spans="1:3" x14ac:dyDescent="0.2">
      <c r="A43" s="53">
        <v>3</v>
      </c>
      <c r="B43" s="52" t="s">
        <v>37</v>
      </c>
      <c r="C43" s="73">
        <v>0</v>
      </c>
    </row>
    <row r="44" spans="1:3" x14ac:dyDescent="0.2">
      <c r="A44" s="53">
        <v>4</v>
      </c>
      <c r="B44" s="52" t="s">
        <v>37</v>
      </c>
      <c r="C44" s="73">
        <v>0</v>
      </c>
    </row>
    <row r="45" spans="1:3" x14ac:dyDescent="0.2">
      <c r="A45" s="53">
        <v>5</v>
      </c>
      <c r="B45" s="52" t="s">
        <v>37</v>
      </c>
      <c r="C45" s="73">
        <v>0</v>
      </c>
    </row>
    <row r="46" spans="1:3" x14ac:dyDescent="0.2">
      <c r="A46" s="53">
        <v>6</v>
      </c>
      <c r="B46" s="52" t="s">
        <v>37</v>
      </c>
      <c r="C46" s="73">
        <v>0</v>
      </c>
    </row>
    <row r="47" spans="1:3" x14ac:dyDescent="0.2">
      <c r="A47" s="53">
        <v>7</v>
      </c>
      <c r="B47" s="52" t="s">
        <v>37</v>
      </c>
      <c r="C47" s="73">
        <v>0</v>
      </c>
    </row>
    <row r="48" spans="1:3" x14ac:dyDescent="0.2">
      <c r="A48" s="53">
        <v>8</v>
      </c>
      <c r="B48" s="52" t="s">
        <v>37</v>
      </c>
      <c r="C48" s="73">
        <v>0</v>
      </c>
    </row>
    <row r="49" spans="1:3" x14ac:dyDescent="0.2">
      <c r="A49" s="55" t="s">
        <v>76</v>
      </c>
      <c r="B49" s="76" t="s">
        <v>82</v>
      </c>
      <c r="C49" s="77"/>
    </row>
    <row r="50" spans="1:3" x14ac:dyDescent="0.2">
      <c r="A50" s="81">
        <v>1</v>
      </c>
      <c r="B50" s="52" t="s">
        <v>36</v>
      </c>
      <c r="C50" s="73">
        <f>435.23065-0.8</f>
        <v>434.43065000000001</v>
      </c>
    </row>
    <row r="51" spans="1:3" x14ac:dyDescent="0.2">
      <c r="A51" s="81">
        <v>2</v>
      </c>
      <c r="B51" s="52" t="s">
        <v>83</v>
      </c>
      <c r="C51" s="73">
        <v>129.67416000000006</v>
      </c>
    </row>
    <row r="52" spans="1:3" x14ac:dyDescent="0.2">
      <c r="A52" s="81">
        <v>3</v>
      </c>
      <c r="B52" s="52" t="s">
        <v>84</v>
      </c>
      <c r="C52" s="73">
        <v>109.59668000000008</v>
      </c>
    </row>
    <row r="53" spans="1:3" x14ac:dyDescent="0.2">
      <c r="A53" s="81">
        <v>4</v>
      </c>
      <c r="B53" s="52" t="s">
        <v>37</v>
      </c>
      <c r="C53" s="73">
        <v>0</v>
      </c>
    </row>
    <row r="54" spans="1:3" x14ac:dyDescent="0.2">
      <c r="A54" s="81">
        <v>5</v>
      </c>
      <c r="B54" s="52" t="s">
        <v>37</v>
      </c>
      <c r="C54" s="73">
        <v>0</v>
      </c>
    </row>
    <row r="55" spans="1:3" x14ac:dyDescent="0.2">
      <c r="A55" s="81">
        <v>6</v>
      </c>
      <c r="B55" s="52" t="s">
        <v>37</v>
      </c>
      <c r="C55" s="73">
        <v>0</v>
      </c>
    </row>
    <row r="56" spans="1:3" x14ac:dyDescent="0.2">
      <c r="A56" s="81">
        <v>7</v>
      </c>
      <c r="B56" s="52" t="s">
        <v>37</v>
      </c>
      <c r="C56" s="73">
        <v>0</v>
      </c>
    </row>
    <row r="57" spans="1:3" x14ac:dyDescent="0.2">
      <c r="A57" s="81">
        <v>8</v>
      </c>
      <c r="B57" s="52" t="s">
        <v>37</v>
      </c>
      <c r="C57" s="73">
        <v>0</v>
      </c>
    </row>
    <row r="58" spans="1:3" x14ac:dyDescent="0.2">
      <c r="A58" s="55" t="s">
        <v>85</v>
      </c>
      <c r="B58" s="78"/>
      <c r="C58" s="74">
        <f>SUM(C50:C57)</f>
        <v>673.70149000000015</v>
      </c>
    </row>
    <row r="59" spans="1:3" x14ac:dyDescent="0.2">
      <c r="A59" s="60"/>
      <c r="B59" s="78"/>
      <c r="C59" s="74"/>
    </row>
    <row r="60" spans="1:3" x14ac:dyDescent="0.2">
      <c r="A60" s="50" t="s">
        <v>86</v>
      </c>
      <c r="B60" s="79"/>
      <c r="C60" s="74">
        <f>C58+C37+C16+0.5</f>
        <v>3074.8356282662926</v>
      </c>
    </row>
    <row r="61" spans="1:3" x14ac:dyDescent="0.2">
      <c r="A61" s="60"/>
      <c r="B61" s="78"/>
      <c r="C61" s="77"/>
    </row>
    <row r="62" spans="1:3" ht="15.75" thickBot="1" x14ac:dyDescent="0.3">
      <c r="A62" s="82" t="s">
        <v>30</v>
      </c>
      <c r="B62" s="83"/>
      <c r="C62" s="23">
        <f>'מגדל תגמולים- נספח 1'!C41</f>
        <v>2706524</v>
      </c>
    </row>
    <row r="64" spans="1:3" x14ac:dyDescent="0.2">
      <c r="C64" s="66"/>
    </row>
    <row r="66" spans="3:3" x14ac:dyDescent="0.2">
      <c r="C66" s="66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topLeftCell="A13" zoomScaleNormal="100" workbookViewId="0">
      <selection activeCell="E12" sqref="E12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90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23.54801097807216</v>
      </c>
    </row>
    <row r="9" spans="1:3" x14ac:dyDescent="0.2">
      <c r="A9" s="11"/>
      <c r="B9" s="12" t="s">
        <v>3</v>
      </c>
      <c r="C9" s="21">
        <v>1.347985139876E-2</v>
      </c>
    </row>
    <row r="10" spans="1:3" x14ac:dyDescent="0.2">
      <c r="A10" s="11"/>
      <c r="B10" s="12" t="s">
        <v>4</v>
      </c>
      <c r="C10" s="21">
        <v>23.5345311266734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5.0038169894116296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5.04479069417692-0.0409737047652907</f>
        <v>5.0038169894116296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0</v>
      </c>
    </row>
    <row r="17" spans="1:3" ht="25.5" x14ac:dyDescent="0.2">
      <c r="A17" s="11" t="s">
        <v>9</v>
      </c>
      <c r="B17" s="15" t="s">
        <v>10</v>
      </c>
      <c r="C17" s="21">
        <v>0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0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55.452079999999981</v>
      </c>
    </row>
    <row r="22" spans="1:3" x14ac:dyDescent="0.2">
      <c r="A22" s="11"/>
      <c r="B22" s="12" t="s">
        <v>16</v>
      </c>
      <c r="C22" s="21">
        <v>0</v>
      </c>
    </row>
    <row r="23" spans="1:3" x14ac:dyDescent="0.2">
      <c r="A23" s="11"/>
      <c r="B23" s="12" t="s">
        <v>17</v>
      </c>
      <c r="C23" s="21">
        <v>0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7.7999999999999999E-4</v>
      </c>
    </row>
    <row r="27" spans="1:3" x14ac:dyDescent="0.2">
      <c r="A27" s="11"/>
      <c r="B27" s="12" t="s">
        <v>21</v>
      </c>
      <c r="C27" s="21">
        <v>51.463039999999985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v>3.9882600000000004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84.003907967483769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9.1279144032921779E-4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1.1726914324578491E-3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60750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>(C41+C63)/2</f>
        <v>71633.428574999998</v>
      </c>
    </row>
    <row r="63" spans="1:3" ht="15" thickBot="1" x14ac:dyDescent="0.25">
      <c r="B63" s="32" t="s">
        <v>33</v>
      </c>
      <c r="C63" s="31">
        <v>82516.857150000011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topLeftCell="A10" zoomScaleNormal="100" workbookViewId="0">
      <selection activeCell="E12" sqref="E12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91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6.6606295606274504</v>
      </c>
    </row>
    <row r="9" spans="1:3" x14ac:dyDescent="0.2">
      <c r="A9" s="11"/>
      <c r="B9" s="12" t="s">
        <v>3</v>
      </c>
      <c r="C9" s="21">
        <v>2.2098999502999999E-4</v>
      </c>
    </row>
    <row r="10" spans="1:3" x14ac:dyDescent="0.2">
      <c r="A10" s="11"/>
      <c r="B10" s="12" t="s">
        <v>4</v>
      </c>
      <c r="C10" s="21">
        <v>6.6604085706324208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2.8447300000000002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0.02735440801793+2.81737559198207</f>
        <v>2.8447300000000002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0</v>
      </c>
    </row>
    <row r="17" spans="1:3" ht="25.5" x14ac:dyDescent="0.2">
      <c r="A17" s="11" t="s">
        <v>9</v>
      </c>
      <c r="B17" s="15" t="s">
        <v>10</v>
      </c>
      <c r="C17" s="21">
        <v>0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0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12.255990000000001</v>
      </c>
    </row>
    <row r="22" spans="1:3" x14ac:dyDescent="0.2">
      <c r="A22" s="11"/>
      <c r="B22" s="12" t="s">
        <v>16</v>
      </c>
      <c r="C22" s="21">
        <v>0</v>
      </c>
    </row>
    <row r="23" spans="1:3" x14ac:dyDescent="0.2">
      <c r="A23" s="11"/>
      <c r="B23" s="12" t="s">
        <v>17</v>
      </c>
      <c r="C23" s="21">
        <v>0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0</v>
      </c>
    </row>
    <row r="27" spans="1:3" x14ac:dyDescent="0.2">
      <c r="A27" s="11"/>
      <c r="B27" s="12" t="s">
        <v>21</v>
      </c>
      <c r="C27" s="21">
        <v>9.4976200000000013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v>2.7583700000000002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21.761349560627451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4.4007145421903057E-3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3.3267234541810818E-3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2785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6541.3761800000002</v>
      </c>
    </row>
    <row r="63" spans="1:3" ht="15" thickBot="1" x14ac:dyDescent="0.25">
      <c r="B63" s="32" t="s">
        <v>33</v>
      </c>
      <c r="C63" s="31">
        <v>10297.75236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zoomScaleNormal="100" workbookViewId="0">
      <selection activeCell="E12" sqref="E12"/>
    </sheetView>
  </sheetViews>
  <sheetFormatPr defaultRowHeight="14.25" x14ac:dyDescent="0.2"/>
  <cols>
    <col min="1" max="1" width="1.875" style="2" bestFit="1" customWidth="1"/>
    <col min="2" max="2" width="61.75" style="2" bestFit="1" customWidth="1"/>
    <col min="3" max="3" width="10" style="2" customWidth="1"/>
    <col min="4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92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26.898399935724704</v>
      </c>
    </row>
    <row r="9" spans="1:3" x14ac:dyDescent="0.2">
      <c r="A9" s="11"/>
      <c r="B9" s="12" t="s">
        <v>3</v>
      </c>
      <c r="C9" s="21">
        <v>0.7221050053601501</v>
      </c>
    </row>
    <row r="10" spans="1:3" x14ac:dyDescent="0.2">
      <c r="A10" s="11"/>
      <c r="B10" s="12" t="s">
        <v>4</v>
      </c>
      <c r="C10" s="21">
        <v>26.176294930364556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0.24150211019792001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0.15750211019792+0.084</f>
        <v>0.24150211019792001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0</v>
      </c>
    </row>
    <row r="17" spans="1:3" ht="25.5" x14ac:dyDescent="0.2">
      <c r="A17" s="11" t="s">
        <v>9</v>
      </c>
      <c r="B17" s="15" t="s">
        <v>10</v>
      </c>
      <c r="C17" s="21">
        <v>0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0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0</v>
      </c>
    </row>
    <row r="22" spans="1:3" x14ac:dyDescent="0.2">
      <c r="A22" s="11"/>
      <c r="B22" s="12" t="s">
        <v>16</v>
      </c>
      <c r="C22" s="21">
        <v>0</v>
      </c>
    </row>
    <row r="23" spans="1:3" x14ac:dyDescent="0.2">
      <c r="A23" s="11"/>
      <c r="B23" s="12" t="s">
        <v>17</v>
      </c>
      <c r="C23" s="21">
        <v>0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0</v>
      </c>
    </row>
    <row r="27" spans="1:3" x14ac:dyDescent="0.2">
      <c r="A27" s="11"/>
      <c r="B27" s="12" t="s">
        <v>21</v>
      </c>
      <c r="C27" s="21">
        <v>0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v>0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27.139902045922625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0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2.5737580707146598E-4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104163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105448.535955</v>
      </c>
    </row>
    <row r="63" spans="1:3" ht="15" thickBot="1" x14ac:dyDescent="0.25">
      <c r="B63" s="32" t="s">
        <v>33</v>
      </c>
      <c r="C63" s="31">
        <v>106734.07191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zoomScaleNormal="100" workbookViewId="0">
      <selection activeCell="E12" sqref="E12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93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4.5920176000058905</v>
      </c>
    </row>
    <row r="9" spans="1:3" x14ac:dyDescent="0.2">
      <c r="A9" s="11"/>
      <c r="B9" s="12" t="s">
        <v>3</v>
      </c>
      <c r="C9" s="21">
        <v>0.55234810996351991</v>
      </c>
    </row>
    <row r="10" spans="1:3" x14ac:dyDescent="0.2">
      <c r="A10" s="11"/>
      <c r="B10" s="12" t="s">
        <v>4</v>
      </c>
      <c r="C10" s="21">
        <f>3.83966949004237+0.2</f>
        <v>4.0396694900423702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0.1093099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v>0.1093099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0</v>
      </c>
    </row>
    <row r="17" spans="1:3" ht="25.5" x14ac:dyDescent="0.2">
      <c r="A17" s="11" t="s">
        <v>9</v>
      </c>
      <c r="B17" s="15" t="s">
        <v>10</v>
      </c>
      <c r="C17" s="21">
        <v>0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0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0</v>
      </c>
    </row>
    <row r="22" spans="1:3" x14ac:dyDescent="0.2">
      <c r="A22" s="11"/>
      <c r="B22" s="12" t="s">
        <v>16</v>
      </c>
      <c r="C22" s="21">
        <v>0</v>
      </c>
    </row>
    <row r="23" spans="1:3" x14ac:dyDescent="0.2">
      <c r="A23" s="11"/>
      <c r="B23" s="12" t="s">
        <v>17</v>
      </c>
      <c r="C23" s="21">
        <v>0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0</v>
      </c>
    </row>
    <row r="27" spans="1:3" x14ac:dyDescent="0.2">
      <c r="A27" s="11"/>
      <c r="B27" s="12" t="s">
        <v>21</v>
      </c>
      <c r="C27" s="21">
        <v>0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v>0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4.7013275000058909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0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1.4509386923729163E-4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33422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32401.972079999978</v>
      </c>
    </row>
    <row r="63" spans="1:3" ht="15" thickBot="1" x14ac:dyDescent="0.25">
      <c r="B63" s="32" t="s">
        <v>33</v>
      </c>
      <c r="C63" s="31">
        <v>31381.944159999955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topLeftCell="A16" zoomScaleNormal="100" workbookViewId="0">
      <selection activeCell="G23" sqref="G23"/>
    </sheetView>
  </sheetViews>
  <sheetFormatPr defaultRowHeight="14.25" x14ac:dyDescent="0.2"/>
  <cols>
    <col min="1" max="1" width="1.875" style="2" bestFit="1" customWidth="1"/>
    <col min="2" max="2" width="61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94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20.972918049834878</v>
      </c>
    </row>
    <row r="9" spans="1:3" x14ac:dyDescent="0.2">
      <c r="A9" s="11"/>
      <c r="B9" s="12" t="s">
        <v>3</v>
      </c>
      <c r="C9" s="21">
        <v>0.31369422543758002</v>
      </c>
    </row>
    <row r="10" spans="1:3" x14ac:dyDescent="0.2">
      <c r="A10" s="11"/>
      <c r="B10" s="12" t="s">
        <v>4</v>
      </c>
      <c r="C10" s="21">
        <f>20.4592238243973+0.2</f>
        <v>20.659223824397298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2.7156699999999998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2.48571509394922+0.22995490605078</f>
        <v>2.7156699999999998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1.9121087677299511</v>
      </c>
    </row>
    <row r="17" spans="1:3" ht="25.5" x14ac:dyDescent="0.2">
      <c r="A17" s="11" t="s">
        <v>9</v>
      </c>
      <c r="B17" s="15" t="s">
        <v>10</v>
      </c>
      <c r="C17" s="21">
        <v>1.16483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0.74727876772995094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43.008659999999992</v>
      </c>
    </row>
    <row r="22" spans="1:3" x14ac:dyDescent="0.2">
      <c r="A22" s="11"/>
      <c r="B22" s="12" t="s">
        <v>16</v>
      </c>
      <c r="C22" s="21">
        <v>0</v>
      </c>
    </row>
    <row r="23" spans="1:3" x14ac:dyDescent="0.2">
      <c r="A23" s="11"/>
      <c r="B23" s="12" t="s">
        <v>17</v>
      </c>
      <c r="C23" s="21">
        <v>0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1.1999999999999999E-4</v>
      </c>
    </row>
    <row r="27" spans="1:3" x14ac:dyDescent="0.2">
      <c r="A27" s="11"/>
      <c r="B27" s="12" t="s">
        <v>21</v>
      </c>
      <c r="C27" s="21">
        <v>16.585549999999998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f>26.72299-0.3</f>
        <v>26.422989999999999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68.60935681756483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3.5386634730155166E-4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5.1339238580735145E-4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124831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133639.21770999976</v>
      </c>
    </row>
    <row r="63" spans="1:3" ht="15" thickBot="1" x14ac:dyDescent="0.25">
      <c r="B63" s="32" t="s">
        <v>33</v>
      </c>
      <c r="C63" s="31">
        <v>142447.43541999956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topLeftCell="A7" zoomScaleNormal="100" workbookViewId="0">
      <selection activeCell="E25" sqref="E25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95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176.00609115442026</v>
      </c>
    </row>
    <row r="9" spans="1:3" x14ac:dyDescent="0.2">
      <c r="A9" s="11"/>
      <c r="B9" s="12" t="s">
        <v>3</v>
      </c>
      <c r="C9" s="21">
        <f>0.75476305614201+0.04469127334827</f>
        <v>0.79945432949028006</v>
      </c>
    </row>
    <row r="10" spans="1:3" x14ac:dyDescent="0.2">
      <c r="A10" s="11"/>
      <c r="B10" s="12" t="s">
        <v>4</v>
      </c>
      <c r="C10" s="21">
        <f>169.338171627762+5.86846519716798</f>
        <v>175.20663682492997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29.98814845492473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14.0914269661541+5.38930454222303+10.5074169465476</f>
        <v>29.98814845492473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190.92262677163265</v>
      </c>
    </row>
    <row r="17" spans="1:3" ht="25.5" x14ac:dyDescent="0.2">
      <c r="A17" s="11" t="s">
        <v>9</v>
      </c>
      <c r="B17" s="15" t="s">
        <v>10</v>
      </c>
      <c r="C17" s="21">
        <f>11.53919+0.39277</f>
        <v>11.93196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178.99066677163265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568.03055389560336</v>
      </c>
    </row>
    <row r="22" spans="1:3" x14ac:dyDescent="0.2">
      <c r="A22" s="11"/>
      <c r="B22" s="12" t="s">
        <v>16</v>
      </c>
      <c r="C22" s="21">
        <v>20.650826235707964</v>
      </c>
    </row>
    <row r="23" spans="1:3" x14ac:dyDescent="0.2">
      <c r="A23" s="11"/>
      <c r="B23" s="12" t="s">
        <v>17</v>
      </c>
      <c r="C23" s="21">
        <v>256.95874765989544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f>0.00267+0.00009</f>
        <v>2.7599999999999999E-3</v>
      </c>
    </row>
    <row r="27" spans="1:3" x14ac:dyDescent="0.2">
      <c r="A27" s="11"/>
      <c r="B27" s="12" t="s">
        <v>21</v>
      </c>
      <c r="C27" s="21">
        <f>165.7301+11.93171-0.2</f>
        <v>177.46181000000001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f>110.91319+2.04322</f>
        <v>112.95641000000001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964.94742027658094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1.0461329610824269E-3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1.4891846057140572E-3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f>456428+97959</f>
        <v>554387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647970.316490005</v>
      </c>
    </row>
    <row r="63" spans="1:3" ht="15" thickBot="1" x14ac:dyDescent="0.25">
      <c r="B63" s="32" t="s">
        <v>33</v>
      </c>
      <c r="C63" s="31">
        <v>741553.63298001001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zoomScaleNormal="100" workbookViewId="0">
      <selection activeCell="F20" sqref="F20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96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119.2262424373121</v>
      </c>
    </row>
    <row r="9" spans="1:3" x14ac:dyDescent="0.2">
      <c r="A9" s="11"/>
      <c r="B9" s="12" t="s">
        <v>3</v>
      </c>
      <c r="C9" s="21">
        <v>0.86667033718676012</v>
      </c>
    </row>
    <row r="10" spans="1:3" x14ac:dyDescent="0.2">
      <c r="A10" s="11"/>
      <c r="B10" s="12" t="s">
        <v>4</v>
      </c>
      <c r="C10" s="21">
        <v>118.35957210012533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18.121210000000008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12.6346333741357+5.48657662586431</f>
        <v>18.121210000000008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168.60138515950061</v>
      </c>
    </row>
    <row r="17" spans="1:3" ht="25.5" x14ac:dyDescent="0.2">
      <c r="A17" s="11" t="s">
        <v>9</v>
      </c>
      <c r="B17" s="15" t="s">
        <v>10</v>
      </c>
      <c r="C17" s="21">
        <f>10.64087+0.2</f>
        <v>10.840869999999999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157.76051515950061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493.3218130155517</v>
      </c>
    </row>
    <row r="22" spans="1:3" x14ac:dyDescent="0.2">
      <c r="A22" s="11"/>
      <c r="B22" s="12" t="s">
        <v>16</v>
      </c>
      <c r="C22" s="21">
        <v>19.556781987888705</v>
      </c>
    </row>
    <row r="23" spans="1:3" x14ac:dyDescent="0.2">
      <c r="A23" s="11"/>
      <c r="B23" s="12" t="s">
        <v>17</v>
      </c>
      <c r="C23" s="21">
        <f>255.575731027663-0.2</f>
        <v>255.37573102766302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1.6899999999999999E-3</v>
      </c>
    </row>
    <row r="27" spans="1:3" x14ac:dyDescent="0.2">
      <c r="A27" s="11"/>
      <c r="B27" s="12" t="s">
        <v>21</v>
      </c>
      <c r="C27" s="21">
        <v>115.06281000000003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v>103.3248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799.27065061236442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1.2232267310486554E-3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1.5311622324640096E-3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412158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522002.58971000416</v>
      </c>
    </row>
    <row r="63" spans="1:3" ht="15" thickBot="1" x14ac:dyDescent="0.25">
      <c r="B63" s="32" t="s">
        <v>33</v>
      </c>
      <c r="C63" s="31">
        <v>631847.17942000832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rightToLeft="1" zoomScaleNormal="100" workbookViewId="0">
      <selection activeCell="E16" sqref="E16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16384" width="9" style="2"/>
  </cols>
  <sheetData>
    <row r="1" spans="1:3" ht="15" x14ac:dyDescent="0.25">
      <c r="A1" s="1"/>
      <c r="B1" s="33" t="s">
        <v>87</v>
      </c>
    </row>
    <row r="2" spans="1:3" ht="15" x14ac:dyDescent="0.25">
      <c r="A2" s="1"/>
      <c r="B2" s="87" t="s">
        <v>88</v>
      </c>
      <c r="C2" s="3">
        <v>43830</v>
      </c>
    </row>
    <row r="3" spans="1:3" x14ac:dyDescent="0.2">
      <c r="A3" s="4"/>
      <c r="B3" s="88"/>
    </row>
    <row r="4" spans="1:3" ht="15" x14ac:dyDescent="0.25">
      <c r="A4" s="5"/>
      <c r="B4" s="89" t="s">
        <v>0</v>
      </c>
    </row>
    <row r="5" spans="1:3" ht="16.5" thickBot="1" x14ac:dyDescent="0.3">
      <c r="A5" s="7"/>
      <c r="B5" s="90" t="s">
        <v>97</v>
      </c>
    </row>
    <row r="6" spans="1:3" x14ac:dyDescent="0.2">
      <c r="A6" s="25"/>
      <c r="B6" s="27"/>
      <c r="C6" s="94" t="s">
        <v>1</v>
      </c>
    </row>
    <row r="7" spans="1:3" x14ac:dyDescent="0.2">
      <c r="A7" s="26"/>
      <c r="B7" s="28"/>
      <c r="C7" s="95"/>
    </row>
    <row r="8" spans="1:3" ht="15" x14ac:dyDescent="0.25">
      <c r="A8" s="8">
        <v>1</v>
      </c>
      <c r="B8" s="9" t="s">
        <v>2</v>
      </c>
      <c r="C8" s="10">
        <f t="shared" ref="C8" si="0">SUM(C9:C10)</f>
        <v>79.231895456764477</v>
      </c>
    </row>
    <row r="9" spans="1:3" x14ac:dyDescent="0.2">
      <c r="A9" s="11"/>
      <c r="B9" s="12" t="s">
        <v>3</v>
      </c>
      <c r="C9" s="21">
        <v>0.8000766434890797</v>
      </c>
    </row>
    <row r="10" spans="1:3" x14ac:dyDescent="0.2">
      <c r="A10" s="11"/>
      <c r="B10" s="12" t="s">
        <v>4</v>
      </c>
      <c r="C10" s="21">
        <f>78.7318188132754-0.3</f>
        <v>78.431818813275399</v>
      </c>
    </row>
    <row r="11" spans="1:3" x14ac:dyDescent="0.2">
      <c r="A11" s="11"/>
      <c r="B11" s="12"/>
      <c r="C11" s="22"/>
    </row>
    <row r="12" spans="1:3" ht="15" x14ac:dyDescent="0.25">
      <c r="A12" s="8">
        <v>2</v>
      </c>
      <c r="B12" s="9" t="s">
        <v>5</v>
      </c>
      <c r="C12" s="10">
        <f t="shared" ref="C12" si="1">SUM(C13:C14)</f>
        <v>13.313450000000021</v>
      </c>
    </row>
    <row r="13" spans="1:3" x14ac:dyDescent="0.2">
      <c r="A13" s="11"/>
      <c r="B13" s="14" t="s">
        <v>6</v>
      </c>
      <c r="C13" s="21">
        <v>0</v>
      </c>
    </row>
    <row r="14" spans="1:3" x14ac:dyDescent="0.2">
      <c r="A14" s="11"/>
      <c r="B14" s="14" t="s">
        <v>7</v>
      </c>
      <c r="C14" s="21">
        <f>11.9334983885586+1.37995161144142</f>
        <v>13.313450000000021</v>
      </c>
    </row>
    <row r="15" spans="1:3" x14ac:dyDescent="0.2">
      <c r="A15" s="26"/>
      <c r="B15" s="28"/>
      <c r="C15" s="22"/>
    </row>
    <row r="16" spans="1:3" ht="15" x14ac:dyDescent="0.25">
      <c r="A16" s="8">
        <v>3</v>
      </c>
      <c r="B16" s="9" t="s">
        <v>8</v>
      </c>
      <c r="C16" s="10">
        <f t="shared" ref="C16" si="2">SUM(C17:C19)</f>
        <v>114.5138056941809</v>
      </c>
    </row>
    <row r="17" spans="1:3" ht="25.5" x14ac:dyDescent="0.2">
      <c r="A17" s="11" t="s">
        <v>9</v>
      </c>
      <c r="B17" s="15" t="s">
        <v>10</v>
      </c>
      <c r="C17" s="21">
        <v>5.8992599999999999</v>
      </c>
    </row>
    <row r="18" spans="1:3" x14ac:dyDescent="0.2">
      <c r="A18" s="11" t="s">
        <v>11</v>
      </c>
      <c r="B18" s="15" t="s">
        <v>12</v>
      </c>
      <c r="C18" s="21">
        <v>0</v>
      </c>
    </row>
    <row r="19" spans="1:3" x14ac:dyDescent="0.2">
      <c r="A19" s="11" t="s">
        <v>13</v>
      </c>
      <c r="B19" s="12" t="s">
        <v>14</v>
      </c>
      <c r="C19" s="21">
        <v>108.6145456941809</v>
      </c>
    </row>
    <row r="20" spans="1:3" x14ac:dyDescent="0.2">
      <c r="A20" s="16"/>
      <c r="B20" s="28"/>
      <c r="C20" s="22"/>
    </row>
    <row r="21" spans="1:3" ht="15" x14ac:dyDescent="0.25">
      <c r="A21" s="17">
        <v>4</v>
      </c>
      <c r="B21" s="9" t="s">
        <v>15</v>
      </c>
      <c r="C21" s="10">
        <f>C22+C23+C24+C25+C26+C27+C28+C29</f>
        <v>241.93280209960898</v>
      </c>
    </row>
    <row r="22" spans="1:3" x14ac:dyDescent="0.2">
      <c r="A22" s="11"/>
      <c r="B22" s="12" t="s">
        <v>16</v>
      </c>
      <c r="C22" s="21">
        <v>13.850714143282936</v>
      </c>
    </row>
    <row r="23" spans="1:3" x14ac:dyDescent="0.2">
      <c r="A23" s="11"/>
      <c r="B23" s="12" t="s">
        <v>17</v>
      </c>
      <c r="C23" s="21">
        <f>128.552037956326+1.45715</f>
        <v>130.009187956326</v>
      </c>
    </row>
    <row r="24" spans="1:3" x14ac:dyDescent="0.2">
      <c r="A24" s="11"/>
      <c r="B24" s="12" t="s">
        <v>18</v>
      </c>
      <c r="C24" s="21"/>
    </row>
    <row r="25" spans="1:3" x14ac:dyDescent="0.2">
      <c r="A25" s="11"/>
      <c r="B25" s="12" t="s">
        <v>19</v>
      </c>
      <c r="C25" s="21"/>
    </row>
    <row r="26" spans="1:3" x14ac:dyDescent="0.2">
      <c r="A26" s="11"/>
      <c r="B26" s="12" t="s">
        <v>20</v>
      </c>
      <c r="C26" s="21">
        <v>9.3000000000000005E-4</v>
      </c>
    </row>
    <row r="27" spans="1:3" x14ac:dyDescent="0.2">
      <c r="A27" s="11"/>
      <c r="B27" s="12" t="s">
        <v>21</v>
      </c>
      <c r="C27" s="21">
        <v>65.798480000000012</v>
      </c>
    </row>
    <row r="28" spans="1:3" x14ac:dyDescent="0.2">
      <c r="A28" s="11"/>
      <c r="B28" s="12" t="s">
        <v>22</v>
      </c>
      <c r="C28" s="21">
        <v>0</v>
      </c>
    </row>
    <row r="29" spans="1:3" x14ac:dyDescent="0.2">
      <c r="A29" s="11"/>
      <c r="B29" s="12" t="s">
        <v>23</v>
      </c>
      <c r="C29" s="21">
        <v>32.273490000000002</v>
      </c>
    </row>
    <row r="30" spans="1:3" x14ac:dyDescent="0.2">
      <c r="A30" s="11"/>
      <c r="B30" s="12"/>
      <c r="C30" s="22"/>
    </row>
    <row r="31" spans="1:3" ht="15" x14ac:dyDescent="0.25">
      <c r="A31" s="11">
        <v>5</v>
      </c>
      <c r="B31" s="9" t="s">
        <v>24</v>
      </c>
      <c r="C31" s="10">
        <f t="shared" ref="C31" si="3">SUM(C32:C33)</f>
        <v>0</v>
      </c>
    </row>
    <row r="32" spans="1:3" x14ac:dyDescent="0.2">
      <c r="A32" s="11" t="s">
        <v>9</v>
      </c>
      <c r="B32" s="12" t="s">
        <v>25</v>
      </c>
      <c r="C32" s="21"/>
    </row>
    <row r="33" spans="1:3" x14ac:dyDescent="0.2">
      <c r="A33" s="11" t="s">
        <v>11</v>
      </c>
      <c r="B33" s="12" t="s">
        <v>26</v>
      </c>
      <c r="C33" s="21"/>
    </row>
    <row r="34" spans="1:3" x14ac:dyDescent="0.2">
      <c r="A34" s="11"/>
      <c r="B34" s="12"/>
      <c r="C34" s="22"/>
    </row>
    <row r="35" spans="1:3" ht="15" x14ac:dyDescent="0.25">
      <c r="A35" s="11">
        <v>6</v>
      </c>
      <c r="B35" s="9" t="s">
        <v>27</v>
      </c>
      <c r="C35" s="10">
        <f>C31+C21+C16+C12+C8</f>
        <v>448.99195325055439</v>
      </c>
    </row>
    <row r="36" spans="1:3" x14ac:dyDescent="0.2">
      <c r="A36" s="11"/>
      <c r="B36" s="12"/>
      <c r="C36" s="13"/>
    </row>
    <row r="37" spans="1:3" ht="15" x14ac:dyDescent="0.25">
      <c r="A37" s="11">
        <v>7</v>
      </c>
      <c r="B37" s="9" t="s">
        <v>28</v>
      </c>
      <c r="C37" s="13"/>
    </row>
    <row r="38" spans="1:3" ht="26.25" x14ac:dyDescent="0.25">
      <c r="A38" s="11" t="s">
        <v>9</v>
      </c>
      <c r="B38" s="15" t="s">
        <v>29</v>
      </c>
      <c r="C38" s="18">
        <f>(C33+C21+C17)/C41</f>
        <v>7.8018517430572813E-4</v>
      </c>
    </row>
    <row r="39" spans="1:3" ht="15" x14ac:dyDescent="0.25">
      <c r="A39" s="11" t="s">
        <v>11</v>
      </c>
      <c r="B39" s="12" t="s">
        <v>31</v>
      </c>
      <c r="C39" s="18">
        <f t="shared" ref="C39" si="4">C35/C62</f>
        <v>1.075113446759971E-3</v>
      </c>
    </row>
    <row r="40" spans="1:3" x14ac:dyDescent="0.2">
      <c r="A40" s="11"/>
      <c r="B40" s="12"/>
      <c r="C40" s="22"/>
    </row>
    <row r="41" spans="1:3" ht="15.75" thickBot="1" x14ac:dyDescent="0.3">
      <c r="A41" s="19"/>
      <c r="B41" s="20" t="s">
        <v>30</v>
      </c>
      <c r="C41" s="23">
        <v>317658</v>
      </c>
    </row>
    <row r="42" spans="1:3" s="86" customFormat="1" ht="15" x14ac:dyDescent="0.25">
      <c r="A42" s="84"/>
      <c r="B42" s="84"/>
      <c r="C42" s="85"/>
    </row>
    <row r="43" spans="1:3" s="86" customFormat="1" ht="15" x14ac:dyDescent="0.25">
      <c r="A43" s="84"/>
      <c r="B43" s="84"/>
      <c r="C43" s="85"/>
    </row>
    <row r="44" spans="1:3" s="86" customFormat="1" ht="15" x14ac:dyDescent="0.25">
      <c r="A44" s="84"/>
      <c r="B44" s="84"/>
      <c r="C44" s="85"/>
    </row>
    <row r="45" spans="1:3" s="86" customFormat="1" ht="15" x14ac:dyDescent="0.25">
      <c r="A45" s="84"/>
      <c r="B45" s="84"/>
      <c r="C45" s="85"/>
    </row>
    <row r="46" spans="1:3" s="86" customFormat="1" ht="15" x14ac:dyDescent="0.25">
      <c r="A46" s="84"/>
      <c r="B46" s="84"/>
      <c r="C46" s="85"/>
    </row>
    <row r="47" spans="1:3" s="86" customFormat="1" ht="15" x14ac:dyDescent="0.25">
      <c r="A47" s="84"/>
      <c r="B47" s="84"/>
      <c r="C47" s="85"/>
    </row>
    <row r="48" spans="1:3" s="86" customFormat="1" ht="15" x14ac:dyDescent="0.25">
      <c r="A48" s="84"/>
      <c r="B48" s="84"/>
      <c r="C48" s="85"/>
    </row>
    <row r="49" spans="1:3" s="86" customFormat="1" ht="15" x14ac:dyDescent="0.25">
      <c r="A49" s="84"/>
      <c r="B49" s="84"/>
      <c r="C49" s="85"/>
    </row>
    <row r="50" spans="1:3" s="86" customFormat="1" ht="15" x14ac:dyDescent="0.25">
      <c r="A50" s="84"/>
      <c r="B50" s="84"/>
      <c r="C50" s="85"/>
    </row>
    <row r="51" spans="1:3" s="86" customFormat="1" ht="15" x14ac:dyDescent="0.25">
      <c r="A51" s="84"/>
      <c r="B51" s="84"/>
      <c r="C51" s="85"/>
    </row>
    <row r="52" spans="1:3" s="86" customFormat="1" ht="15" x14ac:dyDescent="0.25">
      <c r="A52" s="84"/>
      <c r="B52" s="84"/>
      <c r="C52" s="85"/>
    </row>
    <row r="53" spans="1:3" s="86" customFormat="1" ht="15" x14ac:dyDescent="0.25">
      <c r="A53" s="84"/>
      <c r="B53" s="84"/>
      <c r="C53" s="85"/>
    </row>
    <row r="54" spans="1:3" s="86" customFormat="1" ht="15" x14ac:dyDescent="0.25">
      <c r="A54" s="84"/>
      <c r="B54" s="84"/>
      <c r="C54" s="85"/>
    </row>
    <row r="55" spans="1:3" s="86" customFormat="1" ht="15" x14ac:dyDescent="0.25">
      <c r="A55" s="84"/>
      <c r="B55" s="84"/>
      <c r="C55" s="85"/>
    </row>
    <row r="56" spans="1:3" s="86" customFormat="1" ht="15" x14ac:dyDescent="0.25">
      <c r="A56" s="84"/>
      <c r="B56" s="84"/>
      <c r="C56" s="85"/>
    </row>
    <row r="57" spans="1:3" s="86" customFormat="1" ht="15" x14ac:dyDescent="0.25">
      <c r="A57" s="84"/>
      <c r="B57" s="84"/>
      <c r="C57" s="85"/>
    </row>
    <row r="58" spans="1:3" s="86" customFormat="1" ht="15" x14ac:dyDescent="0.25">
      <c r="A58" s="84"/>
      <c r="B58" s="84"/>
      <c r="C58" s="85"/>
    </row>
    <row r="59" spans="1:3" s="86" customFormat="1" ht="15" x14ac:dyDescent="0.25">
      <c r="A59" s="84"/>
      <c r="B59" s="84"/>
      <c r="C59" s="85"/>
    </row>
    <row r="60" spans="1:3" s="86" customFormat="1" ht="15" x14ac:dyDescent="0.25">
      <c r="A60" s="84"/>
      <c r="B60" s="84"/>
      <c r="C60" s="85"/>
    </row>
    <row r="61" spans="1:3" s="86" customFormat="1" ht="15" x14ac:dyDescent="0.25">
      <c r="A61" s="84"/>
      <c r="B61" s="84"/>
      <c r="C61" s="85"/>
    </row>
    <row r="62" spans="1:3" x14ac:dyDescent="0.2">
      <c r="B62" s="30" t="s">
        <v>32</v>
      </c>
      <c r="C62" s="31">
        <f t="shared" ref="C62" si="5">(C41+C63)/2</f>
        <v>417622.86073498998</v>
      </c>
    </row>
    <row r="63" spans="1:3" ht="15" thickBot="1" x14ac:dyDescent="0.25">
      <c r="B63" s="32" t="s">
        <v>33</v>
      </c>
      <c r="C63" s="31">
        <v>517587.72146998002</v>
      </c>
    </row>
  </sheetData>
  <sheetProtection sheet="1" objects="1" scenarios="1"/>
  <mergeCells count="1"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10</vt:i4>
      </vt:variant>
    </vt:vector>
  </HeadingPairs>
  <TitlesOfParts>
    <vt:vector size="22" baseType="lpstr">
      <vt:lpstr>744</vt:lpstr>
      <vt:lpstr>863</vt:lpstr>
      <vt:lpstr>862</vt:lpstr>
      <vt:lpstr>859</vt:lpstr>
      <vt:lpstr>858</vt:lpstr>
      <vt:lpstr>8012</vt:lpstr>
      <vt:lpstr>9779</vt:lpstr>
      <vt:lpstr>9780</vt:lpstr>
      <vt:lpstr>9781</vt:lpstr>
      <vt:lpstr>מגדל תגמולים- נספח 1</vt:lpstr>
      <vt:lpstr>מגדל תגמולים- נספח 2</vt:lpstr>
      <vt:lpstr>מגדל תגמולים- נספח 3</vt:lpstr>
      <vt:lpstr>'744'!WPrint_Area_W</vt:lpstr>
      <vt:lpstr>'8012'!WPrint_Area_W</vt:lpstr>
      <vt:lpstr>'858'!WPrint_Area_W</vt:lpstr>
      <vt:lpstr>'859'!WPrint_Area_W</vt:lpstr>
      <vt:lpstr>'862'!WPrint_Area_W</vt:lpstr>
      <vt:lpstr>'863'!WPrint_Area_W</vt:lpstr>
      <vt:lpstr>'9779'!WPrint_Area_W</vt:lpstr>
      <vt:lpstr>'9780'!WPrint_Area_W</vt:lpstr>
      <vt:lpstr>'9781'!WPrint_Area_W</vt:lpstr>
      <vt:lpstr>'מגדל תגמולים-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2020-03-31T12:05:15Z</dcterms:modified>
</cp:coreProperties>
</file>