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סל'!$B$6:$N$37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43" i="88" l="1"/>
  <c r="C10" i="84"/>
  <c r="C11" i="84"/>
  <c r="C19" i="84"/>
  <c r="J12" i="81" l="1"/>
  <c r="J11" i="81"/>
  <c r="J10" i="81"/>
  <c r="O23" i="78"/>
  <c r="O20" i="78"/>
  <c r="O13" i="78"/>
  <c r="O12" i="78" s="1"/>
  <c r="O24" i="78"/>
  <c r="O26" i="78"/>
  <c r="O27" i="78"/>
  <c r="O28" i="78"/>
  <c r="O29" i="78"/>
  <c r="O31" i="78"/>
  <c r="O30" i="78"/>
  <c r="O33" i="78"/>
  <c r="O112" i="78"/>
  <c r="O111" i="78" s="1"/>
  <c r="J36" i="76"/>
  <c r="J35" i="76"/>
  <c r="J34" i="76"/>
  <c r="J33" i="76"/>
  <c r="J31" i="76"/>
  <c r="J30" i="76"/>
  <c r="J29" i="76"/>
  <c r="J28" i="76"/>
  <c r="J27" i="76"/>
  <c r="J26" i="76"/>
  <c r="J25" i="76"/>
  <c r="J24" i="76"/>
  <c r="J23" i="76"/>
  <c r="J22" i="76"/>
  <c r="J20" i="76"/>
  <c r="J19" i="76"/>
  <c r="J18" i="76"/>
  <c r="J17" i="76"/>
  <c r="J16" i="76"/>
  <c r="J15" i="76"/>
  <c r="J14" i="76"/>
  <c r="J13" i="76"/>
  <c r="J12" i="76"/>
  <c r="J11" i="76"/>
  <c r="R30" i="71"/>
  <c r="R29" i="71"/>
  <c r="R28" i="71"/>
  <c r="R26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37" i="63"/>
  <c r="M36" i="63"/>
  <c r="M35" i="63"/>
  <c r="M34" i="63"/>
  <c r="M33" i="63"/>
  <c r="M32" i="63"/>
  <c r="M31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11" i="61"/>
  <c r="Q12" i="61"/>
  <c r="Q13" i="61"/>
  <c r="Q166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70" i="61"/>
  <c r="T269" i="61"/>
  <c r="T268" i="61"/>
  <c r="T267" i="61"/>
  <c r="T266" i="61"/>
  <c r="T265" i="61"/>
  <c r="T263" i="61"/>
  <c r="T262" i="61"/>
  <c r="T261" i="61"/>
  <c r="T260" i="61"/>
  <c r="T259" i="61"/>
  <c r="T257" i="61"/>
  <c r="T256" i="61"/>
  <c r="T255" i="61"/>
  <c r="T254" i="61"/>
  <c r="T253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S198" i="61"/>
  <c r="O198" i="61"/>
  <c r="O188" i="61"/>
  <c r="S188" i="61"/>
  <c r="O11" i="78" l="1"/>
  <c r="O10" i="78"/>
  <c r="P11" i="78" s="1"/>
  <c r="O123" i="61"/>
  <c r="O122" i="61"/>
  <c r="S122" i="61"/>
  <c r="S123" i="61"/>
  <c r="P12" i="78" l="1"/>
  <c r="P125" i="78"/>
  <c r="P121" i="78"/>
  <c r="P117" i="78"/>
  <c r="P113" i="78"/>
  <c r="P106" i="78"/>
  <c r="P102" i="78"/>
  <c r="P98" i="78"/>
  <c r="P94" i="78"/>
  <c r="P90" i="78"/>
  <c r="P86" i="78"/>
  <c r="P82" i="78"/>
  <c r="P78" i="78"/>
  <c r="P74" i="78"/>
  <c r="P70" i="78"/>
  <c r="P66" i="78"/>
  <c r="P62" i="78"/>
  <c r="P58" i="78"/>
  <c r="P54" i="78"/>
  <c r="P50" i="78"/>
  <c r="P46" i="78"/>
  <c r="P42" i="78"/>
  <c r="P38" i="78"/>
  <c r="P34" i="78"/>
  <c r="P29" i="78"/>
  <c r="P25" i="78"/>
  <c r="P21" i="78"/>
  <c r="P17" i="78"/>
  <c r="P13" i="78"/>
  <c r="P124" i="78"/>
  <c r="P120" i="78"/>
  <c r="P116" i="78"/>
  <c r="P112" i="78"/>
  <c r="P105" i="78"/>
  <c r="P101" i="78"/>
  <c r="P97" i="78"/>
  <c r="P93" i="78"/>
  <c r="P89" i="78"/>
  <c r="P85" i="78"/>
  <c r="P81" i="78"/>
  <c r="P77" i="78"/>
  <c r="P73" i="78"/>
  <c r="P69" i="78"/>
  <c r="P65" i="78"/>
  <c r="P61" i="78"/>
  <c r="P57" i="78"/>
  <c r="P53" i="78"/>
  <c r="P49" i="78"/>
  <c r="P45" i="78"/>
  <c r="P41" i="78"/>
  <c r="P37" i="78"/>
  <c r="P33" i="78"/>
  <c r="P28" i="78"/>
  <c r="P24" i="78"/>
  <c r="P20" i="78"/>
  <c r="P16" i="78"/>
  <c r="P127" i="78"/>
  <c r="P123" i="78"/>
  <c r="P119" i="78"/>
  <c r="P115" i="78"/>
  <c r="P108" i="78"/>
  <c r="P104" i="78"/>
  <c r="P100" i="78"/>
  <c r="P96" i="78"/>
  <c r="P92" i="78"/>
  <c r="P88" i="78"/>
  <c r="P84" i="78"/>
  <c r="P80" i="78"/>
  <c r="P76" i="78"/>
  <c r="P72" i="78"/>
  <c r="P68" i="78"/>
  <c r="P64" i="78"/>
  <c r="P60" i="78"/>
  <c r="P56" i="78"/>
  <c r="P52" i="78"/>
  <c r="P48" i="78"/>
  <c r="P44" i="78"/>
  <c r="P40" i="78"/>
  <c r="P36" i="78"/>
  <c r="P31" i="78"/>
  <c r="P27" i="78"/>
  <c r="P23" i="78"/>
  <c r="P19" i="78"/>
  <c r="P15" i="78"/>
  <c r="P126" i="78"/>
  <c r="P122" i="78"/>
  <c r="P118" i="78"/>
  <c r="P114" i="78"/>
  <c r="P109" i="78"/>
  <c r="P107" i="78"/>
  <c r="P103" i="78"/>
  <c r="P99" i="78"/>
  <c r="P95" i="78"/>
  <c r="P91" i="78"/>
  <c r="P87" i="78"/>
  <c r="P83" i="78"/>
  <c r="P79" i="78"/>
  <c r="P75" i="78"/>
  <c r="P71" i="78"/>
  <c r="P67" i="78"/>
  <c r="P63" i="78"/>
  <c r="P59" i="78"/>
  <c r="P55" i="78"/>
  <c r="P51" i="78"/>
  <c r="P47" i="78"/>
  <c r="P43" i="78"/>
  <c r="P39" i="78"/>
  <c r="P35" i="78"/>
  <c r="P30" i="78"/>
  <c r="P26" i="78"/>
  <c r="P22" i="78"/>
  <c r="P18" i="78"/>
  <c r="P14" i="78"/>
  <c r="P10" i="78"/>
  <c r="P111" i="78"/>
  <c r="O114" i="61" l="1"/>
  <c r="O113" i="61"/>
  <c r="O112" i="61"/>
  <c r="S114" i="61"/>
  <c r="S113" i="61"/>
  <c r="S112" i="61"/>
  <c r="O97" i="61"/>
  <c r="O96" i="61"/>
  <c r="O95" i="61"/>
  <c r="S97" i="61"/>
  <c r="S96" i="61"/>
  <c r="S95" i="61"/>
  <c r="O74" i="61"/>
  <c r="O73" i="61"/>
  <c r="O72" i="61"/>
  <c r="O71" i="61"/>
  <c r="S74" i="61"/>
  <c r="S73" i="61"/>
  <c r="S72" i="61"/>
  <c r="S71" i="61"/>
  <c r="Q62" i="59" l="1"/>
  <c r="Q61" i="59"/>
  <c r="Q59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J12" i="58"/>
  <c r="J27" i="58"/>
  <c r="C37" i="88"/>
  <c r="C33" i="88"/>
  <c r="C31" i="88"/>
  <c r="C26" i="88"/>
  <c r="C24" i="88"/>
  <c r="C18" i="88"/>
  <c r="C15" i="88"/>
  <c r="C17" i="88"/>
  <c r="C13" i="88"/>
  <c r="J11" i="58" l="1"/>
  <c r="C23" i="88"/>
  <c r="C12" i="88"/>
  <c r="J10" i="58"/>
  <c r="K11" i="5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27" i="58" l="1"/>
  <c r="K23" i="58"/>
  <c r="K18" i="58"/>
  <c r="K14" i="58"/>
  <c r="K10" i="58"/>
  <c r="K30" i="58"/>
  <c r="K26" i="58"/>
  <c r="K22" i="58"/>
  <c r="K17" i="58"/>
  <c r="K13" i="58"/>
  <c r="K29" i="58"/>
  <c r="K25" i="58"/>
  <c r="K21" i="58"/>
  <c r="K16" i="58"/>
  <c r="K12" i="58"/>
  <c r="K28" i="58"/>
  <c r="K24" i="58"/>
  <c r="K20" i="58"/>
  <c r="K15" i="58"/>
  <c r="C11" i="88"/>
  <c r="C10" i="88" l="1"/>
  <c r="C42" i="88" l="1"/>
  <c r="K10" i="81" l="1"/>
  <c r="K12" i="81"/>
  <c r="K11" i="81"/>
  <c r="Q126" i="78"/>
  <c r="Q122" i="78"/>
  <c r="Q118" i="78"/>
  <c r="Q114" i="78"/>
  <c r="Q109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29" i="78"/>
  <c r="Q25" i="78"/>
  <c r="Q21" i="78"/>
  <c r="Q17" i="78"/>
  <c r="Q13" i="78"/>
  <c r="K36" i="76"/>
  <c r="K31" i="76"/>
  <c r="K27" i="76"/>
  <c r="K23" i="76"/>
  <c r="K18" i="76"/>
  <c r="K14" i="76"/>
  <c r="S28" i="71"/>
  <c r="S23" i="71"/>
  <c r="S18" i="71"/>
  <c r="S14" i="71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O30" i="64"/>
  <c r="O26" i="64"/>
  <c r="O22" i="64"/>
  <c r="O18" i="64"/>
  <c r="O14" i="64"/>
  <c r="N35" i="63"/>
  <c r="N31" i="63"/>
  <c r="N26" i="63"/>
  <c r="N22" i="63"/>
  <c r="N18" i="63"/>
  <c r="N14" i="63"/>
  <c r="Q119" i="78"/>
  <c r="Q103" i="78"/>
  <c r="Q83" i="78"/>
  <c r="Q63" i="78"/>
  <c r="Q51" i="78"/>
  <c r="Q125" i="78"/>
  <c r="Q121" i="78"/>
  <c r="Q117" i="78"/>
  <c r="Q113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8" i="78"/>
  <c r="Q24" i="78"/>
  <c r="Q20" i="78"/>
  <c r="Q16" i="78"/>
  <c r="Q12" i="78"/>
  <c r="K35" i="76"/>
  <c r="K30" i="76"/>
  <c r="K26" i="76"/>
  <c r="K22" i="76"/>
  <c r="K17" i="76"/>
  <c r="K13" i="76"/>
  <c r="S26" i="71"/>
  <c r="S22" i="71"/>
  <c r="S17" i="71"/>
  <c r="S13" i="71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O34" i="64"/>
  <c r="O29" i="64"/>
  <c r="O25" i="64"/>
  <c r="O21" i="64"/>
  <c r="O17" i="64"/>
  <c r="O13" i="64"/>
  <c r="N34" i="63"/>
  <c r="N29" i="63"/>
  <c r="N25" i="63"/>
  <c r="N21" i="63"/>
  <c r="N17" i="63"/>
  <c r="N13" i="63"/>
  <c r="Q127" i="78"/>
  <c r="Q111" i="78"/>
  <c r="Q99" i="78"/>
  <c r="Q87" i="78"/>
  <c r="Q75" i="78"/>
  <c r="Q67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1" i="78"/>
  <c r="Q27" i="78"/>
  <c r="Q23" i="78"/>
  <c r="Q19" i="78"/>
  <c r="Q15" i="78"/>
  <c r="Q11" i="78"/>
  <c r="K34" i="76"/>
  <c r="K29" i="76"/>
  <c r="K25" i="76"/>
  <c r="K20" i="76"/>
  <c r="K16" i="76"/>
  <c r="K12" i="76"/>
  <c r="S30" i="71"/>
  <c r="S25" i="71"/>
  <c r="S21" i="71"/>
  <c r="S16" i="71"/>
  <c r="S12" i="71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O33" i="64"/>
  <c r="O28" i="64"/>
  <c r="O24" i="64"/>
  <c r="O20" i="64"/>
  <c r="O16" i="64"/>
  <c r="O12" i="64"/>
  <c r="N37" i="63"/>
  <c r="N33" i="63"/>
  <c r="N28" i="63"/>
  <c r="N24" i="63"/>
  <c r="N20" i="63"/>
  <c r="N16" i="63"/>
  <c r="N12" i="63"/>
  <c r="Q123" i="78"/>
  <c r="Q115" i="78"/>
  <c r="Q107" i="78"/>
  <c r="Q95" i="78"/>
  <c r="Q91" i="78"/>
  <c r="Q79" i="78"/>
  <c r="Q71" i="78"/>
  <c r="Q59" i="78"/>
  <c r="Q55" i="78"/>
  <c r="Q43" i="78"/>
  <c r="Q26" i="78"/>
  <c r="Q10" i="78"/>
  <c r="K19" i="76"/>
  <c r="S15" i="71"/>
  <c r="P77" i="69"/>
  <c r="P61" i="69"/>
  <c r="P45" i="69"/>
  <c r="P29" i="69"/>
  <c r="P13" i="69"/>
  <c r="O31" i="64"/>
  <c r="O15" i="64"/>
  <c r="N36" i="63"/>
  <c r="N19" i="63"/>
  <c r="Q30" i="78"/>
  <c r="K24" i="76"/>
  <c r="P49" i="69"/>
  <c r="O19" i="64"/>
  <c r="N23" i="63"/>
  <c r="Q39" i="78"/>
  <c r="Q22" i="78"/>
  <c r="K33" i="76"/>
  <c r="K15" i="76"/>
  <c r="S29" i="71"/>
  <c r="S11" i="71"/>
  <c r="P89" i="69"/>
  <c r="P73" i="69"/>
  <c r="P57" i="69"/>
  <c r="P41" i="69"/>
  <c r="P25" i="69"/>
  <c r="O27" i="64"/>
  <c r="O11" i="64"/>
  <c r="N32" i="63"/>
  <c r="N15" i="63"/>
  <c r="Q14" i="78"/>
  <c r="P81" i="69"/>
  <c r="P17" i="69"/>
  <c r="Q35" i="78"/>
  <c r="Q18" i="78"/>
  <c r="K28" i="76"/>
  <c r="K11" i="76"/>
  <c r="S24" i="71"/>
  <c r="P85" i="69"/>
  <c r="P69" i="69"/>
  <c r="P53" i="69"/>
  <c r="P37" i="69"/>
  <c r="P21" i="69"/>
  <c r="O23" i="64"/>
  <c r="N27" i="63"/>
  <c r="N11" i="63"/>
  <c r="Q47" i="78"/>
  <c r="S19" i="71"/>
  <c r="P65" i="69"/>
  <c r="P33" i="69"/>
  <c r="U354" i="61"/>
  <c r="U350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1" i="61"/>
  <c r="U256" i="61"/>
  <c r="U251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U353" i="61"/>
  <c r="U349" i="61"/>
  <c r="U345" i="61"/>
  <c r="U341" i="61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0" i="61"/>
  <c r="U255" i="61"/>
  <c r="U250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U356" i="61"/>
  <c r="U352" i="61"/>
  <c r="U348" i="61"/>
  <c r="U344" i="61"/>
  <c r="U340" i="61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3" i="61"/>
  <c r="U259" i="61"/>
  <c r="U254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355" i="61"/>
  <c r="U351" i="61"/>
  <c r="U347" i="61"/>
  <c r="U343" i="61"/>
  <c r="U339" i="61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2" i="61"/>
  <c r="U257" i="61"/>
  <c r="U253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2" i="61"/>
  <c r="U11" i="61"/>
  <c r="R61" i="59"/>
  <c r="R56" i="59"/>
  <c r="R52" i="59"/>
  <c r="R48" i="59"/>
  <c r="R44" i="59"/>
  <c r="R39" i="59"/>
  <c r="R35" i="59"/>
  <c r="R31" i="59"/>
  <c r="R26" i="59"/>
  <c r="R22" i="59"/>
  <c r="R18" i="59"/>
  <c r="R14" i="59"/>
  <c r="R59" i="59"/>
  <c r="R55" i="59"/>
  <c r="R51" i="59"/>
  <c r="R47" i="59"/>
  <c r="R43" i="59"/>
  <c r="R38" i="59"/>
  <c r="R34" i="59"/>
  <c r="R30" i="59"/>
  <c r="R25" i="59"/>
  <c r="R21" i="59"/>
  <c r="R17" i="59"/>
  <c r="R13" i="59"/>
  <c r="R58" i="59"/>
  <c r="R54" i="59"/>
  <c r="R50" i="59"/>
  <c r="R46" i="59"/>
  <c r="R41" i="59"/>
  <c r="R37" i="59"/>
  <c r="R33" i="59"/>
  <c r="R29" i="59"/>
  <c r="R24" i="59"/>
  <c r="R20" i="59"/>
  <c r="R16" i="59"/>
  <c r="R12" i="59"/>
  <c r="R62" i="59"/>
  <c r="R57" i="59"/>
  <c r="R53" i="59"/>
  <c r="R49" i="59"/>
  <c r="R45" i="59"/>
  <c r="R40" i="59"/>
  <c r="R36" i="59"/>
  <c r="R32" i="59"/>
  <c r="R28" i="59"/>
  <c r="R23" i="59"/>
  <c r="R19" i="59"/>
  <c r="R15" i="59"/>
  <c r="R11" i="59"/>
  <c r="D37" i="88"/>
  <c r="D38" i="88"/>
  <c r="L23" i="58"/>
  <c r="D31" i="88"/>
  <c r="L18" i="58"/>
  <c r="L13" i="58"/>
  <c r="L30" i="58"/>
  <c r="L25" i="58"/>
  <c r="D18" i="88"/>
  <c r="L15" i="58"/>
  <c r="L26" i="58"/>
  <c r="L10" i="58"/>
  <c r="L21" i="58"/>
  <c r="D17" i="88"/>
  <c r="L16" i="58"/>
  <c r="D23" i="88"/>
  <c r="D11" i="88"/>
  <c r="L12" i="58"/>
  <c r="D24" i="88"/>
  <c r="D33" i="88"/>
  <c r="L29" i="58"/>
  <c r="L28" i="58"/>
  <c r="D15" i="88"/>
  <c r="L20" i="58"/>
  <c r="L14" i="58"/>
  <c r="D42" i="88"/>
  <c r="D13" i="88"/>
  <c r="L27" i="58"/>
  <c r="L11" i="58"/>
  <c r="L22" i="58"/>
  <c r="D26" i="88"/>
  <c r="L17" i="58"/>
  <c r="D12" i="88"/>
  <c r="L24" i="5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9">
    <s v="Migdal Hashkaot Neches Boded"/>
    <s v="{[Time].[Hie Time].[Yom].&amp;[20190930]}"/>
    <s v="{[Medida].[Medida].&amp;[2]}"/>
    <s v="{[Keren].[Keren].[All]}"/>
    <s v="{[Cheshbon KM].[Hie Peilut].[Peilut 7].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3" si="28">
        <n x="1" s="1"/>
        <n x="26"/>
        <n x="27"/>
      </t>
    </mdx>
    <mdx n="0" f="v">
      <t c="3" si="28">
        <n x="1" s="1"/>
        <n x="29"/>
        <n x="27"/>
      </t>
    </mdx>
    <mdx n="0" f="v">
      <t c="3" si="28">
        <n x="1" s="1"/>
        <n x="30"/>
        <n x="27"/>
      </t>
    </mdx>
    <mdx n="0" f="v">
      <t c="3" si="28">
        <n x="1" s="1"/>
        <n x="31"/>
        <n x="27"/>
      </t>
    </mdx>
    <mdx n="0" f="v">
      <t c="3" si="28">
        <n x="1" s="1"/>
        <n x="32"/>
        <n x="27"/>
      </t>
    </mdx>
    <mdx n="0" f="v">
      <t c="3" si="28">
        <n x="1" s="1"/>
        <n x="33"/>
        <n x="27"/>
      </t>
    </mdx>
    <mdx n="0" f="v">
      <t c="3" si="28">
        <n x="1" s="1"/>
        <n x="34"/>
        <n x="27"/>
      </t>
    </mdx>
    <mdx n="0" f="v">
      <t c="3" si="28">
        <n x="1" s="1"/>
        <n x="35"/>
        <n x="27"/>
      </t>
    </mdx>
    <mdx n="0" f="v">
      <t c="3" si="28">
        <n x="1" s="1"/>
        <n x="36"/>
        <n x="27"/>
      </t>
    </mdx>
    <mdx n="0" f="v">
      <t c="3" si="28">
        <n x="1" s="1"/>
        <n x="37"/>
        <n x="27"/>
      </t>
    </mdx>
    <mdx n="0" f="v">
      <t c="3" si="28">
        <n x="1" s="1"/>
        <n x="38"/>
        <n x="27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<sst xmlns="http://schemas.openxmlformats.org/spreadsheetml/2006/main" count="6332" uniqueCount="1596">
  <si>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</si>
  <si>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</si>
  <si>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</si>
  <si>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</si>
  <si>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</si>
  <si>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</si>
  <si>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</si>
  <si>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</si>
  <si>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</si>
  <si>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</si>
  <si>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</si>
  <si>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</si>
  <si>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</si>
  <si>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</si>
  <si>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</si>
  <si>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</si>
  <si>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</si>
  <si>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</si>
  <si>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</si>
  <si>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</si>
  <si>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</si>
  <si>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</si>
  <si>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</si>
  <si>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</si>
  <si>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</si>
  <si>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</si>
  <si>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</si>
  <si>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</si>
  <si>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</si>
  <si>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</si>
  <si>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</si>
  <si>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</si>
  <si>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</si>
  <si>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</si>
  <si>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</si>
  <si>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</si>
  <si>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</si>
  <si>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</si>
  <si>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</si>
  <si>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</si>
  <si>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</si>
  <si>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</si>
  <si>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</si>
  <si>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</si>
  <si>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</si>
  <si>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</si>
  <si>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</si>
  <si>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</si>
  <si>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</si>
  <si>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</si>
  <si>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</si>
  <si>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</si>
  <si>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</si>
  <si>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</si>
  <si>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</si>
  <si>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</si>
  <si>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</si>
  <si>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</si>
  <si>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</si>
  <si>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</si>
  <si>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</si>
  <si>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</si>
  <si>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</si>
  <si>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</si>
  <si>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</si>
  <si>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מדדים אחרים בישראל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</si>
  <si>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</si>
  <si>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</si>
  <si>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</si>
  <si>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</si>
  <si>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</si>
  <si>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</si>
  <si>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</si>
  <si>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</si>
  <si>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</si>
  <si>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</si>
  <si>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</si>
  <si>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</si>
  <si>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</si>
  <si>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</si>
  <si>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</si>
  <si>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</si>
  <si>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</si>
  <si>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</si>
  <si>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</si>
  <si>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</si>
  <si>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</si>
  <si>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</si>
  <si>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</si>
  <si>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</si>
  <si>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</si>
  <si>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</si>
  <si>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</si>
  <si>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</si>
  <si>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</si>
  <si>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</si>
  <si>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</si>
  <si>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</si>
  <si>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</si>
  <si>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</si>
  <si>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</si>
  <si>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</si>
  <si>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</si>
  <si>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</si>
  <si>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</si>
  <si>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</si>
  <si>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</si>
  <si>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</si>
  <si>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</si>
  <si>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</si>
  <si>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</si>
  <si>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</si>
  <si>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</si>
  <si>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</si>
  <si>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</si>
  <si>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</si>
  <si>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</si>
  <si>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</si>
  <si>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</si>
  <si>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</si>
  <si>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</si>
  <si>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</si>
  <si>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</si>
  <si>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</si>
  <si>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</si>
  <si>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</si>
  <si>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</si>
  <si>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</si>
  <si>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</si>
  <si>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</si>
  <si>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</si>
  <si>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</si>
  <si>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</si>
  <si>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</si>
  <si>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</si>
  <si>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</si>
  <si>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</si>
  <si>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</si>
  <si>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</si>
  <si>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</si>
  <si>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</si>
  <si>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</si>
  <si>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</si>
  <si>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</si>
  <si>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</si>
  <si>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</si>
  <si>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</si>
  <si>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</si>
  <si>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</si>
  <si>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</si>
  <si>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</si>
  <si>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</si>
  <si>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</si>
  <si>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</si>
  <si>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</si>
  <si>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</si>
  <si>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</si>
  <si>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</si>
  <si>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</si>
  <si>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</si>
  <si>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</si>
  <si>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</si>
  <si>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</si>
  <si>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</si>
  <si>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</si>
  <si>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</si>
  <si>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</si>
  <si>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</si>
  <si>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</si>
  <si>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</si>
  <si>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</si>
  <si>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</si>
  <si>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</si>
  <si>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</si>
  <si>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</si>
  <si>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</si>
  <si>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</si>
  <si>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</si>
  <si>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</si>
  <si>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</si>
  <si>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</si>
  <si>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</si>
  <si>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</si>
  <si>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</si>
  <si>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</si>
  <si>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</si>
  <si>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</si>
  <si>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</si>
  <si>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</si>
  <si>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</si>
  <si>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</si>
  <si>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</si>
  <si>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</si>
  <si>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</si>
  <si>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</si>
  <si>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</si>
  <si>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</si>
  <si>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</si>
  <si>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</si>
  <si>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</si>
  <si>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</si>
  <si>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</si>
  <si>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</si>
  <si>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</si>
  <si>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</si>
  <si>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</si>
  <si>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</si>
  <si>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</si>
  <si>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</si>
  <si>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</si>
  <si>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</si>
  <si>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</si>
  <si>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</si>
  <si>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</si>
  <si>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</si>
  <si>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</si>
  <si>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</si>
  <si>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</si>
  <si>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</si>
  <si>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</si>
  <si>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</si>
  <si>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</si>
  <si>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</si>
  <si>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</si>
  <si>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</si>
  <si>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</si>
  <si>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</si>
  <si>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</si>
  <si>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</si>
  <si>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</si>
  <si>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</si>
  <si>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</si>
  <si>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</si>
  <si>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</si>
  <si>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</si>
  <si>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</si>
  <si>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</si>
  <si>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</si>
  <si>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</si>
  <si>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</si>
  <si>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</si>
  <si>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</si>
  <si>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</si>
  <si>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</si>
  <si>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</si>
  <si>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</si>
  <si>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</si>
  <si>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</si>
  <si>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</si>
  <si>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</si>
  <si>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</si>
  <si>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</si>
  <si>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</si>
  <si>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אישית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</si>
  <si>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</si>
  <si>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</si>
  <si>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</si>
  <si>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</si>
  <si>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</si>
  <si>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</si>
  <si>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</si>
  <si>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</si>
  <si>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</si>
  <si>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</si>
  <si>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</si>
  <si>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</si>
  <si>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</si>
  <si>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</si>
  <si>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</si>
  <si>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</si>
  <si>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</si>
  <si>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</si>
  <si>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</si>
  <si>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</si>
  <si>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</si>
  <si>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</si>
  <si>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</si>
  <si>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</si>
  <si>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</si>
  <si>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</si>
  <si>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</si>
  <si>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</si>
  <si>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</si>
  <si>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</si>
  <si>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</si>
  <si>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</si>
  <si>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</si>
  <si>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</si>
  <si>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</si>
  <si>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</si>
  <si>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</si>
  <si>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</si>
  <si>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</si>
  <si>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</si>
  <si>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</si>
  <si>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</si>
  <si>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</si>
  <si>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</si>
  <si>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</si>
  <si>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</si>
  <si>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</si>
  <si>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</si>
  <si>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</si>
  <si>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</si>
  <si>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</si>
  <si>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</si>
  <si>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</si>
  <si>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</si>
  <si>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</si>
  <si>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</si>
  <si>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</si>
  <si>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</si>
  <si>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</si>
  <si>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</si>
  <si>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</si>
  <si>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</si>
  <si>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</si>
  <si>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</si>
  <si>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</si>
  <si>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</si>
  <si>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</si>
  <si>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</si>
  <si>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</si>
  <si>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</si>
  <si>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</si>
  <si>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</si>
  <si>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</si>
  <si>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</si>
  <si>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</si>
  <si>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</si>
  <si>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</si>
  <si>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</si>
  <si>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</si>
  <si>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</si>
  <si>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</si>
  <si>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</si>
  <si>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</si>
  <si>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</si>
  <si>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</si>
  <si>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</si>
  <si>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</si>
  <si>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</si>
  <si>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</si>
  <si>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</si>
  <si>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</si>
  <si>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</si>
  <si>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</si>
  <si>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</si>
  <si>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</si>
  <si>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</si>
  <si>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</si>
  <si>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</si>
  <si>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</si>
  <si>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</si>
  <si>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</si>
  <si>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</si>
  <si>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</si>
  <si>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</si>
  <si>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</si>
  <si>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</si>
  <si>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</si>
  <si>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</si>
  <si>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</si>
  <si>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</si>
  <si>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</si>
  <si>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</si>
  <si>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</si>
  <si>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</si>
  <si>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</si>
  <si>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</si>
  <si>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</si>
  <si>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</si>
  <si>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</si>
  <si>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</si>
  <si>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</si>
  <si>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</si>
  <si>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</si>
  <si>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</si>
  <si>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</si>
  <si>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</si>
  <si>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</si>
  <si>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</si>
  <si>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</si>
  <si>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</si>
  <si>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</si>
  <si>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</si>
  <si>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</si>
  <si>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</si>
  <si>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</si>
  <si>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</si>
  <si>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</si>
  <si>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</si>
  <si>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</si>
  <si>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</si>
  <si>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</si>
  <si>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</si>
  <si>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</si>
  <si>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</si>
  <si>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</si>
  <si>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</si>
  <si>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</si>
  <si>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</si>
  <si>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</si>
  <si>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</si>
  <si>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</si>
  <si>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</si>
  <si>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</si>
  <si>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</si>
  <si>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</si>
  <si>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</si>
  <si>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</si>
  <si>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</si>
  <si>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</si>
  <si>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</si>
  <si>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</si>
  <si>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</si>
  <si>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</si>
  <si>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</si>
  <si>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</si>
  <si>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</si>
  <si>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</si>
  <si>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</si>
  <si>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</si>
  <si>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</si>
  <si>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</si>
  <si>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</si>
  <si>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</si>
  <si>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</si>
  <si>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</si>
  <si>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</si>
  <si>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</si>
  <si>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</si>
  <si>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</si>
  <si>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</si>
  <si>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</si>
  <si>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</si>
  <si>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</si>
  <si>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</si>
  <si>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</si>
  <si>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</si>
  <si>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</si>
  <si>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</si>
  <si>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</si>
  <si>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</si>
  <si>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</si>
  <si>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</si>
  <si>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</si>
  <si>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</si>
  <si>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</si>
  <si>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</si>
  <si>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</si>
  <si>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</si>
  <si>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</si>
  <si>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</si>
  <si>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</si>
  <si>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</si>
  <si>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</si>
  <si>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</si>
  <si>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</si>
  <si>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</si>
  <si>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</si>
  <si>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</si>
  <si>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</si>
  <si>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</si>
  <si>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</si>
  <si>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</si>
  <si>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</si>
  <si>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</si>
  <si>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</si>
  <si>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</si>
  <si>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</si>
  <si>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</si>
  <si>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</si>
  <si>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</si>
  <si>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</si>
  <si>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</si>
  <si>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</si>
  <si>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</si>
  <si>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</si>
  <si>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</si>
  <si>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</si>
  <si>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</si>
  <si>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</si>
  <si>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</si>
  <si>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</si>
  <si>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</si>
  <si>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</si>
  <si>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</si>
  <si>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</si>
  <si>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</si>
  <si>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</si>
  <si>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</si>
  <si>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</si>
  <si>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</si>
  <si>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</si>
  <si>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</si>
  <si>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</si>
  <si>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</si>
  <si>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</si>
  <si>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</si>
  <si>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</si>
  <si>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</si>
  <si>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</si>
  <si>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</si>
  <si>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</si>
  <si>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</si>
  <si>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</si>
  <si>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</si>
  <si>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</si>
  <si>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</si>
  <si>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</si>
  <si>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</si>
  <si>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</si>
  <si>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</si>
  <si>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</si>
  <si>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</si>
  <si>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</si>
  <si>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</si>
  <si>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</si>
  <si>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</si>
  <si>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</si>
  <si>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</si>
  <si>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</si>
  <si>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</si>
  <si>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</si>
  <si>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</si>
  <si>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</si>
  <si>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</si>
  <si>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</si>
  <si>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</si>
  <si>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</si>
  <si>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</si>
  <si>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</si>
  <si>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</si>
  <si>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</si>
  <si>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</si>
  <si>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</si>
  <si>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</si>
  <si>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</si>
  <si>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</si>
  <si>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</si>
  <si>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</si>
  <si>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</si>
  <si>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</si>
  <si>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</si>
  <si>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</si>
  <si>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</si>
  <si>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</si>
  <si>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</si>
  <si>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</si>
  <si>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</si>
  <si>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</si>
  <si>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</si>
  <si>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</si>
  <si>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</si>
  <si>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</si>
  <si>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</si>
  <si>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</si>
  <si>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</si>
  <si>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</si>
  <si>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</si>
  <si>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</si>
  <si>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</si>
  <si>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</si>
  <si>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</si>
  <si>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</si>
  <si>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</si>
  <si>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</si>
  <si>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</si>
  <si>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</si>
  <si>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</si>
  <si>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</si>
  <si>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</si>
  <si>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</si>
  <si>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</si>
  <si>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</si>
  <si>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</si>
  <si>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</si>
  <si>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</si>
  <si>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</si>
  <si>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</si>
  <si>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</si>
  <si>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</si>
  <si>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</si>
  <si>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</si>
  <si>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</si>
  <si>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</si>
  <si>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</si>
  <si>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</si>
  <si>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</si>
  <si>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</si>
  <si>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</si>
  <si>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</si>
  <si>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</si>
  <si>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</si>
  <si>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</si>
  <si>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</si>
  <si>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</si>
  <si>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</si>
  <si>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</si>
  <si>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</si>
  <si>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</si>
  <si>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</si>
  <si>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</si>
  <si>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</si>
  <si>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</si>
  <si>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</si>
  <si>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</si>
  <si>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</si>
  <si>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</si>
  <si>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</si>
  <si>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</si>
  <si>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</si>
  <si>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</si>
  <si>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</si>
  <si>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</si>
  <si>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</si>
  <si>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</si>
  <si>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</si>
  <si>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</si>
  <si>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</si>
  <si>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</si>
  <si>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</si>
  <si>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</si>
  <si>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</si>
  <si>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</si>
  <si>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</si>
  <si>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</si>
  <si>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</si>
  <si>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</si>
  <si>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</si>
  <si>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</si>
  <si>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</si>
  <si>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</si>
  <si>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</si>
  <si>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</si>
  <si>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</si>
  <si>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</si>
  <si>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</si>
  <si>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</si>
  <si>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</si>
  <si>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</si>
  <si>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</si>
  <si>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</si>
  <si>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</si>
  <si>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</si>
  <si>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</si>
  <si>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</si>
  <si>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</si>
  <si>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</si>
  <si>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</si>
  <si>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</si>
  <si>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</si>
  <si>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</si>
  <si>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</si>
  <si>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</si>
  <si>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</si>
  <si>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</si>
  <si>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</si>
  <si>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</si>
  <si>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</si>
  <si>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</si>
  <si>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</si>
  <si>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</si>
  <si>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</si>
  <si>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</si>
  <si>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</si>
  <si>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</si>
  <si>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</si>
  <si>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</si>
  <si>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</si>
  <si>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</si>
  <si>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</si>
  <si>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</si>
  <si>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</si>
  <si>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</si>
  <si>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</si>
  <si>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</si>
  <si>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</si>
  <si>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</si>
  <si>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</si>
  <si>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</si>
  <si>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</si>
  <si>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</si>
  <si>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</si>
  <si>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</si>
  <si>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</si>
  <si>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</si>
  <si>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</si>
  <si>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</si>
  <si>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</si>
  <si>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</si>
  <si>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</si>
  <si>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</si>
  <si>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</si>
  <si>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</si>
  <si>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</si>
  <si>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</si>
  <si>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</si>
  <si>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</si>
  <si>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</si>
  <si>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</si>
  <si>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</si>
  <si>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</si>
  <si>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</si>
  <si>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</si>
  <si>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</si>
  <si>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</si>
  <si>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</si>
  <si>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</si>
  <si>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</si>
  <si>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</si>
  <si>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</si>
  <si>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</si>
  <si>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</si>
  <si>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</si>
  <si>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</si>
  <si>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</si>
  <si>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</si>
  <si>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</si>
  <si>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</si>
  <si>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</si>
  <si>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</si>
  <si>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</si>
  <si>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</si>
  <si>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</si>
  <si>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</si>
  <si>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</si>
  <si>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</si>
  <si>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</si>
  <si>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</si>
  <si>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</si>
  <si>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</si>
  <si>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</si>
  <si>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</si>
  <si>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</si>
  <si>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</si>
  <si>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</si>
  <si>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</si>
  <si>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</si>
  <si>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</si>
  <si>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</si>
  <si>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</si>
  <si>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</si>
  <si>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</si>
  <si>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</si>
  <si>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</si>
  <si>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</si>
  <si>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</si>
  <si>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</si>
  <si>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</si>
  <si>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</si>
  <si>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</si>
  <si>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</si>
  <si>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</si>
  <si>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</si>
  <si>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</si>
  <si>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</si>
  <si>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</si>
  <si>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</si>
  <si>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</si>
  <si>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</si>
  <si>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</si>
  <si>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</si>
  <si>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</si>
  <si>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</si>
  <si>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</si>
  <si>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</si>
  <si>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</si>
  <si>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</si>
  <si>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</si>
  <si>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</si>
  <si>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</si>
  <si>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</si>
  <si>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</si>
  <si>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</si>
  <si>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</si>
  <si>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</si>
  <si>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</si>
  <si>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</si>
  <si>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</si>
  <si>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</si>
  <si>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</si>
  <si>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</si>
  <si>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</si>
  <si>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</si>
  <si>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</si>
  <si>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</si>
  <si>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</si>
  <si>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</si>
  <si>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</si>
  <si>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</si>
  <si>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</si>
  <si>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</si>
  <si>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</si>
  <si>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</si>
  <si>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</si>
  <si>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</si>
  <si>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</si>
  <si>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</si>
  <si>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</si>
  <si>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</si>
  <si>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</si>
  <si>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</si>
  <si>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</si>
  <si>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</si>
  <si>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</si>
  <si>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</si>
  <si>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</si>
  <si>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</si>
  <si>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</si>
  <si>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</si>
  <si>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</si>
  <si>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</si>
  <si>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</si>
  <si>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</si>
  <si>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</si>
  <si>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</si>
  <si>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</si>
  <si>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</si>
  <si>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</si>
  <si>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</si>
  <si>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</si>
  <si>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</si>
  <si>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</si>
  <si>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</si>
  <si>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</si>
  <si>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</si>
  <si>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</si>
  <si>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</si>
  <si>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</si>
  <si>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</si>
  <si>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</si>
  <si>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</si>
  <si>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</si>
  <si>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</si>
  <si>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</si>
  <si>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</si>
  <si>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</si>
  <si>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</si>
  <si>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</si>
  <si>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</si>
  <si>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</si>
  <si>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</si>
  <si>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</si>
  <si>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</si>
  <si>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</si>
  <si>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</si>
  <si>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</si>
  <si>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</si>
  <si>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</si>
  <si>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</si>
  <si>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</si>
  <si>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</si>
  <si>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</si>
  <si>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</si>
  <si>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</si>
  <si>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</si>
  <si>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</si>
  <si>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</si>
  <si>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</si>
  <si>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</si>
  <si>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</si>
  <si>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</si>
  <si>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</si>
  <si>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</si>
  <si>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</si>
  <si>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</si>
  <si>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</si>
  <si>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</si>
  <si>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</si>
  <si>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</si>
  <si>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</si>
  <si>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</si>
  <si>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</si>
  <si>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</si>
  <si>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</si>
  <si>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</si>
  <si>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</si>
  <si>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</si>
  <si>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</si>
  <si>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</si>
  <si>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</si>
  <si>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</si>
  <si>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</si>
  <si>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</si>
  <si>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</si>
  <si>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</si>
  <si>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</si>
  <si>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</si>
  <si>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</si>
  <si>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</si>
  <si>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</si>
  <si>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</si>
  <si>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</si>
  <si>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</si>
  <si>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</si>
  <si>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</si>
  <si>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</si>
  <si>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</si>
  <si>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</si>
  <si>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</si>
  <si>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</si>
  <si>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</si>
  <si>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</si>
  <si>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</si>
  <si>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</si>
  <si>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</si>
  <si>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</si>
  <si>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</si>
  <si>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</si>
  <si>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</si>
  <si>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</si>
  <si>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</si>
  <si>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</si>
  <si>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</si>
  <si>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</si>
  <si>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</si>
  <si>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</si>
  <si>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</si>
  <si>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</si>
  <si>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</si>
  <si>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</si>
  <si>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</si>
  <si>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</si>
  <si>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</si>
  <si>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</si>
  <si>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</si>
  <si>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</si>
  <si>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</si>
  <si>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</si>
  <si>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</si>
  <si>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</si>
  <si>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</si>
  <si>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</si>
  <si>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</si>
  <si>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</si>
  <si>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</si>
  <si>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</si>
  <si>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</si>
  <si>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</si>
  <si>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</si>
  <si>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</si>
  <si>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</si>
  <si>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</si>
  <si>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</si>
  <si>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</si>
  <si>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</si>
  <si>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</si>
  <si>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</si>
  <si>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</si>
  <si>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</si>
  <si>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</si>
  <si>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</si>
  <si>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</si>
  <si>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</si>
  <si>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</si>
  <si>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</si>
  <si>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</si>
  <si>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</si>
  <si>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</si>
  <si>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</si>
  <si>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</si>
  <si>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</si>
  <si>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</si>
  <si>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</si>
  <si>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</si>
  <si>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</si>
  <si>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</si>
  <si>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</si>
  <si>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</si>
  <si>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</si>
  <si>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</si>
  <si>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</si>
  <si>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</si>
  <si>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</si>
  <si>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</si>
  <si>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</si>
  <si>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</si>
  <si>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</si>
  <si>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</si>
  <si>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</si>
  <si>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</si>
  <si>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</si>
  <si>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</si>
  <si>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</si>
  <si>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</si>
  <si>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</si>
  <si>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</si>
  <si>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</si>
  <si>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</si>
  <si>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</si>
  <si>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</si>
  <si>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</si>
  <si>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</si>
  <si>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</si>
  <si>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</si>
  <si>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</si>
  <si>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</si>
  <si>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</si>
  <si>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</si>
  <si>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</si>
  <si>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</si>
  <si>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</si>
  <si>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</si>
  <si>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</si>
  <si>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</si>
  <si>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</si>
  <si>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</si>
  <si>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</si>
  <si>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</si>
  <si>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</si>
  <si>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</si>
  <si>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</si>
  <si>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</si>
  <si>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</si>
  <si>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</si>
  <si>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</si>
  <si>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</si>
  <si>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</si>
  <si>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</si>
  <si>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</si>
  <si>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</si>
  <si>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</si>
  <si>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</si>
  <si>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</si>
  <si>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</si>
  <si>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</si>
  <si>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</si>
  <si>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</si>
  <si>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</si>
  <si>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</si>
  <si>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</si>
  <si>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</si>
  <si>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</si>
  <si>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</si>
  <si>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</si>
  <si>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</si>
  <si>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</si>
  <si>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</si>
  <si>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</si>
  <si>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</si>
  <si>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</si>
  <si>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</si>
  <si>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</si>
  <si>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</si>
  <si>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</si>
  <si>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</si>
  <si>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</si>
  <si>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</si>
  <si>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</si>
  <si>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</si>
  <si>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</si>
  <si>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</si>
  <si>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</si>
  <si>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</si>
  <si>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</si>
  <si>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</si>
  <si>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</si>
  <si>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</si>
  <si>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</si>
  <si>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</si>
  <si>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</si>
  <si>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</si>
  <si>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</si>
  <si>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</si>
  <si>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</si>
  <si>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</si>
  <si>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</si>
  <si>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</si>
  <si>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</si>
  <si>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</si>
  <si>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</si>
  <si>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</si>
  <si>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</si>
  <si>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</si>
  <si>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</si>
  <si>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</si>
  <si>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</si>
  <si>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</si>
  <si>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</si>
  <si>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</si>
  <si>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</si>
  <si>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</si>
  <si>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</si>
  <si>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</si>
  <si>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</si>
  <si>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</si>
  <si>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</si>
  <si>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</si>
  <si>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</si>
  <si>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</si>
  <si>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</si>
  <si>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</si>
  <si>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</si>
  <si>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</si>
  <si>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</si>
  <si>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</si>
  <si>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</si>
  <si>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</si>
  <si>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</si>
  <si>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</si>
  <si>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</si>
  <si>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</si>
  <si>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</si>
  <si>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</si>
  <si>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</si>
  <si>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</si>
  <si>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</si>
  <si>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</si>
  <si>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</si>
  <si>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</si>
  <si>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</si>
  <si>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</si>
  <si>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</si>
  <si>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</si>
  <si>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</si>
  <si>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</si>
  <si>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</si>
  <si>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</si>
  <si>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</si>
  <si>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</si>
  <si>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</si>
  <si>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</si>
  <si>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</si>
  <si>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</si>
  <si>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</si>
  <si>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</si>
  <si>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</si>
  <si>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</si>
  <si>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</si>
  <si>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</si>
  <si>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</si>
  <si>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</si>
  <si>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</si>
  <si>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</si>
  <si>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</si>
  <si>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</si>
  <si>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</si>
  <si>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</si>
  <si>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</si>
  <si>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</si>
  <si>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</si>
  <si>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</si>
  <si>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</si>
  <si>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</si>
  <si>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</si>
  <si>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</si>
  <si>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</si>
  <si>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</si>
  <si>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</si>
  <si>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</si>
  <si>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</si>
  <si>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</si>
  <si>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</si>
  <si>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</si>
  <si>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</si>
  <si>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</si>
  <si>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</si>
  <si>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</si>
  <si>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</si>
  <si>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</si>
  <si>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</si>
  <si>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</si>
  <si>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</si>
  <si>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</si>
  <si>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</si>
  <si>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</si>
  <si>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</si>
  <si>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</si>
  <si>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</si>
  <si>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</si>
  <si>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</si>
  <si>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</si>
  <si>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</si>
  <si>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</si>
  <si>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</si>
  <si>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</si>
  <si>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</si>
  <si>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</si>
  <si>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</si>
  <si>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</si>
  <si>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</si>
  <si>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</si>
  <si>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</si>
  <si>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</si>
  <si>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</si>
  <si>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</si>
  <si>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</si>
  <si>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</si>
  <si>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</si>
  <si>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</si>
  <si>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</si>
  <si>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</si>
  <si>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</si>
  <si>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</si>
  <si>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</si>
  <si>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</si>
  <si>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</si>
  <si>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</si>
  <si>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</si>
  <si>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</si>
  <si>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</si>
  <si>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</si>
  <si>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</si>
  <si>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</si>
  <si>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</si>
  <si>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</si>
  <si>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</si>
  <si>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</si>
  <si>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</si>
  <si>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</si>
  <si>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</si>
  <si>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</si>
  <si>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</si>
  <si>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</si>
  <si>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</si>
  <si>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</si>
  <si>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</si>
  <si>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</si>
  <si>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</si>
  <si>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</si>
  <si>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</si>
  <si>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</si>
  <si>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</si>
  <si>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</si>
  <si>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</si>
  <si>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</si>
  <si>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</si>
  <si>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</si>
  <si>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</si>
  <si>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</si>
  <si>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</si>
  <si>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</si>
  <si>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</si>
  <si>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</si>
  <si>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</si>
  <si>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</si>
  <si>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</si>
  <si>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</si>
  <si>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</si>
  <si>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</si>
  <si>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</si>
  <si>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</si>
  <si>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</si>
  <si>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</si>
  <si>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</si>
  <si>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</si>
  <si>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</si>
  <si>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</si>
  <si>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</si>
  <si>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</si>
  <si>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</si>
  <si>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</si>
  <si>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</si>
  <si>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</si>
  <si>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</si>
  <si>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</si>
  <si>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</si>
  <si>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</si>
  <si>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</si>
  <si>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</si>
  <si>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</si>
  <si>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</si>
  <si>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</si>
  <si>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</si>
  <si>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</si>
  <si>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</si>
  <si>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</si>
  <si>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</si>
  <si>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</si>
  <si>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</si>
  <si>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</si>
  <si>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</si>
  <si>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</si>
  <si>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</si>
  <si>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</si>
  <si>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</si>
  <si>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</si>
  <si>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</si>
  <si>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</si>
  <si>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</si>
  <si>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</si>
  <si>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</si>
  <si>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</si>
  <si>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</si>
  <si>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</si>
  <si>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</si>
  <si>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</si>
  <si>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</si>
  <si>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</si>
  <si>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</si>
  <si>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</si>
  <si>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</si>
  <si>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</si>
  <si>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</si>
  <si>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</si>
  <si>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</si>
  <si>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</si>
  <si>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</si>
  <si>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</si>
  <si>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</si>
  <si>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</si>
  <si>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</si>
  <si>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</si>
  <si>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</si>
  <si>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</si>
  <si>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</si>
  <si>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</si>
  <si>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</si>
  <si>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</si>
  <si>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</si>
  <si>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</si>
  <si>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</si>
  <si>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</si>
  <si>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</si>
  <si>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</si>
  <si>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</si>
  <si>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</si>
  <si>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</si>
  <si>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</si>
  <si>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</si>
  <si>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</si>
  <si>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</si>
  <si>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</si>
  <si>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</si>
  <si>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</si>
  <si>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</si>
  <si>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</si>
  <si>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</si>
  <si>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</si>
  <si>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</si>
  <si>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</si>
  <si>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</si>
  <si>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</si>
  <si>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</si>
  <si>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</si>
  <si>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</si>
  <si>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</si>
  <si>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</si>
  <si>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</si>
  <si>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</si>
  <si>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</si>
  <si>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</si>
  <si>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</si>
  <si>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</si>
  <si>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</si>
  <si>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</si>
  <si>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</si>
  <si>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</si>
  <si>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</si>
  <si>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</si>
  <si>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</si>
  <si>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</si>
  <si>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</si>
  <si>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</si>
  <si>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</si>
  <si>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</si>
  <si>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</si>
  <si>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8860</t>
  </si>
  <si>
    <t>88600000</t>
  </si>
  <si>
    <t>ערד 8863</t>
  </si>
  <si>
    <t>88630000</t>
  </si>
  <si>
    <t>ערד 8865</t>
  </si>
  <si>
    <t>88650000</t>
  </si>
  <si>
    <t>ערד 8866</t>
  </si>
  <si>
    <t>88660000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</si>
  <si>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</si>
  <si>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</si>
  <si>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</si>
  <si>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</si>
  <si>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</si>
  <si>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</si>
  <si>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</si>
  <si>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</si>
  <si>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</si>
  <si>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</si>
  <si>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</si>
  <si>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</si>
  <si>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</si>
  <si>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</si>
  <si>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</si>
  <si>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</si>
  <si>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</si>
  <si>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</si>
  <si>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</si>
  <si>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</si>
  <si>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</si>
  <si>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</si>
  <si>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</si>
  <si>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</si>
  <si>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</si>
  <si>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</si>
  <si>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</si>
  <si>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</si>
  <si>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</si>
  <si>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</si>
  <si>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</si>
  <si>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</si>
  <si>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</si>
  <si>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</si>
  <si>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</si>
  <si>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</si>
  <si>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</si>
  <si>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</si>
  <si>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</si>
  <si>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</si>
  <si>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</si>
  <si>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</si>
  <si>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</si>
  <si>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</si>
  <si>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</si>
  <si>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</si>
  <si>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</si>
  <si>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</si>
  <si>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</si>
  <si>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</si>
  <si>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</si>
  <si>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</si>
  <si>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</si>
  <si>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</si>
  <si>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</si>
  <si>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</si>
  <si>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</si>
  <si>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520036716</t>
  </si>
  <si>
    <t>אורמת אגח 3*</t>
  </si>
  <si>
    <t>1139179</t>
  </si>
  <si>
    <t>ל.ר.</t>
  </si>
  <si>
    <t>₪ / מט"ח</t>
  </si>
  <si>
    <t>+ILS/-USD 3.429 11-06-20 (10) -575</t>
  </si>
  <si>
    <t>10000199</t>
  </si>
  <si>
    <t>+ILS/-USD 3.452 10-11-20 (10) -800</t>
  </si>
  <si>
    <t>10000195</t>
  </si>
  <si>
    <t>+ILS/-USD 3.477 11-06-20 (10) -550</t>
  </si>
  <si>
    <t>10000197</t>
  </si>
  <si>
    <t>+ILS/-USD 3.484 11-06-20 (10) -605</t>
  </si>
  <si>
    <t>10000200</t>
  </si>
  <si>
    <t>+ILS/-USD 3.5021 10-11-20 (10) -904</t>
  </si>
  <si>
    <t>10000188</t>
  </si>
  <si>
    <t>+ILS/-USD 3.5055 11-06-20 (10) -690</t>
  </si>
  <si>
    <t>10000187</t>
  </si>
  <si>
    <t>+ILS/-USD 3.531 11-06-20 (10) -780</t>
  </si>
  <si>
    <t>10000185</t>
  </si>
  <si>
    <t>+EUR/-USD 1.127 09-04-20 (10) +186</t>
  </si>
  <si>
    <t>10000201</t>
  </si>
  <si>
    <t>+EUR/-USD 1.1318 04-05-20 (12) +202</t>
  </si>
  <si>
    <t>10000035</t>
  </si>
  <si>
    <t>+USD/-EUR 1.1203 27-03-20 (10) +156</t>
  </si>
  <si>
    <t>10000206</t>
  </si>
  <si>
    <t>+USD/-EUR 1.1282 04-05-20 (12) +239</t>
  </si>
  <si>
    <t>10000022</t>
  </si>
  <si>
    <t>+USD/-EUR 1.15192 09-04-20 (10) +234.2</t>
  </si>
  <si>
    <t>10000192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</si>
  <si>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</si>
  <si>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</si>
  <si>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</si>
  <si>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</si>
  <si>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</si>
  <si>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</si>
  <si>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1.24427 11-05-20 (10) +102.7</t>
  </si>
  <si>
    <t>10000204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</si>
  <si>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</si>
  <si>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</si>
  <si>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</si>
  <si>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</si>
  <si>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</si>
  <si>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</si>
  <si>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</si>
  <si>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</si>
  <si>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</si>
  <si>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</si>
  <si>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</si>
  <si>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</si>
  <si>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</si>
  <si>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</si>
  <si>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</si>
  <si>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</si>
  <si>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</si>
  <si>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</si>
  <si>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</si>
  <si>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</si>
  <si>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</si>
  <si>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30312000</t>
  </si>
  <si>
    <t>32012000</t>
  </si>
  <si>
    <t>32010000</t>
  </si>
  <si>
    <t>34510000</t>
  </si>
  <si>
    <t>33810000</t>
  </si>
  <si>
    <t>30210000</t>
  </si>
  <si>
    <t>34010000</t>
  </si>
  <si>
    <t>32020000</t>
  </si>
  <si>
    <t>34020000</t>
  </si>
  <si>
    <t>30326000</t>
  </si>
  <si>
    <t>AA</t>
  </si>
  <si>
    <t>דירוג פנימי</t>
  </si>
  <si>
    <t>לא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</si>
  <si>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</si>
  <si>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</si>
  <si>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</si>
  <si>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</si>
  <si>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</si>
  <si>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</si>
  <si>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</si>
  <si>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</si>
  <si>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11898556</t>
  </si>
  <si>
    <t>11898557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</si>
  <si>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</si>
  <si>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</si>
  <si>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</si>
  <si>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</si>
  <si>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</si>
  <si>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</si>
  <si>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</si>
  <si>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</si>
  <si>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</si>
  <si>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</si>
  <si>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</si>
  <si>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</si>
  <si>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</si>
  <si>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</si>
  <si>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</si>
  <si>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</si>
  <si>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</si>
  <si>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</si>
  <si>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</si>
  <si>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</si>
  <si>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</si>
  <si>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</si>
  <si>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</si>
  <si>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</si>
  <si>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</si>
  <si>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</si>
  <si>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</si>
  <si>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</si>
  <si>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</si>
  <si>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</si>
  <si>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</si>
  <si>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91050037</t>
  </si>
  <si>
    <t>91040010</t>
  </si>
  <si>
    <t>455954</t>
  </si>
  <si>
    <t>482154</t>
  </si>
  <si>
    <t>482153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</si>
  <si>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</si>
  <si>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</si>
  <si>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</si>
  <si>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</si>
  <si>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</si>
  <si>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</si>
  <si>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</si>
  <si>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</si>
  <si>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</si>
  <si>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</si>
  <si>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</si>
  <si>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</si>
  <si>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</si>
  <si>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</si>
  <si>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508506</t>
  </si>
  <si>
    <t>קרדן אן.וי אגח ב חש 2/18</t>
  </si>
  <si>
    <t>1143270</t>
  </si>
  <si>
    <t>סה"כ יתרות התחייבות להשקעה</t>
  </si>
  <si>
    <t>סה"כ בישראל</t>
  </si>
  <si>
    <t>סה"כ בחו"ל</t>
  </si>
  <si>
    <t>פורוורד ריבית</t>
  </si>
  <si>
    <t>מובטחות משכנתא - גורם 01</t>
  </si>
  <si>
    <t>בבטחונות אחרים - גורם 144</t>
  </si>
  <si>
    <t>בבטחונות אחרים - גורם 94</t>
  </si>
  <si>
    <t>בבטחונות אחרים - גורם 111</t>
  </si>
  <si>
    <t>בבטחונות אחרים - גורם 147</t>
  </si>
  <si>
    <t>בבטחונות אחרים - גורם 41</t>
  </si>
  <si>
    <t>בבטחונות אחרים-גורם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</si>
  <si>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</si>
  <si>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</si>
  <si>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</si>
  <si>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</si>
  <si>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</si>
  <si>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</si>
  <si>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אחרים-גורם 103</t>
  </si>
  <si>
    <t>בבטחונות אחרים - גורם 130</t>
  </si>
  <si>
    <t>בבטחונות אחרים - גורם 104</t>
  </si>
  <si>
    <t>בבטחונות אחרים - גורם 90</t>
  </si>
  <si>
    <t>בבטחונות אחרים - גורם 61</t>
  </si>
  <si>
    <t>בבטחונות אחרים - גורם 115*</t>
  </si>
  <si>
    <t>בבטחונות אחרים - גורם 137</t>
  </si>
  <si>
    <t>בבטחונות אחרים - גורם 131</t>
  </si>
  <si>
    <t>בבטחונות אחרים - גורם 143</t>
  </si>
  <si>
    <t>בבטחונות אחרים - גורם 138</t>
  </si>
  <si>
    <t>בבטחונות אחרים - גורם 142</t>
  </si>
  <si>
    <t>גורם 111</t>
  </si>
  <si>
    <t>גורם 98</t>
  </si>
  <si>
    <t>גורם 105</t>
  </si>
  <si>
    <t>גורם 43</t>
  </si>
  <si>
    <t>גורם 113</t>
  </si>
  <si>
    <t>גורם 104</t>
  </si>
  <si>
    <t>גורם 137</t>
  </si>
  <si>
    <t>גורם 143</t>
  </si>
  <si>
    <t>גורם 138</t>
  </si>
  <si>
    <t>גורם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</si>
</sst>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33" fillId="0" borderId="0"/>
  </cellStyleXfs>
  <cellXfs count="16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Font="1" applyFill="1" applyBorder="1" applyAlignment="1">
      <alignment horizontal="right" indent="2"/>
    </xf>
    <xf numFmtId="2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164" fontId="32" fillId="0" borderId="0" xfId="0" applyNumberFormat="1" applyFont="1" applyFill="1" applyBorder="1" applyAlignment="1">
      <alignment horizontal="right"/>
    </xf>
    <xf numFmtId="0" fontId="2" fillId="0" borderId="0" xfId="15" applyAlignment="1">
      <alignment horizontal="right"/>
    </xf>
    <xf numFmtId="170" fontId="2" fillId="0" borderId="0" xfId="16" applyNumberFormat="1" applyFont="1"/>
    <xf numFmtId="14" fontId="2" fillId="0" borderId="0" xfId="15" applyNumberFormat="1"/>
    <xf numFmtId="14" fontId="1" fillId="0" borderId="0" xfId="17" applyNumberFormat="1"/>
    <xf numFmtId="14" fontId="1" fillId="0" borderId="0" xfId="17" applyNumberFormat="1"/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19">
    <cellStyle name="Comma" xfId="13" builtinId="3"/>
    <cellStyle name="Comma 2" xfId="1"/>
    <cellStyle name="Comma 4" xfId="16"/>
    <cellStyle name="Currency [0] _1" xfId="2"/>
    <cellStyle name="Hyperlink 2" xfId="3"/>
    <cellStyle name="Normal" xfId="0" builtinId="0"/>
    <cellStyle name="Normal 11" xfId="4"/>
    <cellStyle name="Normal 2" xfId="5"/>
    <cellStyle name="Normal 2 2" xfId="18"/>
    <cellStyle name="Normal 3" xfId="6"/>
    <cellStyle name="Normal 4" xfId="12"/>
    <cellStyle name="Normal 5" xfId="17"/>
    <cellStyle name="Normal_2007-16618" xfId="7"/>
    <cellStyle name="Normal_יתרת התחייבות להשקעה" xfId="15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198120</xdr:colOff>
      <xdr:row>50</xdr:row>
      <xdr:rowOff>0</xdr:rowOff>
    </xdr:from>
    <xdr:to>
      <xdr:col>26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selection activeCell="L10" sqref="L10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4" width="7.7109375" style="9" customWidth="1"/>
    <col min="25" max="25" width="7.140625" style="9" customWidth="1"/>
    <col min="26" max="26" width="6" style="9" customWidth="1"/>
    <col min="27" max="27" width="8.140625" style="9" customWidth="1"/>
    <col min="28" max="28" width="6.28515625" style="9" customWidth="1"/>
    <col min="29" max="29" width="8" style="9" customWidth="1"/>
    <col min="30" max="30" width="8.7109375" style="9" customWidth="1"/>
    <col min="31" max="31" width="10" style="9" customWidth="1"/>
    <col min="32" max="32" width="9.5703125" style="9" customWidth="1"/>
    <col min="33" max="33" width="6.140625" style="9" customWidth="1"/>
    <col min="34" max="35" width="5.7109375" style="9" customWidth="1"/>
    <col min="36" max="36" width="6.85546875" style="9" customWidth="1"/>
    <col min="37" max="37" width="6.42578125" style="9" customWidth="1"/>
    <col min="38" max="38" width="6.7109375" style="9" customWidth="1"/>
    <col min="39" max="39" width="7.28515625" style="9" customWidth="1"/>
    <col min="40" max="51" width="5.7109375" style="9" customWidth="1"/>
    <col min="52" max="16384" width="9.140625" style="9"/>
  </cols>
  <sheetData>
    <row r="1" spans="1:21">
      <c r="B1" s="57" t="s">
        <v>180</v>
      </c>
      <c r="C1" s="78" t="s" vm="1">
        <v>251</v>
      </c>
    </row>
    <row r="2" spans="1:21">
      <c r="B2" s="57" t="s">
        <v>179</v>
      </c>
      <c r="C2" s="78" t="s">
        <v>252</v>
      </c>
    </row>
    <row r="3" spans="1:21">
      <c r="B3" s="57" t="s">
        <v>181</v>
      </c>
      <c r="C3" s="78" t="s">
        <v>253</v>
      </c>
    </row>
    <row r="4" spans="1:21">
      <c r="B4" s="57" t="s">
        <v>182</v>
      </c>
      <c r="C4" s="78">
        <v>2144</v>
      </c>
    </row>
    <row r="6" spans="1:21" ht="26.25" customHeight="1">
      <c r="B6" s="145" t="s">
        <v>196</v>
      </c>
      <c r="C6" s="146"/>
      <c r="D6" s="147"/>
    </row>
    <row r="7" spans="1:21" s="10" customFormat="1">
      <c r="B7" s="23"/>
      <c r="C7" s="24" t="s">
        <v>111</v>
      </c>
      <c r="D7" s="25" t="s">
        <v>109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3"/>
      <c r="C8" s="26" t="s">
        <v>237</v>
      </c>
      <c r="D8" s="27" t="s">
        <v>20</v>
      </c>
    </row>
    <row r="9" spans="1:21" s="11" customFormat="1" ht="18" customHeight="1">
      <c r="B9" s="37"/>
      <c r="C9" s="20" t="s">
        <v>1</v>
      </c>
      <c r="D9" s="28" t="s">
        <v>2</v>
      </c>
    </row>
    <row r="10" spans="1:21" s="11" customFormat="1" ht="18" customHeight="1">
      <c r="B10" s="67" t="s">
        <v>195</v>
      </c>
      <c r="C10" s="117">
        <f>C11+C12+C23+C33+C37</f>
        <v>238877.524406182</v>
      </c>
      <c r="D10" s="118">
        <f>C10/$C$42</f>
        <v>1</v>
      </c>
    </row>
    <row r="11" spans="1:21">
      <c r="A11" s="45" t="s">
        <v>142</v>
      </c>
      <c r="B11" s="29" t="s">
        <v>197</v>
      </c>
      <c r="C11" s="117">
        <f>מזומנים!J10</f>
        <v>7610.3147440779994</v>
      </c>
      <c r="D11" s="118">
        <f>C11/$C$42</f>
        <v>3.1858647074463106E-2</v>
      </c>
    </row>
    <row r="12" spans="1:21">
      <c r="B12" s="29" t="s">
        <v>198</v>
      </c>
      <c r="C12" s="117">
        <f>C13+C15+C17+C18</f>
        <v>153946.81104149402</v>
      </c>
      <c r="D12" s="118">
        <f>C12/$C$42</f>
        <v>0.64445916971127981</v>
      </c>
    </row>
    <row r="13" spans="1:21">
      <c r="A13" s="55" t="s">
        <v>142</v>
      </c>
      <c r="B13" s="30" t="s">
        <v>68</v>
      </c>
      <c r="C13" s="117">
        <f>'תעודות התחייבות ממשלתיות'!O11</f>
        <v>71369.819075712017</v>
      </c>
      <c r="D13" s="118">
        <f>C13/$C$42</f>
        <v>0.29877159541538273</v>
      </c>
    </row>
    <row r="14" spans="1:21">
      <c r="A14" s="55" t="s">
        <v>142</v>
      </c>
      <c r="B14" s="30" t="s">
        <v>69</v>
      </c>
      <c r="C14" s="117" t="s" vm="2">
        <v>1465</v>
      </c>
      <c r="D14" s="118" t="s" vm="3">
        <v>1465</v>
      </c>
    </row>
    <row r="15" spans="1:21">
      <c r="A15" s="55" t="s">
        <v>142</v>
      </c>
      <c r="B15" s="30" t="s">
        <v>70</v>
      </c>
      <c r="C15" s="117">
        <f>'אג"ח קונצרני'!R11</f>
        <v>69629.706394610999</v>
      </c>
      <c r="D15" s="118">
        <f>C15/$C$42</f>
        <v>0.29148705625487897</v>
      </c>
    </row>
    <row r="16" spans="1:21">
      <c r="A16" s="55" t="s">
        <v>142</v>
      </c>
      <c r="B16" s="30" t="s">
        <v>71</v>
      </c>
      <c r="C16" s="117" t="s" vm="4">
        <v>1465</v>
      </c>
      <c r="D16" s="118" t="s" vm="5">
        <v>1465</v>
      </c>
    </row>
    <row r="17" spans="1:4">
      <c r="A17" s="55" t="s">
        <v>142</v>
      </c>
      <c r="B17" s="30" t="s">
        <v>72</v>
      </c>
      <c r="C17" s="117">
        <f>'תעודות סל'!K11</f>
        <v>4595.5525207699984</v>
      </c>
      <c r="D17" s="118">
        <f>C17/$C$42</f>
        <v>1.9238111798897513E-2</v>
      </c>
    </row>
    <row r="18" spans="1:4">
      <c r="A18" s="55" t="s">
        <v>142</v>
      </c>
      <c r="B18" s="30" t="s">
        <v>73</v>
      </c>
      <c r="C18" s="117">
        <f>'קרנות נאמנות'!L11</f>
        <v>8351.7330504009988</v>
      </c>
      <c r="D18" s="118">
        <f>C18/$C$42</f>
        <v>3.496240624212054E-2</v>
      </c>
    </row>
    <row r="19" spans="1:4">
      <c r="A19" s="55" t="s">
        <v>142</v>
      </c>
      <c r="B19" s="30" t="s">
        <v>74</v>
      </c>
      <c r="C19" s="117" t="s" vm="6">
        <v>1465</v>
      </c>
      <c r="D19" s="118" t="s" vm="7">
        <v>1465</v>
      </c>
    </row>
    <row r="20" spans="1:4">
      <c r="A20" s="55" t="s">
        <v>142</v>
      </c>
      <c r="B20" s="30" t="s">
        <v>75</v>
      </c>
      <c r="C20" s="117" t="s" vm="8">
        <v>1465</v>
      </c>
      <c r="D20" s="118" t="s" vm="9">
        <v>1465</v>
      </c>
    </row>
    <row r="21" spans="1:4">
      <c r="A21" s="55" t="s">
        <v>142</v>
      </c>
      <c r="B21" s="30" t="s">
        <v>76</v>
      </c>
      <c r="C21" s="117" t="s" vm="10">
        <v>1465</v>
      </c>
      <c r="D21" s="118" t="s" vm="11">
        <v>1465</v>
      </c>
    </row>
    <row r="22" spans="1:4">
      <c r="A22" s="55" t="s">
        <v>142</v>
      </c>
      <c r="B22" s="30" t="s">
        <v>77</v>
      </c>
      <c r="C22" s="117" t="s" vm="12">
        <v>1465</v>
      </c>
      <c r="D22" s="118" t="s" vm="13">
        <v>1465</v>
      </c>
    </row>
    <row r="23" spans="1:4">
      <c r="B23" s="29" t="s">
        <v>199</v>
      </c>
      <c r="C23" s="117">
        <f>C24+C26+C31</f>
        <v>70032.440067086995</v>
      </c>
      <c r="D23" s="118">
        <f>C23/$C$42</f>
        <v>0.29317299834372612</v>
      </c>
    </row>
    <row r="24" spans="1:4">
      <c r="A24" s="55" t="s">
        <v>142</v>
      </c>
      <c r="B24" s="30" t="s">
        <v>78</v>
      </c>
      <c r="C24" s="117">
        <f>'לא סחיר- תעודות התחייבות ממשלתי'!M11</f>
        <v>67008.158899999995</v>
      </c>
      <c r="D24" s="118">
        <f>C24/$C$42</f>
        <v>0.28051261443107062</v>
      </c>
    </row>
    <row r="25" spans="1:4">
      <c r="A25" s="55" t="s">
        <v>142</v>
      </c>
      <c r="B25" s="30" t="s">
        <v>79</v>
      </c>
      <c r="C25" s="117" t="s" vm="14">
        <v>1465</v>
      </c>
      <c r="D25" s="118" t="s" vm="15">
        <v>1465</v>
      </c>
    </row>
    <row r="26" spans="1:4">
      <c r="A26" s="55" t="s">
        <v>142</v>
      </c>
      <c r="B26" s="30" t="s">
        <v>70</v>
      </c>
      <c r="C26" s="117">
        <f>'לא סחיר - אג"ח קונצרני'!P11</f>
        <v>2805.7371499999999</v>
      </c>
      <c r="D26" s="118">
        <f>C26/$C$42</f>
        <v>1.1745504969438596E-2</v>
      </c>
    </row>
    <row r="27" spans="1:4">
      <c r="A27" s="55" t="s">
        <v>142</v>
      </c>
      <c r="B27" s="30" t="s">
        <v>80</v>
      </c>
      <c r="C27" s="117" t="s" vm="16">
        <v>1465</v>
      </c>
      <c r="D27" s="118" t="s" vm="17">
        <v>1465</v>
      </c>
    </row>
    <row r="28" spans="1:4">
      <c r="A28" s="55" t="s">
        <v>142</v>
      </c>
      <c r="B28" s="30" t="s">
        <v>81</v>
      </c>
      <c r="C28" s="117" t="s" vm="18">
        <v>1465</v>
      </c>
      <c r="D28" s="118" t="s" vm="19">
        <v>1465</v>
      </c>
    </row>
    <row r="29" spans="1:4">
      <c r="A29" s="55" t="s">
        <v>142</v>
      </c>
      <c r="B29" s="30" t="s">
        <v>82</v>
      </c>
      <c r="C29" s="117" t="s" vm="20">
        <v>1465</v>
      </c>
      <c r="D29" s="118" t="s" vm="21">
        <v>1465</v>
      </c>
    </row>
    <row r="30" spans="1:4">
      <c r="A30" s="55" t="s">
        <v>142</v>
      </c>
      <c r="B30" s="30" t="s">
        <v>222</v>
      </c>
      <c r="C30" s="117" t="s" vm="22">
        <v>1465</v>
      </c>
      <c r="D30" s="118" t="s" vm="23">
        <v>1465</v>
      </c>
    </row>
    <row r="31" spans="1:4">
      <c r="A31" s="55" t="s">
        <v>142</v>
      </c>
      <c r="B31" s="30" t="s">
        <v>105</v>
      </c>
      <c r="C31" s="117">
        <f>'לא סחיר - חוזים עתידיים'!I11</f>
        <v>218.54401708699993</v>
      </c>
      <c r="D31" s="118">
        <f>C31/$C$42</f>
        <v>9.1487894321691217E-4</v>
      </c>
    </row>
    <row r="32" spans="1:4">
      <c r="A32" s="55" t="s">
        <v>142</v>
      </c>
      <c r="B32" s="30" t="s">
        <v>83</v>
      </c>
      <c r="C32" s="117" t="s" vm="24">
        <v>1465</v>
      </c>
      <c r="D32" s="118" t="s" vm="25">
        <v>1465</v>
      </c>
    </row>
    <row r="33" spans="1:4">
      <c r="A33" s="55" t="s">
        <v>142</v>
      </c>
      <c r="B33" s="29" t="s">
        <v>200</v>
      </c>
      <c r="C33" s="117">
        <f>הלוואות!O10</f>
        <v>7282.9599499999986</v>
      </c>
      <c r="D33" s="118">
        <f>C33/$C$42</f>
        <v>3.0488259488222997E-2</v>
      </c>
    </row>
    <row r="34" spans="1:4">
      <c r="A34" s="55" t="s">
        <v>142</v>
      </c>
      <c r="B34" s="29" t="s">
        <v>201</v>
      </c>
      <c r="C34" s="117" t="s" vm="26">
        <v>1465</v>
      </c>
      <c r="D34" s="118" t="s" vm="27">
        <v>1465</v>
      </c>
    </row>
    <row r="35" spans="1:4">
      <c r="A35" s="55" t="s">
        <v>142</v>
      </c>
      <c r="B35" s="29" t="s">
        <v>202</v>
      </c>
      <c r="C35" s="117" t="s" vm="28">
        <v>1465</v>
      </c>
      <c r="D35" s="118" t="s" vm="29">
        <v>1465</v>
      </c>
    </row>
    <row r="36" spans="1:4">
      <c r="A36" s="55" t="s">
        <v>142</v>
      </c>
      <c r="B36" s="56" t="s">
        <v>203</v>
      </c>
      <c r="C36" s="117" t="s" vm="30">
        <v>1465</v>
      </c>
      <c r="D36" s="118" t="s" vm="31">
        <v>1465</v>
      </c>
    </row>
    <row r="37" spans="1:4">
      <c r="A37" s="55" t="s">
        <v>142</v>
      </c>
      <c r="B37" s="29" t="s">
        <v>204</v>
      </c>
      <c r="C37" s="117">
        <f>'השקעות אחרות '!I10</f>
        <v>4.998603522999999</v>
      </c>
      <c r="D37" s="118">
        <f>C37/$C$42</f>
        <v>2.0925382308050401E-5</v>
      </c>
    </row>
    <row r="38" spans="1:4">
      <c r="A38" s="55"/>
      <c r="B38" s="68" t="s">
        <v>206</v>
      </c>
      <c r="C38" s="117">
        <v>0</v>
      </c>
      <c r="D38" s="118">
        <f>C38/$C$42</f>
        <v>0</v>
      </c>
    </row>
    <row r="39" spans="1:4">
      <c r="A39" s="55" t="s">
        <v>142</v>
      </c>
      <c r="B39" s="69" t="s">
        <v>207</v>
      </c>
      <c r="C39" s="117" t="s" vm="32">
        <v>1465</v>
      </c>
      <c r="D39" s="118" t="s" vm="33">
        <v>1465</v>
      </c>
    </row>
    <row r="40" spans="1:4">
      <c r="A40" s="55" t="s">
        <v>142</v>
      </c>
      <c r="B40" s="69" t="s">
        <v>235</v>
      </c>
      <c r="C40" s="117" t="s" vm="34">
        <v>1465</v>
      </c>
      <c r="D40" s="118" t="s" vm="35">
        <v>1465</v>
      </c>
    </row>
    <row r="41" spans="1:4">
      <c r="A41" s="55" t="s">
        <v>142</v>
      </c>
      <c r="B41" s="69" t="s">
        <v>208</v>
      </c>
      <c r="C41" s="117" t="s" vm="36">
        <v>1465</v>
      </c>
      <c r="D41" s="118" t="s" vm="37">
        <v>1465</v>
      </c>
    </row>
    <row r="42" spans="1:4">
      <c r="B42" s="69" t="s">
        <v>84</v>
      </c>
      <c r="C42" s="117">
        <f>C38+C10</f>
        <v>238877.524406182</v>
      </c>
      <c r="D42" s="118">
        <f>C42/$C$42</f>
        <v>1</v>
      </c>
    </row>
    <row r="43" spans="1:4">
      <c r="A43" s="55" t="s">
        <v>142</v>
      </c>
      <c r="B43" s="69" t="s">
        <v>205</v>
      </c>
      <c r="C43" s="117">
        <f>'יתרת התחייבות להשקעה'!C10</f>
        <v>1576.9443271365958</v>
      </c>
      <c r="D43" s="118"/>
    </row>
    <row r="44" spans="1:4">
      <c r="B44" s="6" t="s">
        <v>110</v>
      </c>
    </row>
    <row r="45" spans="1:4">
      <c r="C45" s="75" t="s">
        <v>187</v>
      </c>
      <c r="D45" s="36" t="s">
        <v>104</v>
      </c>
    </row>
    <row r="46" spans="1:4">
      <c r="C46" s="76" t="s">
        <v>1</v>
      </c>
      <c r="D46" s="25" t="s">
        <v>2</v>
      </c>
    </row>
    <row r="47" spans="1:4">
      <c r="C47" s="119" t="s">
        <v>168</v>
      </c>
      <c r="D47" s="120" vm="38">
        <v>2.3548</v>
      </c>
    </row>
    <row r="48" spans="1:4">
      <c r="C48" s="119" t="s">
        <v>177</v>
      </c>
      <c r="D48" s="120">
        <v>0.83869258376086908</v>
      </c>
    </row>
    <row r="49" spans="2:4">
      <c r="C49" s="119" t="s">
        <v>173</v>
      </c>
      <c r="D49" s="120" vm="39">
        <v>2.6267</v>
      </c>
    </row>
    <row r="50" spans="2:4">
      <c r="B50" s="12"/>
      <c r="C50" s="119" t="s">
        <v>1466</v>
      </c>
      <c r="D50" s="120" vm="40">
        <v>3.5068000000000001</v>
      </c>
    </row>
    <row r="51" spans="2:4">
      <c r="C51" s="119" t="s">
        <v>166</v>
      </c>
      <c r="D51" s="120" vm="41">
        <v>3.8050000000000002</v>
      </c>
    </row>
    <row r="52" spans="2:4">
      <c r="C52" s="119" t="s">
        <v>167</v>
      </c>
      <c r="D52" s="120" vm="42">
        <v>4.28</v>
      </c>
    </row>
    <row r="53" spans="2:4">
      <c r="C53" s="119" t="s">
        <v>169</v>
      </c>
      <c r="D53" s="120">
        <v>0.44418364353050732</v>
      </c>
    </row>
    <row r="54" spans="2:4">
      <c r="C54" s="119" t="s">
        <v>174</v>
      </c>
      <c r="D54" s="120" vm="43">
        <v>3.2280000000000002</v>
      </c>
    </row>
    <row r="55" spans="2:4">
      <c r="C55" s="119" t="s">
        <v>175</v>
      </c>
      <c r="D55" s="120">
        <v>0.17644227114950975</v>
      </c>
    </row>
    <row r="56" spans="2:4">
      <c r="C56" s="119" t="s">
        <v>172</v>
      </c>
      <c r="D56" s="120" vm="44">
        <v>0.50960000000000005</v>
      </c>
    </row>
    <row r="57" spans="2:4">
      <c r="C57" s="119" t="s">
        <v>1467</v>
      </c>
      <c r="D57" s="120">
        <v>2.1804284000000003</v>
      </c>
    </row>
    <row r="58" spans="2:4">
      <c r="C58" s="119" t="s">
        <v>171</v>
      </c>
      <c r="D58" s="120" vm="45">
        <v>0.35620000000000002</v>
      </c>
    </row>
    <row r="59" spans="2:4">
      <c r="C59" s="119" t="s">
        <v>164</v>
      </c>
      <c r="D59" s="120" vm="46">
        <v>3.4820000000000002</v>
      </c>
    </row>
    <row r="60" spans="2:4">
      <c r="C60" s="119" t="s">
        <v>178</v>
      </c>
      <c r="D60" s="120" vm="47">
        <v>0.23089999999999999</v>
      </c>
    </row>
    <row r="61" spans="2:4">
      <c r="C61" s="119" t="s">
        <v>1468</v>
      </c>
      <c r="D61" s="120" vm="48">
        <v>0.38390000000000002</v>
      </c>
    </row>
    <row r="62" spans="2:4">
      <c r="C62" s="119" t="s">
        <v>1469</v>
      </c>
      <c r="D62" s="120">
        <v>5.3705643102711656E-2</v>
      </c>
    </row>
    <row r="63" spans="2:4">
      <c r="C63" s="119" t="s">
        <v>1470</v>
      </c>
      <c r="D63" s="120">
        <v>0.48710882307681552</v>
      </c>
    </row>
    <row r="64" spans="2:4">
      <c r="C64" s="119" t="s">
        <v>165</v>
      </c>
      <c r="D64" s="120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180</v>
      </c>
      <c r="C1" s="78" t="s" vm="1">
        <v>251</v>
      </c>
    </row>
    <row r="2" spans="2:60">
      <c r="B2" s="57" t="s">
        <v>179</v>
      </c>
      <c r="C2" s="78" t="s">
        <v>252</v>
      </c>
    </row>
    <row r="3" spans="2:60">
      <c r="B3" s="57" t="s">
        <v>181</v>
      </c>
      <c r="C3" s="78" t="s">
        <v>253</v>
      </c>
    </row>
    <row r="4" spans="2:60">
      <c r="B4" s="57" t="s">
        <v>182</v>
      </c>
      <c r="C4" s="78">
        <v>2144</v>
      </c>
    </row>
    <row r="6" spans="2:60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60" ht="26.25" customHeight="1">
      <c r="B7" s="159" t="s">
        <v>93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  <c r="BH7" s="3"/>
    </row>
    <row r="8" spans="2:60" s="3" customFormat="1" ht="78.75">
      <c r="B8" s="23" t="s">
        <v>117</v>
      </c>
      <c r="C8" s="31" t="s">
        <v>44</v>
      </c>
      <c r="D8" s="31" t="s">
        <v>120</v>
      </c>
      <c r="E8" s="31" t="s">
        <v>63</v>
      </c>
      <c r="F8" s="31" t="s">
        <v>102</v>
      </c>
      <c r="G8" s="31" t="s">
        <v>234</v>
      </c>
      <c r="H8" s="31" t="s">
        <v>233</v>
      </c>
      <c r="I8" s="31" t="s">
        <v>60</v>
      </c>
      <c r="J8" s="31" t="s">
        <v>57</v>
      </c>
      <c r="K8" s="31" t="s">
        <v>183</v>
      </c>
      <c r="L8" s="31" t="s">
        <v>185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241</v>
      </c>
      <c r="H9" s="17"/>
      <c r="I9" s="17" t="s">
        <v>237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180</v>
      </c>
      <c r="C1" s="78" t="s" vm="1">
        <v>251</v>
      </c>
    </row>
    <row r="2" spans="2:61">
      <c r="B2" s="57" t="s">
        <v>179</v>
      </c>
      <c r="C2" s="78" t="s">
        <v>252</v>
      </c>
    </row>
    <row r="3" spans="2:61">
      <c r="B3" s="57" t="s">
        <v>181</v>
      </c>
      <c r="C3" s="78" t="s">
        <v>253</v>
      </c>
    </row>
    <row r="4" spans="2:61">
      <c r="B4" s="57" t="s">
        <v>182</v>
      </c>
      <c r="C4" s="78">
        <v>2144</v>
      </c>
    </row>
    <row r="6" spans="2:61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61" ht="26.25" customHeight="1">
      <c r="B7" s="159" t="s">
        <v>94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  <c r="BI7" s="3"/>
    </row>
    <row r="8" spans="2:61" s="3" customFormat="1" ht="78.75">
      <c r="B8" s="23" t="s">
        <v>117</v>
      </c>
      <c r="C8" s="31" t="s">
        <v>44</v>
      </c>
      <c r="D8" s="31" t="s">
        <v>120</v>
      </c>
      <c r="E8" s="31" t="s">
        <v>63</v>
      </c>
      <c r="F8" s="31" t="s">
        <v>102</v>
      </c>
      <c r="G8" s="31" t="s">
        <v>234</v>
      </c>
      <c r="H8" s="31" t="s">
        <v>233</v>
      </c>
      <c r="I8" s="31" t="s">
        <v>60</v>
      </c>
      <c r="J8" s="31" t="s">
        <v>57</v>
      </c>
      <c r="K8" s="31" t="s">
        <v>183</v>
      </c>
      <c r="L8" s="32" t="s">
        <v>185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241</v>
      </c>
      <c r="H9" s="17"/>
      <c r="I9" s="17" t="s">
        <v>237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180</v>
      </c>
      <c r="C1" s="78" t="s" vm="1">
        <v>251</v>
      </c>
    </row>
    <row r="2" spans="1:60">
      <c r="B2" s="57" t="s">
        <v>179</v>
      </c>
      <c r="C2" s="78" t="s">
        <v>252</v>
      </c>
    </row>
    <row r="3" spans="1:60">
      <c r="B3" s="57" t="s">
        <v>181</v>
      </c>
      <c r="C3" s="78" t="s">
        <v>253</v>
      </c>
    </row>
    <row r="4" spans="1:60">
      <c r="B4" s="57" t="s">
        <v>182</v>
      </c>
      <c r="C4" s="78">
        <v>2144</v>
      </c>
    </row>
    <row r="6" spans="1:60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1"/>
      <c r="BD6" s="1" t="s">
        <v>121</v>
      </c>
      <c r="BF6" s="1" t="s">
        <v>188</v>
      </c>
      <c r="BH6" s="3" t="s">
        <v>165</v>
      </c>
    </row>
    <row r="7" spans="1:60" ht="26.25" customHeight="1">
      <c r="B7" s="159" t="s">
        <v>95</v>
      </c>
      <c r="C7" s="160"/>
      <c r="D7" s="160"/>
      <c r="E7" s="160"/>
      <c r="F7" s="160"/>
      <c r="G7" s="160"/>
      <c r="H7" s="160"/>
      <c r="I7" s="160"/>
      <c r="J7" s="160"/>
      <c r="K7" s="161"/>
      <c r="BD7" s="3" t="s">
        <v>123</v>
      </c>
      <c r="BF7" s="1" t="s">
        <v>143</v>
      </c>
      <c r="BH7" s="3" t="s">
        <v>164</v>
      </c>
    </row>
    <row r="8" spans="1:60" s="3" customFormat="1" ht="78.75">
      <c r="A8" s="2"/>
      <c r="B8" s="23" t="s">
        <v>117</v>
      </c>
      <c r="C8" s="31" t="s">
        <v>44</v>
      </c>
      <c r="D8" s="31" t="s">
        <v>120</v>
      </c>
      <c r="E8" s="31" t="s">
        <v>63</v>
      </c>
      <c r="F8" s="31" t="s">
        <v>102</v>
      </c>
      <c r="G8" s="31" t="s">
        <v>234</v>
      </c>
      <c r="H8" s="31" t="s">
        <v>233</v>
      </c>
      <c r="I8" s="31" t="s">
        <v>60</v>
      </c>
      <c r="J8" s="31" t="s">
        <v>183</v>
      </c>
      <c r="K8" s="31" t="s">
        <v>185</v>
      </c>
      <c r="BC8" s="1" t="s">
        <v>136</v>
      </c>
      <c r="BD8" s="1" t="s">
        <v>137</v>
      </c>
      <c r="BE8" s="1" t="s">
        <v>144</v>
      </c>
      <c r="BG8" s="4" t="s">
        <v>166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241</v>
      </c>
      <c r="H9" s="17"/>
      <c r="I9" s="17" t="s">
        <v>237</v>
      </c>
      <c r="J9" s="33" t="s">
        <v>20</v>
      </c>
      <c r="K9" s="58" t="s">
        <v>20</v>
      </c>
      <c r="BC9" s="1" t="s">
        <v>133</v>
      </c>
      <c r="BE9" s="1" t="s">
        <v>145</v>
      </c>
      <c r="BG9" s="4" t="s">
        <v>167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129</v>
      </c>
      <c r="BD10" s="3"/>
      <c r="BE10" s="1" t="s">
        <v>189</v>
      </c>
      <c r="BG10" s="1" t="s">
        <v>173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128</v>
      </c>
      <c r="BD11" s="3"/>
      <c r="BE11" s="1" t="s">
        <v>146</v>
      </c>
      <c r="BG11" s="1" t="s">
        <v>168</v>
      </c>
    </row>
    <row r="12" spans="1:60" ht="20.25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126</v>
      </c>
      <c r="BD12" s="4"/>
      <c r="BE12" s="1" t="s">
        <v>147</v>
      </c>
      <c r="BG12" s="1" t="s">
        <v>169</v>
      </c>
    </row>
    <row r="13" spans="1:60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130</v>
      </c>
      <c r="BE13" s="1" t="s">
        <v>148</v>
      </c>
      <c r="BG13" s="1" t="s">
        <v>170</v>
      </c>
    </row>
    <row r="14" spans="1:60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127</v>
      </c>
      <c r="BE14" s="1" t="s">
        <v>149</v>
      </c>
      <c r="BG14" s="1" t="s">
        <v>172</v>
      </c>
    </row>
    <row r="15" spans="1:60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138</v>
      </c>
      <c r="BE15" s="1" t="s">
        <v>190</v>
      </c>
      <c r="BG15" s="1" t="s">
        <v>174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124</v>
      </c>
      <c r="BD16" s="1" t="s">
        <v>139</v>
      </c>
      <c r="BE16" s="1" t="s">
        <v>150</v>
      </c>
      <c r="BG16" s="1" t="s">
        <v>175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134</v>
      </c>
      <c r="BE17" s="1" t="s">
        <v>151</v>
      </c>
      <c r="BG17" s="1" t="s">
        <v>176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122</v>
      </c>
      <c r="BF18" s="1" t="s">
        <v>152</v>
      </c>
      <c r="BH18" s="1" t="s">
        <v>29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135</v>
      </c>
      <c r="BF19" s="1" t="s">
        <v>153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140</v>
      </c>
      <c r="BF20" s="1" t="s">
        <v>154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125</v>
      </c>
      <c r="BE21" s="1" t="s">
        <v>141</v>
      </c>
      <c r="BF21" s="1" t="s">
        <v>155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131</v>
      </c>
      <c r="BF22" s="1" t="s">
        <v>156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29</v>
      </c>
      <c r="BE23" s="1" t="s">
        <v>132</v>
      </c>
      <c r="BF23" s="1" t="s">
        <v>191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194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157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158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193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159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160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192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29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180</v>
      </c>
      <c r="C1" s="78" t="s" vm="1">
        <v>251</v>
      </c>
    </row>
    <row r="2" spans="2:81">
      <c r="B2" s="57" t="s">
        <v>179</v>
      </c>
      <c r="C2" s="78" t="s">
        <v>252</v>
      </c>
    </row>
    <row r="3" spans="2:81">
      <c r="B3" s="57" t="s">
        <v>181</v>
      </c>
      <c r="C3" s="78" t="s">
        <v>253</v>
      </c>
      <c r="E3" s="2"/>
    </row>
    <row r="4" spans="2:81">
      <c r="B4" s="57" t="s">
        <v>182</v>
      </c>
      <c r="C4" s="78">
        <v>2144</v>
      </c>
    </row>
    <row r="6" spans="2:81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81" ht="26.25" customHeight="1">
      <c r="B7" s="159" t="s">
        <v>96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2:81" s="3" customFormat="1" ht="47.25">
      <c r="B8" s="23" t="s">
        <v>117</v>
      </c>
      <c r="C8" s="31" t="s">
        <v>44</v>
      </c>
      <c r="D8" s="14" t="s">
        <v>48</v>
      </c>
      <c r="E8" s="31" t="s">
        <v>15</v>
      </c>
      <c r="F8" s="31" t="s">
        <v>64</v>
      </c>
      <c r="G8" s="31" t="s">
        <v>103</v>
      </c>
      <c r="H8" s="31" t="s">
        <v>18</v>
      </c>
      <c r="I8" s="31" t="s">
        <v>102</v>
      </c>
      <c r="J8" s="31" t="s">
        <v>17</v>
      </c>
      <c r="K8" s="31" t="s">
        <v>19</v>
      </c>
      <c r="L8" s="31" t="s">
        <v>234</v>
      </c>
      <c r="M8" s="31" t="s">
        <v>233</v>
      </c>
      <c r="N8" s="31" t="s">
        <v>60</v>
      </c>
      <c r="O8" s="31" t="s">
        <v>57</v>
      </c>
      <c r="P8" s="31" t="s">
        <v>183</v>
      </c>
      <c r="Q8" s="32" t="s">
        <v>185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241</v>
      </c>
      <c r="M9" s="33"/>
      <c r="N9" s="33" t="s">
        <v>237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95"/>
  <sheetViews>
    <sheetView rightToLeft="1" workbookViewId="0">
      <selection activeCell="O12" sqref="O12:O89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180</v>
      </c>
      <c r="C1" s="78" t="s" vm="1">
        <v>251</v>
      </c>
    </row>
    <row r="2" spans="2:72">
      <c r="B2" s="57" t="s">
        <v>179</v>
      </c>
      <c r="C2" s="78" t="s">
        <v>252</v>
      </c>
    </row>
    <row r="3" spans="2:72">
      <c r="B3" s="57" t="s">
        <v>181</v>
      </c>
      <c r="C3" s="78" t="s">
        <v>253</v>
      </c>
    </row>
    <row r="4" spans="2:72">
      <c r="B4" s="57" t="s">
        <v>182</v>
      </c>
      <c r="C4" s="78">
        <v>2144</v>
      </c>
    </row>
    <row r="6" spans="2:72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72" ht="26.25" customHeight="1">
      <c r="B7" s="159" t="s">
        <v>87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2:72" s="3" customFormat="1" ht="78.75">
      <c r="B8" s="23" t="s">
        <v>117</v>
      </c>
      <c r="C8" s="31" t="s">
        <v>44</v>
      </c>
      <c r="D8" s="31" t="s">
        <v>15</v>
      </c>
      <c r="E8" s="31" t="s">
        <v>64</v>
      </c>
      <c r="F8" s="31" t="s">
        <v>103</v>
      </c>
      <c r="G8" s="31" t="s">
        <v>18</v>
      </c>
      <c r="H8" s="31" t="s">
        <v>102</v>
      </c>
      <c r="I8" s="31" t="s">
        <v>17</v>
      </c>
      <c r="J8" s="31" t="s">
        <v>19</v>
      </c>
      <c r="K8" s="31" t="s">
        <v>234</v>
      </c>
      <c r="L8" s="31" t="s">
        <v>233</v>
      </c>
      <c r="M8" s="31" t="s">
        <v>111</v>
      </c>
      <c r="N8" s="31" t="s">
        <v>57</v>
      </c>
      <c r="O8" s="31" t="s">
        <v>183</v>
      </c>
      <c r="P8" s="32" t="s">
        <v>185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241</v>
      </c>
      <c r="L9" s="33"/>
      <c r="M9" s="33" t="s">
        <v>237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28</v>
      </c>
      <c r="C11" s="80"/>
      <c r="D11" s="80"/>
      <c r="E11" s="80"/>
      <c r="F11" s="80"/>
      <c r="G11" s="88">
        <v>7.9209674802764942</v>
      </c>
      <c r="H11" s="80"/>
      <c r="I11" s="80"/>
      <c r="J11" s="103">
        <v>4.8524314599874808E-2</v>
      </c>
      <c r="K11" s="88"/>
      <c r="L11" s="80"/>
      <c r="M11" s="88">
        <v>67008.158899999995</v>
      </c>
      <c r="N11" s="80"/>
      <c r="O11" s="89">
        <f>M11/$M$11</f>
        <v>1</v>
      </c>
      <c r="P11" s="89">
        <f>M11/'סכום נכסי הקרן'!$C$42</f>
        <v>0.28051261443107062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231</v>
      </c>
      <c r="C12" s="82"/>
      <c r="D12" s="82"/>
      <c r="E12" s="82"/>
      <c r="F12" s="82"/>
      <c r="G12" s="91">
        <v>7.9209674802764942</v>
      </c>
      <c r="H12" s="82"/>
      <c r="I12" s="82"/>
      <c r="J12" s="104">
        <v>4.8524314599874808E-2</v>
      </c>
      <c r="K12" s="91"/>
      <c r="L12" s="82"/>
      <c r="M12" s="91">
        <v>67008.158899999995</v>
      </c>
      <c r="N12" s="82"/>
      <c r="O12" s="92">
        <f t="shared" ref="O12:O75" si="0">M12/$M$11</f>
        <v>1</v>
      </c>
      <c r="P12" s="92">
        <f>M12/'סכום נכסי הקרן'!$C$42</f>
        <v>0.28051261443107062</v>
      </c>
    </row>
    <row r="13" spans="2:72">
      <c r="B13" s="102" t="s">
        <v>67</v>
      </c>
      <c r="C13" s="82"/>
      <c r="D13" s="82"/>
      <c r="E13" s="82"/>
      <c r="F13" s="82"/>
      <c r="G13" s="91">
        <v>7.9209674802764942</v>
      </c>
      <c r="H13" s="82"/>
      <c r="I13" s="82"/>
      <c r="J13" s="104">
        <v>4.8524314599874808E-2</v>
      </c>
      <c r="K13" s="91"/>
      <c r="L13" s="82"/>
      <c r="M13" s="91">
        <v>67008.158899999995</v>
      </c>
      <c r="N13" s="82"/>
      <c r="O13" s="92">
        <f t="shared" si="0"/>
        <v>1</v>
      </c>
      <c r="P13" s="92">
        <f>M13/'סכום נכסי הקרן'!$C$42</f>
        <v>0.28051261443107062</v>
      </c>
    </row>
    <row r="14" spans="2:72">
      <c r="B14" s="87" t="s">
        <v>1247</v>
      </c>
      <c r="C14" s="84" t="s">
        <v>1248</v>
      </c>
      <c r="D14" s="84" t="s">
        <v>256</v>
      </c>
      <c r="E14" s="84"/>
      <c r="F14" s="106">
        <v>40148</v>
      </c>
      <c r="G14" s="94">
        <v>4.5699999999999994</v>
      </c>
      <c r="H14" s="97" t="s">
        <v>165</v>
      </c>
      <c r="I14" s="98">
        <v>4.8000000000000001E-2</v>
      </c>
      <c r="J14" s="98">
        <v>4.8500000000000008E-2</v>
      </c>
      <c r="K14" s="94">
        <v>671999.99999999988</v>
      </c>
      <c r="L14" s="107">
        <v>111.23309999999999</v>
      </c>
      <c r="M14" s="94">
        <v>747.40445999999986</v>
      </c>
      <c r="N14" s="84"/>
      <c r="O14" s="95">
        <f t="shared" si="0"/>
        <v>1.1153932181831664E-2</v>
      </c>
      <c r="P14" s="95">
        <f>M14/'סכום נכסי הקרן'!$C$42</f>
        <v>3.1288186775124561E-3</v>
      </c>
    </row>
    <row r="15" spans="2:72">
      <c r="B15" s="87" t="s">
        <v>1249</v>
      </c>
      <c r="C15" s="84" t="s">
        <v>1250</v>
      </c>
      <c r="D15" s="84" t="s">
        <v>256</v>
      </c>
      <c r="E15" s="84"/>
      <c r="F15" s="106">
        <v>40452</v>
      </c>
      <c r="G15" s="94">
        <v>5.17</v>
      </c>
      <c r="H15" s="97" t="s">
        <v>165</v>
      </c>
      <c r="I15" s="98">
        <v>4.8000000000000001E-2</v>
      </c>
      <c r="J15" s="98">
        <v>4.8600000000000004E-2</v>
      </c>
      <c r="K15" s="94">
        <v>730999.99999999988</v>
      </c>
      <c r="L15" s="107">
        <v>109.9864</v>
      </c>
      <c r="M15" s="94">
        <v>803.89556999999979</v>
      </c>
      <c r="N15" s="84"/>
      <c r="O15" s="95">
        <f t="shared" si="0"/>
        <v>1.1996980415469972E-2</v>
      </c>
      <c r="P15" s="95">
        <f>M15/'סכום נכסי הקרן'!$C$42</f>
        <v>3.3653043416218336E-3</v>
      </c>
    </row>
    <row r="16" spans="2:72">
      <c r="B16" s="87" t="s">
        <v>1251</v>
      </c>
      <c r="C16" s="84" t="s">
        <v>1252</v>
      </c>
      <c r="D16" s="84" t="s">
        <v>256</v>
      </c>
      <c r="E16" s="84"/>
      <c r="F16" s="106">
        <v>40909</v>
      </c>
      <c r="G16" s="94">
        <v>6.1400000000000006</v>
      </c>
      <c r="H16" s="97" t="s">
        <v>165</v>
      </c>
      <c r="I16" s="98">
        <v>4.8000000000000001E-2</v>
      </c>
      <c r="J16" s="98">
        <v>4.8500000000000015E-2</v>
      </c>
      <c r="K16" s="94">
        <v>592999.99999999988</v>
      </c>
      <c r="L16" s="107">
        <v>105.3331</v>
      </c>
      <c r="M16" s="94">
        <v>624.64983999999981</v>
      </c>
      <c r="N16" s="84"/>
      <c r="O16" s="95">
        <f t="shared" si="0"/>
        <v>9.3219967576217023E-3</v>
      </c>
      <c r="P16" s="95">
        <f>M16/'סכום נכסי הקרן'!$C$42</f>
        <v>2.6149376821984274E-3</v>
      </c>
    </row>
    <row r="17" spans="2:16">
      <c r="B17" s="87" t="s">
        <v>1253</v>
      </c>
      <c r="C17" s="84">
        <v>8790</v>
      </c>
      <c r="D17" s="84" t="s">
        <v>256</v>
      </c>
      <c r="E17" s="84"/>
      <c r="F17" s="106">
        <v>41030</v>
      </c>
      <c r="G17" s="94">
        <v>6.32</v>
      </c>
      <c r="H17" s="97" t="s">
        <v>165</v>
      </c>
      <c r="I17" s="98">
        <v>4.8000000000000001E-2</v>
      </c>
      <c r="J17" s="98">
        <v>4.8600000000000004E-2</v>
      </c>
      <c r="K17" s="94">
        <v>3483999.9999999995</v>
      </c>
      <c r="L17" s="107">
        <v>105.7175</v>
      </c>
      <c r="M17" s="94">
        <v>3683.3679199999997</v>
      </c>
      <c r="N17" s="84"/>
      <c r="O17" s="95">
        <f t="shared" si="0"/>
        <v>5.4968946774032315E-2</v>
      </c>
      <c r="P17" s="95">
        <f>M17/'סכום נכסי הקרן'!$C$42</f>
        <v>1.5419482972106172E-2</v>
      </c>
    </row>
    <row r="18" spans="2:16">
      <c r="B18" s="87" t="s">
        <v>1254</v>
      </c>
      <c r="C18" s="84" t="s">
        <v>1255</v>
      </c>
      <c r="D18" s="84" t="s">
        <v>256</v>
      </c>
      <c r="E18" s="84"/>
      <c r="F18" s="106">
        <v>41091</v>
      </c>
      <c r="G18" s="94">
        <v>6.49</v>
      </c>
      <c r="H18" s="97" t="s">
        <v>165</v>
      </c>
      <c r="I18" s="98">
        <v>4.8000000000000001E-2</v>
      </c>
      <c r="J18" s="98">
        <v>4.8500000000000008E-2</v>
      </c>
      <c r="K18" s="94">
        <v>742999.99999999988</v>
      </c>
      <c r="L18" s="107">
        <v>103.98480000000001</v>
      </c>
      <c r="M18" s="94">
        <v>772.90213999999992</v>
      </c>
      <c r="N18" s="84"/>
      <c r="O18" s="95">
        <f t="shared" si="0"/>
        <v>1.1534448232691258E-2</v>
      </c>
      <c r="P18" s="95">
        <f>M18/'סכום נכסי הקרן'!$C$42</f>
        <v>3.2355582297720667E-3</v>
      </c>
    </row>
    <row r="19" spans="2:16">
      <c r="B19" s="87" t="s">
        <v>1256</v>
      </c>
      <c r="C19" s="84">
        <v>8793</v>
      </c>
      <c r="D19" s="84" t="s">
        <v>256</v>
      </c>
      <c r="E19" s="84"/>
      <c r="F19" s="106">
        <v>41122</v>
      </c>
      <c r="G19" s="94">
        <v>6.580000000000001</v>
      </c>
      <c r="H19" s="97" t="s">
        <v>165</v>
      </c>
      <c r="I19" s="98">
        <v>4.8000000000000001E-2</v>
      </c>
      <c r="J19" s="98">
        <v>4.8500000000000008E-2</v>
      </c>
      <c r="K19" s="94">
        <v>2279999.9999999995</v>
      </c>
      <c r="L19" s="107">
        <v>103.9102</v>
      </c>
      <c r="M19" s="94">
        <v>2369.1513199999995</v>
      </c>
      <c r="N19" s="84"/>
      <c r="O19" s="95">
        <f t="shared" si="0"/>
        <v>3.5356161979254133E-2</v>
      </c>
      <c r="P19" s="95">
        <f>M19/'סכום נכסי הקרן'!$C$42</f>
        <v>9.9178494330489954E-3</v>
      </c>
    </row>
    <row r="20" spans="2:16">
      <c r="B20" s="87" t="s">
        <v>1257</v>
      </c>
      <c r="C20" s="84" t="s">
        <v>1258</v>
      </c>
      <c r="D20" s="84" t="s">
        <v>256</v>
      </c>
      <c r="E20" s="84"/>
      <c r="F20" s="106">
        <v>41154</v>
      </c>
      <c r="G20" s="94">
        <v>6.6599999999999993</v>
      </c>
      <c r="H20" s="97" t="s">
        <v>165</v>
      </c>
      <c r="I20" s="98">
        <v>4.8000000000000001E-2</v>
      </c>
      <c r="J20" s="98">
        <v>4.8499999999999995E-2</v>
      </c>
      <c r="K20" s="94">
        <v>1822999.9999999998</v>
      </c>
      <c r="L20" s="107">
        <v>103.3933</v>
      </c>
      <c r="M20" s="94">
        <v>1884.8609899999997</v>
      </c>
      <c r="N20" s="84"/>
      <c r="O20" s="95">
        <f t="shared" si="0"/>
        <v>2.8128828204530776E-2</v>
      </c>
      <c r="P20" s="95">
        <f>M20/'סכום נכסי הקרן'!$C$42</f>
        <v>7.8904911405353658E-3</v>
      </c>
    </row>
    <row r="21" spans="2:16">
      <c r="B21" s="87" t="s">
        <v>1259</v>
      </c>
      <c r="C21" s="84" t="s">
        <v>1260</v>
      </c>
      <c r="D21" s="84" t="s">
        <v>256</v>
      </c>
      <c r="E21" s="84"/>
      <c r="F21" s="106">
        <v>41184</v>
      </c>
      <c r="G21" s="94">
        <v>6.59</v>
      </c>
      <c r="H21" s="97" t="s">
        <v>165</v>
      </c>
      <c r="I21" s="98">
        <v>4.8000000000000001E-2</v>
      </c>
      <c r="J21" s="98">
        <v>4.8600000000000004E-2</v>
      </c>
      <c r="K21" s="94">
        <v>1918999.9999999998</v>
      </c>
      <c r="L21" s="107">
        <v>104.3569</v>
      </c>
      <c r="M21" s="94">
        <v>2002.6066699999997</v>
      </c>
      <c r="N21" s="84"/>
      <c r="O21" s="95">
        <f t="shared" si="0"/>
        <v>2.9886012433032239E-2</v>
      </c>
      <c r="P21" s="95">
        <f>M21/'סכום נכסי הקרן'!$C$42</f>
        <v>8.3834034825093547E-3</v>
      </c>
    </row>
    <row r="22" spans="2:16">
      <c r="B22" s="87" t="s">
        <v>1261</v>
      </c>
      <c r="C22" s="84" t="s">
        <v>1262</v>
      </c>
      <c r="D22" s="84" t="s">
        <v>256</v>
      </c>
      <c r="E22" s="84"/>
      <c r="F22" s="106">
        <v>41214</v>
      </c>
      <c r="G22" s="94">
        <v>6.669999999999999</v>
      </c>
      <c r="H22" s="97" t="s">
        <v>165</v>
      </c>
      <c r="I22" s="98">
        <v>4.8000000000000001E-2</v>
      </c>
      <c r="J22" s="98">
        <v>4.8500000000000008E-2</v>
      </c>
      <c r="K22" s="94">
        <v>1335999.9999999998</v>
      </c>
      <c r="L22" s="107">
        <v>103.96250000000001</v>
      </c>
      <c r="M22" s="94">
        <v>1388.9392999999998</v>
      </c>
      <c r="N22" s="84"/>
      <c r="O22" s="95">
        <f t="shared" si="0"/>
        <v>2.0727913179539693E-2</v>
      </c>
      <c r="P22" s="95">
        <f>M22/'סכום נכסי הקרן'!$C$42</f>
        <v>5.8144411176929249E-3</v>
      </c>
    </row>
    <row r="23" spans="2:16">
      <c r="B23" s="87" t="s">
        <v>1263</v>
      </c>
      <c r="C23" s="84" t="s">
        <v>1264</v>
      </c>
      <c r="D23" s="84" t="s">
        <v>256</v>
      </c>
      <c r="E23" s="84"/>
      <c r="F23" s="106">
        <v>41245</v>
      </c>
      <c r="G23" s="94">
        <v>6.75</v>
      </c>
      <c r="H23" s="97" t="s">
        <v>165</v>
      </c>
      <c r="I23" s="98">
        <v>4.8000000000000001E-2</v>
      </c>
      <c r="J23" s="98">
        <v>4.8599999999999997E-2</v>
      </c>
      <c r="K23" s="94">
        <v>1909999.9999999998</v>
      </c>
      <c r="L23" s="107">
        <v>103.73439999999999</v>
      </c>
      <c r="M23" s="94">
        <v>1981.3268599999997</v>
      </c>
      <c r="N23" s="84"/>
      <c r="O23" s="95">
        <f t="shared" si="0"/>
        <v>2.9568442000575543E-2</v>
      </c>
      <c r="P23" s="95">
        <f>M23/'סכום נכסי הקרן'!$C$42</f>
        <v>8.294320970234921E-3</v>
      </c>
    </row>
    <row r="24" spans="2:16">
      <c r="B24" s="87" t="s">
        <v>1265</v>
      </c>
      <c r="C24" s="84" t="s">
        <v>1266</v>
      </c>
      <c r="D24" s="84" t="s">
        <v>256</v>
      </c>
      <c r="E24" s="84"/>
      <c r="F24" s="106">
        <v>41275</v>
      </c>
      <c r="G24" s="94">
        <v>6.84</v>
      </c>
      <c r="H24" s="97" t="s">
        <v>165</v>
      </c>
      <c r="I24" s="98">
        <v>4.8000000000000001E-2</v>
      </c>
      <c r="J24" s="98">
        <v>4.8500000000000008E-2</v>
      </c>
      <c r="K24" s="94">
        <v>1306999.9999999998</v>
      </c>
      <c r="L24" s="107">
        <v>103.8228</v>
      </c>
      <c r="M24" s="94">
        <v>1356.9712899999997</v>
      </c>
      <c r="N24" s="84"/>
      <c r="O24" s="95">
        <f t="shared" si="0"/>
        <v>2.0250836797726133E-2</v>
      </c>
      <c r="P24" s="95">
        <f>M24/'סכום נכסי הקרן'!$C$42</f>
        <v>5.6806151745470877E-3</v>
      </c>
    </row>
    <row r="25" spans="2:16">
      <c r="B25" s="87" t="s">
        <v>1267</v>
      </c>
      <c r="C25" s="84" t="s">
        <v>1268</v>
      </c>
      <c r="D25" s="84" t="s">
        <v>256</v>
      </c>
      <c r="E25" s="84"/>
      <c r="F25" s="106">
        <v>41334</v>
      </c>
      <c r="G25" s="94">
        <v>7.0000000000000009</v>
      </c>
      <c r="H25" s="97" t="s">
        <v>165</v>
      </c>
      <c r="I25" s="98">
        <v>4.8000000000000001E-2</v>
      </c>
      <c r="J25" s="98">
        <v>4.8499999999999995E-2</v>
      </c>
      <c r="K25" s="94">
        <v>1279999.9999999998</v>
      </c>
      <c r="L25" s="107">
        <v>102.9907</v>
      </c>
      <c r="M25" s="94">
        <v>1318.2807999999998</v>
      </c>
      <c r="N25" s="84"/>
      <c r="O25" s="95">
        <f t="shared" si="0"/>
        <v>1.9673437110357614E-2</v>
      </c>
      <c r="P25" s="95">
        <f>M25/'סכום נכסי הקרן'!$C$42</f>
        <v>5.5186472786716619E-3</v>
      </c>
    </row>
    <row r="26" spans="2:16">
      <c r="B26" s="87" t="s">
        <v>1269</v>
      </c>
      <c r="C26" s="84">
        <v>2704</v>
      </c>
      <c r="D26" s="84" t="s">
        <v>256</v>
      </c>
      <c r="E26" s="84"/>
      <c r="F26" s="106">
        <v>41395</v>
      </c>
      <c r="G26" s="94">
        <v>7</v>
      </c>
      <c r="H26" s="97" t="s">
        <v>165</v>
      </c>
      <c r="I26" s="98">
        <v>4.8000000000000001E-2</v>
      </c>
      <c r="J26" s="98">
        <v>4.8500000000000008E-2</v>
      </c>
      <c r="K26" s="94">
        <v>960999.99999999988</v>
      </c>
      <c r="L26" s="107">
        <v>104.42319999999999</v>
      </c>
      <c r="M26" s="94">
        <v>1003.5073399999999</v>
      </c>
      <c r="N26" s="84"/>
      <c r="O26" s="95">
        <f t="shared" si="0"/>
        <v>1.4975897808169745E-2</v>
      </c>
      <c r="P26" s="95">
        <f>M26/'סכום נכסי הקרן'!$C$42</f>
        <v>4.2009282476222357E-3</v>
      </c>
    </row>
    <row r="27" spans="2:16">
      <c r="B27" s="87" t="s">
        <v>1270</v>
      </c>
      <c r="C27" s="84" t="s">
        <v>1271</v>
      </c>
      <c r="D27" s="84" t="s">
        <v>256</v>
      </c>
      <c r="E27" s="84"/>
      <c r="F27" s="106">
        <v>41427</v>
      </c>
      <c r="G27" s="94">
        <v>7.09</v>
      </c>
      <c r="H27" s="97" t="s">
        <v>165</v>
      </c>
      <c r="I27" s="98">
        <v>4.8000000000000001E-2</v>
      </c>
      <c r="J27" s="98">
        <v>4.8600000000000004E-2</v>
      </c>
      <c r="K27" s="94">
        <v>855999.99999999988</v>
      </c>
      <c r="L27" s="107">
        <v>103.5899</v>
      </c>
      <c r="M27" s="94">
        <v>886.73106999999982</v>
      </c>
      <c r="N27" s="84"/>
      <c r="O27" s="95">
        <f t="shared" si="0"/>
        <v>1.3233180623919514E-2</v>
      </c>
      <c r="P27" s="95">
        <f>M27/'סכום נכסי הקרן'!$C$42</f>
        <v>3.7120740940542493E-3</v>
      </c>
    </row>
    <row r="28" spans="2:16">
      <c r="B28" s="87" t="s">
        <v>1272</v>
      </c>
      <c r="C28" s="84">
        <v>8806</v>
      </c>
      <c r="D28" s="84" t="s">
        <v>256</v>
      </c>
      <c r="E28" s="84"/>
      <c r="F28" s="106">
        <v>41518</v>
      </c>
      <c r="G28" s="94">
        <v>7.3400000000000007</v>
      </c>
      <c r="H28" s="97" t="s">
        <v>165</v>
      </c>
      <c r="I28" s="98">
        <v>4.8000000000000001E-2</v>
      </c>
      <c r="J28" s="98">
        <v>4.8499999999999995E-2</v>
      </c>
      <c r="K28" s="94">
        <v>205999.99999999997</v>
      </c>
      <c r="L28" s="107">
        <v>101.18210000000001</v>
      </c>
      <c r="M28" s="94">
        <v>208.42020999999997</v>
      </c>
      <c r="N28" s="84"/>
      <c r="O28" s="95">
        <f t="shared" si="0"/>
        <v>3.1103706387611255E-3</v>
      </c>
      <c r="P28" s="95">
        <f>M28/'סכום נכסי הקרן'!$C$42</f>
        <v>8.7249819972852244E-4</v>
      </c>
    </row>
    <row r="29" spans="2:16">
      <c r="B29" s="87" t="s">
        <v>1273</v>
      </c>
      <c r="C29" s="84" t="s">
        <v>1274</v>
      </c>
      <c r="D29" s="84" t="s">
        <v>256</v>
      </c>
      <c r="E29" s="84"/>
      <c r="F29" s="106">
        <v>41548</v>
      </c>
      <c r="G29" s="94">
        <v>7.2500000000000018</v>
      </c>
      <c r="H29" s="97" t="s">
        <v>165</v>
      </c>
      <c r="I29" s="98">
        <v>4.8000000000000001E-2</v>
      </c>
      <c r="J29" s="98">
        <v>4.8499999999999995E-2</v>
      </c>
      <c r="K29" s="94">
        <v>839999.99999999988</v>
      </c>
      <c r="L29" s="107">
        <v>102.9903</v>
      </c>
      <c r="M29" s="94">
        <v>865.16885999999988</v>
      </c>
      <c r="N29" s="84"/>
      <c r="O29" s="95">
        <f t="shared" si="0"/>
        <v>1.2911395779298153E-2</v>
      </c>
      <c r="P29" s="95">
        <f>M29/'סכום נכסי הקרן'!$C$42</f>
        <v>3.6218093860052153E-3</v>
      </c>
    </row>
    <row r="30" spans="2:16">
      <c r="B30" s="87" t="s">
        <v>1275</v>
      </c>
      <c r="C30" s="84" t="s">
        <v>1276</v>
      </c>
      <c r="D30" s="84" t="s">
        <v>256</v>
      </c>
      <c r="E30" s="84"/>
      <c r="F30" s="106">
        <v>41579</v>
      </c>
      <c r="G30" s="94">
        <v>7.3299999999999992</v>
      </c>
      <c r="H30" s="97" t="s">
        <v>165</v>
      </c>
      <c r="I30" s="98">
        <v>4.8000000000000001E-2</v>
      </c>
      <c r="J30" s="98">
        <v>4.8499999999999995E-2</v>
      </c>
      <c r="K30" s="94">
        <v>314999.99999999994</v>
      </c>
      <c r="L30" s="107">
        <v>102.5852</v>
      </c>
      <c r="M30" s="94">
        <v>323.15825999999993</v>
      </c>
      <c r="N30" s="84"/>
      <c r="O30" s="95">
        <f t="shared" si="0"/>
        <v>4.822670333059993E-3</v>
      </c>
      <c r="P30" s="95">
        <f>M30/'סכום נכסי הקרן'!$C$42</f>
        <v>1.3528198636658208E-3</v>
      </c>
    </row>
    <row r="31" spans="2:16">
      <c r="B31" s="87" t="s">
        <v>1277</v>
      </c>
      <c r="C31" s="84" t="s">
        <v>1278</v>
      </c>
      <c r="D31" s="84" t="s">
        <v>256</v>
      </c>
      <c r="E31" s="84"/>
      <c r="F31" s="106">
        <v>41609</v>
      </c>
      <c r="G31" s="94">
        <v>7.410000000000001</v>
      </c>
      <c r="H31" s="97" t="s">
        <v>165</v>
      </c>
      <c r="I31" s="98">
        <v>4.8000000000000001E-2</v>
      </c>
      <c r="J31" s="98">
        <v>4.8600000000000004E-2</v>
      </c>
      <c r="K31" s="94">
        <v>1455999.9999999998</v>
      </c>
      <c r="L31" s="107">
        <v>101.88200000000001</v>
      </c>
      <c r="M31" s="94">
        <v>1483.0531799999997</v>
      </c>
      <c r="N31" s="84"/>
      <c r="O31" s="95">
        <f t="shared" si="0"/>
        <v>2.2132426921522234E-2</v>
      </c>
      <c r="P31" s="95">
        <f>M31/'סכום נכסי הקרן'!$C$42</f>
        <v>6.2084249394608144E-3</v>
      </c>
    </row>
    <row r="32" spans="2:16">
      <c r="B32" s="87" t="s">
        <v>1279</v>
      </c>
      <c r="C32" s="84" t="s">
        <v>1280</v>
      </c>
      <c r="D32" s="84" t="s">
        <v>256</v>
      </c>
      <c r="E32" s="84"/>
      <c r="F32" s="106">
        <v>41672</v>
      </c>
      <c r="G32" s="94">
        <v>7.5900000000000007</v>
      </c>
      <c r="H32" s="97" t="s">
        <v>165</v>
      </c>
      <c r="I32" s="98">
        <v>4.8000000000000001E-2</v>
      </c>
      <c r="J32" s="98">
        <v>4.8499999999999995E-2</v>
      </c>
      <c r="K32" s="94">
        <v>453999.99999999994</v>
      </c>
      <c r="L32" s="107">
        <v>101.3719</v>
      </c>
      <c r="M32" s="94">
        <v>460.22279999999995</v>
      </c>
      <c r="N32" s="84"/>
      <c r="O32" s="95">
        <f t="shared" si="0"/>
        <v>6.8681606472253036E-3</v>
      </c>
      <c r="P32" s="95">
        <f>M32/'סכום נכסי הקרן'!$C$42</f>
        <v>1.9266056994857641E-3</v>
      </c>
    </row>
    <row r="33" spans="2:16">
      <c r="B33" s="87" t="s">
        <v>1281</v>
      </c>
      <c r="C33" s="84" t="s">
        <v>1282</v>
      </c>
      <c r="D33" s="84" t="s">
        <v>256</v>
      </c>
      <c r="E33" s="84"/>
      <c r="F33" s="106">
        <v>41700</v>
      </c>
      <c r="G33" s="94">
        <v>7.660000000000001</v>
      </c>
      <c r="H33" s="97" t="s">
        <v>165</v>
      </c>
      <c r="I33" s="98">
        <v>4.8000000000000001E-2</v>
      </c>
      <c r="J33" s="98">
        <v>4.8600000000000004E-2</v>
      </c>
      <c r="K33" s="94">
        <v>90999.999999999985</v>
      </c>
      <c r="L33" s="107">
        <v>101.5664</v>
      </c>
      <c r="M33" s="94">
        <v>92.425649999999976</v>
      </c>
      <c r="N33" s="84"/>
      <c r="O33" s="95">
        <f t="shared" si="0"/>
        <v>1.3793193473339853E-3</v>
      </c>
      <c r="P33" s="95">
        <f>M33/'סכום נכסי הקרן'!$C$42</f>
        <v>3.8691647625601423E-4</v>
      </c>
    </row>
    <row r="34" spans="2:16">
      <c r="B34" s="87" t="s">
        <v>1283</v>
      </c>
      <c r="C34" s="84" t="s">
        <v>1284</v>
      </c>
      <c r="D34" s="84" t="s">
        <v>256</v>
      </c>
      <c r="E34" s="84"/>
      <c r="F34" s="106">
        <v>41730</v>
      </c>
      <c r="G34" s="94">
        <v>7.57</v>
      </c>
      <c r="H34" s="97" t="s">
        <v>165</v>
      </c>
      <c r="I34" s="98">
        <v>4.8000000000000001E-2</v>
      </c>
      <c r="J34" s="98">
        <v>4.8500000000000008E-2</v>
      </c>
      <c r="K34" s="94">
        <v>313999.99999999994</v>
      </c>
      <c r="L34" s="107">
        <v>103.8077</v>
      </c>
      <c r="M34" s="94">
        <v>325.95688999999993</v>
      </c>
      <c r="N34" s="84"/>
      <c r="O34" s="95">
        <f t="shared" si="0"/>
        <v>4.8644358440953963E-3</v>
      </c>
      <c r="P34" s="95">
        <f>M34/'סכום נכסי הקרן'!$C$42</f>
        <v>1.3645356163594115E-3</v>
      </c>
    </row>
    <row r="35" spans="2:16">
      <c r="B35" s="87" t="s">
        <v>1285</v>
      </c>
      <c r="C35" s="84" t="s">
        <v>1286</v>
      </c>
      <c r="D35" s="84" t="s">
        <v>256</v>
      </c>
      <c r="E35" s="84"/>
      <c r="F35" s="106">
        <v>41760</v>
      </c>
      <c r="G35" s="94">
        <v>7.65</v>
      </c>
      <c r="H35" s="97" t="s">
        <v>165</v>
      </c>
      <c r="I35" s="98">
        <v>4.8000000000000001E-2</v>
      </c>
      <c r="J35" s="98">
        <v>4.8499999999999995E-2</v>
      </c>
      <c r="K35" s="94">
        <v>433999.99999999994</v>
      </c>
      <c r="L35" s="107">
        <v>103.0937</v>
      </c>
      <c r="M35" s="94">
        <v>447.42651999999993</v>
      </c>
      <c r="N35" s="84"/>
      <c r="O35" s="95">
        <f t="shared" si="0"/>
        <v>6.6771946483072222E-3</v>
      </c>
      <c r="P35" s="95">
        <f>M35/'סכום נכסי הקרן'!$C$42</f>
        <v>1.8730373278618121E-3</v>
      </c>
    </row>
    <row r="36" spans="2:16">
      <c r="B36" s="87" t="s">
        <v>1287</v>
      </c>
      <c r="C36" s="84" t="s">
        <v>1288</v>
      </c>
      <c r="D36" s="84" t="s">
        <v>256</v>
      </c>
      <c r="E36" s="84"/>
      <c r="F36" s="106">
        <v>41791</v>
      </c>
      <c r="G36" s="94">
        <v>7.7300000000000013</v>
      </c>
      <c r="H36" s="97" t="s">
        <v>165</v>
      </c>
      <c r="I36" s="98">
        <v>4.8000000000000001E-2</v>
      </c>
      <c r="J36" s="98">
        <v>4.8499999999999995E-2</v>
      </c>
      <c r="K36" s="94">
        <v>416999.99999999994</v>
      </c>
      <c r="L36" s="107">
        <v>102.5796</v>
      </c>
      <c r="M36" s="94">
        <v>427.7832699999999</v>
      </c>
      <c r="N36" s="84"/>
      <c r="O36" s="95">
        <f t="shared" si="0"/>
        <v>6.3840475103696653E-3</v>
      </c>
      <c r="P36" s="95">
        <f>M36/'סכום נכסי הקרן'!$C$42</f>
        <v>1.7908058577859624E-3</v>
      </c>
    </row>
    <row r="37" spans="2:16">
      <c r="B37" s="87" t="s">
        <v>1289</v>
      </c>
      <c r="C37" s="84" t="s">
        <v>1290</v>
      </c>
      <c r="D37" s="84" t="s">
        <v>256</v>
      </c>
      <c r="E37" s="84"/>
      <c r="F37" s="106">
        <v>41821</v>
      </c>
      <c r="G37" s="94">
        <v>7.8100000000000005</v>
      </c>
      <c r="H37" s="97" t="s">
        <v>165</v>
      </c>
      <c r="I37" s="98">
        <v>4.8000000000000001E-2</v>
      </c>
      <c r="J37" s="98">
        <v>4.8500000000000015E-2</v>
      </c>
      <c r="K37" s="94">
        <v>600999.99999999988</v>
      </c>
      <c r="L37" s="107">
        <v>102.0809</v>
      </c>
      <c r="M37" s="94">
        <v>613.50696999999991</v>
      </c>
      <c r="N37" s="84"/>
      <c r="O37" s="95">
        <f t="shared" si="0"/>
        <v>9.1557055151383956E-3</v>
      </c>
      <c r="P37" s="95">
        <f>M37/'סכום נכסי הקרן'!$C$42</f>
        <v>2.5682908910124435E-3</v>
      </c>
    </row>
    <row r="38" spans="2:16">
      <c r="B38" s="87" t="s">
        <v>1291</v>
      </c>
      <c r="C38" s="84" t="s">
        <v>1292</v>
      </c>
      <c r="D38" s="84" t="s">
        <v>256</v>
      </c>
      <c r="E38" s="84"/>
      <c r="F38" s="106">
        <v>41852</v>
      </c>
      <c r="G38" s="94">
        <v>7.9000000000000012</v>
      </c>
      <c r="H38" s="97" t="s">
        <v>165</v>
      </c>
      <c r="I38" s="98">
        <v>4.8000000000000001E-2</v>
      </c>
      <c r="J38" s="98">
        <v>4.8600000000000004E-2</v>
      </c>
      <c r="K38" s="94">
        <v>3174999.9999999995</v>
      </c>
      <c r="L38" s="107">
        <v>101.3788</v>
      </c>
      <c r="M38" s="94">
        <v>3218.2501699999993</v>
      </c>
      <c r="N38" s="84"/>
      <c r="O38" s="95">
        <f t="shared" si="0"/>
        <v>4.8027736067226878E-2</v>
      </c>
      <c r="P38" s="95">
        <f>M38/'סכום נכסי הקרן'!$C$42</f>
        <v>1.3472385809423237E-2</v>
      </c>
    </row>
    <row r="39" spans="2:16">
      <c r="B39" s="87" t="s">
        <v>1293</v>
      </c>
      <c r="C39" s="84" t="s">
        <v>1294</v>
      </c>
      <c r="D39" s="84" t="s">
        <v>256</v>
      </c>
      <c r="E39" s="84"/>
      <c r="F39" s="106">
        <v>41883</v>
      </c>
      <c r="G39" s="94">
        <v>7.9900000000000011</v>
      </c>
      <c r="H39" s="97" t="s">
        <v>165</v>
      </c>
      <c r="I39" s="98">
        <v>4.8000000000000001E-2</v>
      </c>
      <c r="J39" s="98">
        <v>4.8500000000000008E-2</v>
      </c>
      <c r="K39" s="94">
        <v>391999.99999999994</v>
      </c>
      <c r="L39" s="107">
        <v>100.87390000000001</v>
      </c>
      <c r="M39" s="94">
        <v>395.45559999999989</v>
      </c>
      <c r="N39" s="84"/>
      <c r="O39" s="95">
        <f t="shared" si="0"/>
        <v>5.9016037224684879E-3</v>
      </c>
      <c r="P39" s="95">
        <f>M39/'סכום נכסי הקרן'!$C$42</f>
        <v>1.6554742895257741E-3</v>
      </c>
    </row>
    <row r="40" spans="2:16">
      <c r="B40" s="87" t="s">
        <v>1295</v>
      </c>
      <c r="C40" s="84" t="s">
        <v>1296</v>
      </c>
      <c r="D40" s="84" t="s">
        <v>256</v>
      </c>
      <c r="E40" s="84"/>
      <c r="F40" s="106">
        <v>41913</v>
      </c>
      <c r="G40" s="94">
        <v>7.88</v>
      </c>
      <c r="H40" s="97" t="s">
        <v>165</v>
      </c>
      <c r="I40" s="98">
        <v>4.8000000000000001E-2</v>
      </c>
      <c r="J40" s="98">
        <v>4.8499999999999995E-2</v>
      </c>
      <c r="K40" s="94">
        <v>782999.99999999988</v>
      </c>
      <c r="L40" s="107">
        <v>102.9962</v>
      </c>
      <c r="M40" s="94">
        <v>806.45836999999983</v>
      </c>
      <c r="N40" s="84"/>
      <c r="O40" s="95">
        <f t="shared" si="0"/>
        <v>1.2035226504335427E-2</v>
      </c>
      <c r="P40" s="95">
        <f>M40/'סכום נכסי הקרן'!$C$42</f>
        <v>3.3760328520012458E-3</v>
      </c>
    </row>
    <row r="41" spans="2:16">
      <c r="B41" s="87" t="s">
        <v>1297</v>
      </c>
      <c r="C41" s="84" t="s">
        <v>1298</v>
      </c>
      <c r="D41" s="84" t="s">
        <v>256</v>
      </c>
      <c r="E41" s="84"/>
      <c r="F41" s="106">
        <v>41945</v>
      </c>
      <c r="G41" s="94">
        <v>7.96</v>
      </c>
      <c r="H41" s="97" t="s">
        <v>165</v>
      </c>
      <c r="I41" s="98">
        <v>4.8000000000000001E-2</v>
      </c>
      <c r="J41" s="98">
        <v>4.8500000000000008E-2</v>
      </c>
      <c r="K41" s="94">
        <v>1215999.9999999998</v>
      </c>
      <c r="L41" s="107">
        <v>102.87739999999999</v>
      </c>
      <c r="M41" s="94">
        <v>1250.9940199999999</v>
      </c>
      <c r="N41" s="84"/>
      <c r="O41" s="95">
        <f t="shared" si="0"/>
        <v>1.8669279092818052E-2</v>
      </c>
      <c r="P41" s="95">
        <f>M41/'סכום נכסי הקרן'!$C$42</f>
        <v>5.2369682878697183E-3</v>
      </c>
    </row>
    <row r="42" spans="2:16">
      <c r="B42" s="87" t="s">
        <v>1299</v>
      </c>
      <c r="C42" s="84" t="s">
        <v>1300</v>
      </c>
      <c r="D42" s="84" t="s">
        <v>256</v>
      </c>
      <c r="E42" s="84"/>
      <c r="F42" s="106">
        <v>41974</v>
      </c>
      <c r="G42" s="94">
        <v>8.0400000000000009</v>
      </c>
      <c r="H42" s="97" t="s">
        <v>165</v>
      </c>
      <c r="I42" s="98">
        <v>4.8000000000000001E-2</v>
      </c>
      <c r="J42" s="98">
        <v>4.8499999999999995E-2</v>
      </c>
      <c r="K42" s="94">
        <v>710999.99999999988</v>
      </c>
      <c r="L42" s="107">
        <v>102.1815</v>
      </c>
      <c r="M42" s="94">
        <v>726.53270999999984</v>
      </c>
      <c r="N42" s="84"/>
      <c r="O42" s="95">
        <f t="shared" si="0"/>
        <v>1.0842451455564464E-2</v>
      </c>
      <c r="P42" s="95">
        <f>M42/'סכום נכסי הקרן'!$C$42</f>
        <v>3.0414444046423551E-3</v>
      </c>
    </row>
    <row r="43" spans="2:16">
      <c r="B43" s="87" t="s">
        <v>1301</v>
      </c>
      <c r="C43" s="84" t="s">
        <v>1302</v>
      </c>
      <c r="D43" s="84" t="s">
        <v>256</v>
      </c>
      <c r="E43" s="84"/>
      <c r="F43" s="106">
        <v>42005</v>
      </c>
      <c r="G43" s="94">
        <v>8.129999999999999</v>
      </c>
      <c r="H43" s="97" t="s">
        <v>165</v>
      </c>
      <c r="I43" s="98">
        <v>4.8000000000000001E-2</v>
      </c>
      <c r="J43" s="98">
        <v>4.8499999999999995E-2</v>
      </c>
      <c r="K43" s="94">
        <v>923999.99999999988</v>
      </c>
      <c r="L43" s="107">
        <v>101.98090000000001</v>
      </c>
      <c r="M43" s="94">
        <v>942.30337999999983</v>
      </c>
      <c r="N43" s="84"/>
      <c r="O43" s="95">
        <f t="shared" si="0"/>
        <v>1.4062517094466834E-2</v>
      </c>
      <c r="P43" s="95">
        <f>M43/'סכום נכסי הקרן'!$C$42</f>
        <v>3.9447134356505147E-3</v>
      </c>
    </row>
    <row r="44" spans="2:16">
      <c r="B44" s="87" t="s">
        <v>1303</v>
      </c>
      <c r="C44" s="84" t="s">
        <v>1304</v>
      </c>
      <c r="D44" s="84" t="s">
        <v>256</v>
      </c>
      <c r="E44" s="84"/>
      <c r="F44" s="106">
        <v>42036</v>
      </c>
      <c r="G44" s="94">
        <v>8.2200000000000024</v>
      </c>
      <c r="H44" s="97" t="s">
        <v>165</v>
      </c>
      <c r="I44" s="98">
        <v>4.8000000000000001E-2</v>
      </c>
      <c r="J44" s="98">
        <v>4.8500000000000008E-2</v>
      </c>
      <c r="K44" s="94">
        <v>1139999.9999999998</v>
      </c>
      <c r="L44" s="107">
        <v>101.57850000000001</v>
      </c>
      <c r="M44" s="94">
        <v>1157.9953799999996</v>
      </c>
      <c r="N44" s="84"/>
      <c r="O44" s="95">
        <f t="shared" si="0"/>
        <v>1.7281408697232534E-2</v>
      </c>
      <c r="P44" s="95">
        <f>M44/'סכום נכסי הקרן'!$C$42</f>
        <v>4.847653134712541E-3</v>
      </c>
    </row>
    <row r="45" spans="2:16">
      <c r="B45" s="87" t="s">
        <v>1305</v>
      </c>
      <c r="C45" s="84" t="s">
        <v>1306</v>
      </c>
      <c r="D45" s="84" t="s">
        <v>256</v>
      </c>
      <c r="E45" s="84"/>
      <c r="F45" s="106">
        <v>42064</v>
      </c>
      <c r="G45" s="94">
        <v>8.2900000000000009</v>
      </c>
      <c r="H45" s="97" t="s">
        <v>165</v>
      </c>
      <c r="I45" s="98">
        <v>4.8000000000000001E-2</v>
      </c>
      <c r="J45" s="98">
        <v>4.8500000000000008E-2</v>
      </c>
      <c r="K45" s="94">
        <v>1969999.9999999998</v>
      </c>
      <c r="L45" s="107">
        <v>102.0874</v>
      </c>
      <c r="M45" s="94">
        <v>2011.1218299999996</v>
      </c>
      <c r="N45" s="84"/>
      <c r="O45" s="95">
        <f t="shared" si="0"/>
        <v>3.0013088898641561E-2</v>
      </c>
      <c r="P45" s="95">
        <f>M45/'סכום נכסי הקרן'!$C$42</f>
        <v>8.4190500341100871E-3</v>
      </c>
    </row>
    <row r="46" spans="2:16">
      <c r="B46" s="87" t="s">
        <v>1307</v>
      </c>
      <c r="C46" s="84" t="s">
        <v>1308</v>
      </c>
      <c r="D46" s="84" t="s">
        <v>256</v>
      </c>
      <c r="E46" s="84"/>
      <c r="F46" s="106">
        <v>42095</v>
      </c>
      <c r="G46" s="94">
        <v>8.18</v>
      </c>
      <c r="H46" s="97" t="s">
        <v>165</v>
      </c>
      <c r="I46" s="98">
        <v>4.8000000000000001E-2</v>
      </c>
      <c r="J46" s="98">
        <v>4.8499999999999995E-2</v>
      </c>
      <c r="K46" s="94">
        <v>401999.99999999994</v>
      </c>
      <c r="L46" s="107">
        <v>104.87179999999999</v>
      </c>
      <c r="M46" s="94">
        <v>421.58480999999995</v>
      </c>
      <c r="N46" s="84"/>
      <c r="O46" s="95">
        <f t="shared" si="0"/>
        <v>6.2915444465375392E-3</v>
      </c>
      <c r="P46" s="95">
        <f>M46/'סכום נכסי הקרן'!$C$42</f>
        <v>1.7648575815075284E-3</v>
      </c>
    </row>
    <row r="47" spans="2:16">
      <c r="B47" s="87" t="s">
        <v>1309</v>
      </c>
      <c r="C47" s="84" t="s">
        <v>1310</v>
      </c>
      <c r="D47" s="84" t="s">
        <v>256</v>
      </c>
      <c r="E47" s="84"/>
      <c r="F47" s="106">
        <v>42156</v>
      </c>
      <c r="G47" s="94">
        <v>8.3499999999999979</v>
      </c>
      <c r="H47" s="97" t="s">
        <v>165</v>
      </c>
      <c r="I47" s="98">
        <v>4.8000000000000001E-2</v>
      </c>
      <c r="J47" s="98">
        <v>4.8499999999999995E-2</v>
      </c>
      <c r="K47" s="94">
        <v>364999.99999999994</v>
      </c>
      <c r="L47" s="107">
        <v>103.1044</v>
      </c>
      <c r="M47" s="94">
        <v>376.32933000000003</v>
      </c>
      <c r="N47" s="84"/>
      <c r="O47" s="95">
        <f t="shared" si="0"/>
        <v>5.6161717644207659E-3</v>
      </c>
      <c r="P47" s="95">
        <f>M47/'סכום נכסי הקרן'!$C$42</f>
        <v>1.575407024731628E-3</v>
      </c>
    </row>
    <row r="48" spans="2:16">
      <c r="B48" s="87" t="s">
        <v>1311</v>
      </c>
      <c r="C48" s="84" t="s">
        <v>1312</v>
      </c>
      <c r="D48" s="84" t="s">
        <v>256</v>
      </c>
      <c r="E48" s="84"/>
      <c r="F48" s="106">
        <v>42218</v>
      </c>
      <c r="G48" s="94">
        <v>8.5200000000000014</v>
      </c>
      <c r="H48" s="97" t="s">
        <v>165</v>
      </c>
      <c r="I48" s="98">
        <v>4.8000000000000001E-2</v>
      </c>
      <c r="J48" s="98">
        <v>4.8499999999999995E-2</v>
      </c>
      <c r="K48" s="94">
        <v>460999.99999999994</v>
      </c>
      <c r="L48" s="107">
        <v>101.7664</v>
      </c>
      <c r="M48" s="94">
        <v>469.14328999999992</v>
      </c>
      <c r="N48" s="84"/>
      <c r="O48" s="95">
        <f t="shared" si="0"/>
        <v>7.0012860777167235E-3</v>
      </c>
      <c r="P48" s="95">
        <f>M48/'סכום נכסי הקרן'!$C$42</f>
        <v>1.9639490620401742E-3</v>
      </c>
    </row>
    <row r="49" spans="2:16">
      <c r="B49" s="87" t="s">
        <v>1313</v>
      </c>
      <c r="C49" s="84" t="s">
        <v>1314</v>
      </c>
      <c r="D49" s="84" t="s">
        <v>256</v>
      </c>
      <c r="E49" s="84"/>
      <c r="F49" s="106">
        <v>42309</v>
      </c>
      <c r="G49" s="94">
        <v>8.56</v>
      </c>
      <c r="H49" s="97" t="s">
        <v>165</v>
      </c>
      <c r="I49" s="98">
        <v>4.8000000000000001E-2</v>
      </c>
      <c r="J49" s="98">
        <v>4.8500000000000008E-2</v>
      </c>
      <c r="K49" s="94">
        <v>1142999.9999999998</v>
      </c>
      <c r="L49" s="107">
        <v>103.408</v>
      </c>
      <c r="M49" s="94">
        <v>1181.9529299999997</v>
      </c>
      <c r="N49" s="84"/>
      <c r="O49" s="95">
        <f t="shared" si="0"/>
        <v>1.7638940532061085E-2</v>
      </c>
      <c r="P49" s="95">
        <f>M49/'סכום נכסי הקרן'!$C$42</f>
        <v>4.9479453244426356E-3</v>
      </c>
    </row>
    <row r="50" spans="2:16">
      <c r="B50" s="87" t="s">
        <v>1315</v>
      </c>
      <c r="C50" s="84" t="s">
        <v>1316</v>
      </c>
      <c r="D50" s="84" t="s">
        <v>256</v>
      </c>
      <c r="E50" s="84"/>
      <c r="F50" s="106">
        <v>42339</v>
      </c>
      <c r="G50" s="94">
        <v>8.64</v>
      </c>
      <c r="H50" s="97" t="s">
        <v>165</v>
      </c>
      <c r="I50" s="98">
        <v>4.8000000000000001E-2</v>
      </c>
      <c r="J50" s="98">
        <v>4.8499999999999995E-2</v>
      </c>
      <c r="K50" s="94">
        <v>744999.99999999988</v>
      </c>
      <c r="L50" s="107">
        <v>102.8965</v>
      </c>
      <c r="M50" s="94">
        <v>766.57895999999982</v>
      </c>
      <c r="N50" s="84"/>
      <c r="O50" s="95">
        <f t="shared" si="0"/>
        <v>1.1440083902976775E-2</v>
      </c>
      <c r="P50" s="95">
        <f>M50/'סכום נכסי הקרן'!$C$42</f>
        <v>3.2090878449348216E-3</v>
      </c>
    </row>
    <row r="51" spans="2:16">
      <c r="B51" s="87" t="s">
        <v>1317</v>
      </c>
      <c r="C51" s="84" t="s">
        <v>1318</v>
      </c>
      <c r="D51" s="84" t="s">
        <v>256</v>
      </c>
      <c r="E51" s="84"/>
      <c r="F51" s="106">
        <v>42370</v>
      </c>
      <c r="G51" s="94">
        <v>8.7299999999999969</v>
      </c>
      <c r="H51" s="97" t="s">
        <v>165</v>
      </c>
      <c r="I51" s="98">
        <v>4.8000000000000001E-2</v>
      </c>
      <c r="J51" s="98">
        <v>4.8499999999999988E-2</v>
      </c>
      <c r="K51" s="94">
        <v>198999.99999999997</v>
      </c>
      <c r="L51" s="107">
        <v>102.9037</v>
      </c>
      <c r="M51" s="94">
        <v>204.77842000000001</v>
      </c>
      <c r="N51" s="84"/>
      <c r="O51" s="95">
        <f t="shared" si="0"/>
        <v>3.0560221823972547E-3</v>
      </c>
      <c r="P51" s="95">
        <f>M51/'סכום נכסי הקרן'!$C$42</f>
        <v>8.5725277214360011E-4</v>
      </c>
    </row>
    <row r="52" spans="2:16">
      <c r="B52" s="87" t="s">
        <v>1319</v>
      </c>
      <c r="C52" s="84" t="s">
        <v>1320</v>
      </c>
      <c r="D52" s="84" t="s">
        <v>256</v>
      </c>
      <c r="E52" s="84"/>
      <c r="F52" s="106">
        <v>42461</v>
      </c>
      <c r="G52" s="94">
        <v>8.7700000000000031</v>
      </c>
      <c r="H52" s="97" t="s">
        <v>165</v>
      </c>
      <c r="I52" s="98">
        <v>4.8000000000000001E-2</v>
      </c>
      <c r="J52" s="98">
        <v>4.8500000000000008E-2</v>
      </c>
      <c r="K52" s="94">
        <v>507999.99999999994</v>
      </c>
      <c r="L52" s="107">
        <v>105.08459999999999</v>
      </c>
      <c r="M52" s="94">
        <v>533.82985999999983</v>
      </c>
      <c r="N52" s="84"/>
      <c r="O52" s="95">
        <f t="shared" si="0"/>
        <v>7.966639716167458E-3</v>
      </c>
      <c r="P52" s="95">
        <f>M52/'סכום נכסי הקרן'!$C$42</f>
        <v>2.2347429350125358E-3</v>
      </c>
    </row>
    <row r="53" spans="2:16">
      <c r="B53" s="87" t="s">
        <v>1321</v>
      </c>
      <c r="C53" s="84" t="s">
        <v>1322</v>
      </c>
      <c r="D53" s="84" t="s">
        <v>256</v>
      </c>
      <c r="E53" s="84"/>
      <c r="F53" s="106">
        <v>42491</v>
      </c>
      <c r="G53" s="94">
        <v>8.85</v>
      </c>
      <c r="H53" s="97" t="s">
        <v>165</v>
      </c>
      <c r="I53" s="98">
        <v>4.8000000000000001E-2</v>
      </c>
      <c r="J53" s="98">
        <v>4.8600000000000004E-2</v>
      </c>
      <c r="K53" s="94">
        <v>621999.99999999988</v>
      </c>
      <c r="L53" s="107">
        <v>104.88330000000001</v>
      </c>
      <c r="M53" s="94">
        <v>652.37438999999995</v>
      </c>
      <c r="N53" s="84"/>
      <c r="O53" s="95">
        <f t="shared" si="0"/>
        <v>9.7357456272388343E-3</v>
      </c>
      <c r="P53" s="95">
        <f>M53/'סכום נכסי הקרן'!$C$42</f>
        <v>2.7309994593326292E-3</v>
      </c>
    </row>
    <row r="54" spans="2:16">
      <c r="B54" s="87" t="s">
        <v>1323</v>
      </c>
      <c r="C54" s="84" t="s">
        <v>1324</v>
      </c>
      <c r="D54" s="84" t="s">
        <v>256</v>
      </c>
      <c r="E54" s="84"/>
      <c r="F54" s="106">
        <v>42522</v>
      </c>
      <c r="G54" s="94">
        <v>8.9299999999999979</v>
      </c>
      <c r="H54" s="97" t="s">
        <v>165</v>
      </c>
      <c r="I54" s="98">
        <v>4.8000000000000001E-2</v>
      </c>
      <c r="J54" s="98">
        <v>4.8499999999999995E-2</v>
      </c>
      <c r="K54" s="94">
        <v>1498999.9999999998</v>
      </c>
      <c r="L54" s="107">
        <v>104.04519999999999</v>
      </c>
      <c r="M54" s="94">
        <v>1559.6381000000001</v>
      </c>
      <c r="N54" s="84"/>
      <c r="O54" s="95">
        <f t="shared" si="0"/>
        <v>2.3275346250410115E-2</v>
      </c>
      <c r="P54" s="95">
        <f>M54/'סכום נכסי הקרן'!$C$42</f>
        <v>6.529028228490958E-3</v>
      </c>
    </row>
    <row r="55" spans="2:16">
      <c r="B55" s="87" t="s">
        <v>1325</v>
      </c>
      <c r="C55" s="84" t="s">
        <v>1326</v>
      </c>
      <c r="D55" s="84" t="s">
        <v>256</v>
      </c>
      <c r="E55" s="84"/>
      <c r="F55" s="106">
        <v>42552</v>
      </c>
      <c r="G55" s="94">
        <v>9.0200000000000031</v>
      </c>
      <c r="H55" s="97" t="s">
        <v>165</v>
      </c>
      <c r="I55" s="98">
        <v>4.8000000000000001E-2</v>
      </c>
      <c r="J55" s="98">
        <v>4.8499999999999995E-2</v>
      </c>
      <c r="K55" s="94">
        <v>1014999.9999999999</v>
      </c>
      <c r="L55" s="107">
        <v>103.3194</v>
      </c>
      <c r="M55" s="94">
        <v>1048.6979999999999</v>
      </c>
      <c r="N55" s="84"/>
      <c r="O55" s="95">
        <f t="shared" si="0"/>
        <v>1.5650303145398014E-2</v>
      </c>
      <c r="P55" s="95">
        <f>M55/'סכום נכסי הקרן'!$C$42</f>
        <v>4.3901074519544052E-3</v>
      </c>
    </row>
    <row r="56" spans="2:16">
      <c r="B56" s="87" t="s">
        <v>1327</v>
      </c>
      <c r="C56" s="84" t="s">
        <v>1328</v>
      </c>
      <c r="D56" s="84" t="s">
        <v>256</v>
      </c>
      <c r="E56" s="84"/>
      <c r="F56" s="106">
        <v>42583</v>
      </c>
      <c r="G56" s="94">
        <v>9.1000000000000014</v>
      </c>
      <c r="H56" s="97" t="s">
        <v>165</v>
      </c>
      <c r="I56" s="98">
        <v>4.8000000000000001E-2</v>
      </c>
      <c r="J56" s="98">
        <v>4.8500000000000008E-2</v>
      </c>
      <c r="K56" s="94">
        <v>1043999.9999999999</v>
      </c>
      <c r="L56" s="107">
        <v>102.6123</v>
      </c>
      <c r="M56" s="94">
        <v>1071.2714999999998</v>
      </c>
      <c r="N56" s="84"/>
      <c r="O56" s="95">
        <f t="shared" si="0"/>
        <v>1.5987180032788515E-2</v>
      </c>
      <c r="P56" s="95">
        <f>M56/'סכום נכסי הקרן'!$C$42</f>
        <v>4.4846056683777152E-3</v>
      </c>
    </row>
    <row r="57" spans="2:16">
      <c r="B57" s="87" t="s">
        <v>1329</v>
      </c>
      <c r="C57" s="84" t="s">
        <v>1330</v>
      </c>
      <c r="D57" s="84" t="s">
        <v>256</v>
      </c>
      <c r="E57" s="84"/>
      <c r="F57" s="106">
        <v>42614</v>
      </c>
      <c r="G57" s="94">
        <v>9.1900000000000013</v>
      </c>
      <c r="H57" s="97" t="s">
        <v>165</v>
      </c>
      <c r="I57" s="98">
        <v>4.8000000000000001E-2</v>
      </c>
      <c r="J57" s="98">
        <v>4.8500000000000008E-2</v>
      </c>
      <c r="K57" s="94">
        <v>918999.99999999988</v>
      </c>
      <c r="L57" s="107">
        <v>101.7859</v>
      </c>
      <c r="M57" s="94">
        <v>935.40468999999985</v>
      </c>
      <c r="N57" s="84"/>
      <c r="O57" s="95">
        <f t="shared" si="0"/>
        <v>1.3959564109140147E-2</v>
      </c>
      <c r="P57" s="95">
        <f>M57/'סכום נכסי הקרן'!$C$42</f>
        <v>3.9158338245730423E-3</v>
      </c>
    </row>
    <row r="58" spans="2:16">
      <c r="B58" s="87" t="s">
        <v>1331</v>
      </c>
      <c r="C58" s="84" t="s">
        <v>1332</v>
      </c>
      <c r="D58" s="84" t="s">
        <v>256</v>
      </c>
      <c r="E58" s="84"/>
      <c r="F58" s="106">
        <v>42644</v>
      </c>
      <c r="G58" s="94">
        <v>9.0500000000000007</v>
      </c>
      <c r="H58" s="97" t="s">
        <v>165</v>
      </c>
      <c r="I58" s="98">
        <v>4.8000000000000001E-2</v>
      </c>
      <c r="J58" s="98">
        <v>4.8500000000000008E-2</v>
      </c>
      <c r="K58" s="94">
        <v>1282999.9999999998</v>
      </c>
      <c r="L58" s="107">
        <v>104.1314</v>
      </c>
      <c r="M58" s="94">
        <v>1335.9989299999997</v>
      </c>
      <c r="N58" s="84"/>
      <c r="O58" s="95">
        <f t="shared" si="0"/>
        <v>1.9937854612507491E-2</v>
      </c>
      <c r="P58" s="95">
        <f>M58/'סכום נכסי הקרן'!$C$42</f>
        <v>5.5928197235010566E-3</v>
      </c>
    </row>
    <row r="59" spans="2:16">
      <c r="B59" s="87" t="s">
        <v>1333</v>
      </c>
      <c r="C59" s="84" t="s">
        <v>1334</v>
      </c>
      <c r="D59" s="84" t="s">
        <v>256</v>
      </c>
      <c r="E59" s="84"/>
      <c r="F59" s="106">
        <v>42675</v>
      </c>
      <c r="G59" s="94">
        <v>9.1300000000000026</v>
      </c>
      <c r="H59" s="97" t="s">
        <v>165</v>
      </c>
      <c r="I59" s="98">
        <v>4.8000000000000001E-2</v>
      </c>
      <c r="J59" s="98">
        <v>4.8500000000000008E-2</v>
      </c>
      <c r="K59" s="94">
        <v>555999.99999999988</v>
      </c>
      <c r="L59" s="107">
        <v>103.82429999999999</v>
      </c>
      <c r="M59" s="94">
        <v>577.2649399999998</v>
      </c>
      <c r="N59" s="84"/>
      <c r="O59" s="95">
        <f t="shared" si="0"/>
        <v>8.6148455572624284E-3</v>
      </c>
      <c r="P59" s="95">
        <f>M59/'סכום נכסי הקרן'!$C$42</f>
        <v>2.4165728501875775E-3</v>
      </c>
    </row>
    <row r="60" spans="2:16">
      <c r="B60" s="87" t="s">
        <v>1335</v>
      </c>
      <c r="C60" s="84" t="s">
        <v>1336</v>
      </c>
      <c r="D60" s="84" t="s">
        <v>256</v>
      </c>
      <c r="E60" s="84"/>
      <c r="F60" s="106">
        <v>42705</v>
      </c>
      <c r="G60" s="94">
        <v>9.2200000000000006</v>
      </c>
      <c r="H60" s="97" t="s">
        <v>165</v>
      </c>
      <c r="I60" s="98">
        <v>4.8000000000000001E-2</v>
      </c>
      <c r="J60" s="98">
        <v>4.8500000000000015E-2</v>
      </c>
      <c r="K60" s="94">
        <v>421999.99999999994</v>
      </c>
      <c r="L60" s="107">
        <v>103.20650000000001</v>
      </c>
      <c r="M60" s="94">
        <v>435.53214999999989</v>
      </c>
      <c r="N60" s="84"/>
      <c r="O60" s="95">
        <f t="shared" si="0"/>
        <v>6.4996883536222617E-3</v>
      </c>
      <c r="P60" s="95">
        <f>M60/'סכום נכסי הקרן'!$C$42</f>
        <v>1.8232445730617618E-3</v>
      </c>
    </row>
    <row r="61" spans="2:16">
      <c r="B61" s="87" t="s">
        <v>1337</v>
      </c>
      <c r="C61" s="84" t="s">
        <v>1338</v>
      </c>
      <c r="D61" s="84" t="s">
        <v>256</v>
      </c>
      <c r="E61" s="84"/>
      <c r="F61" s="106">
        <v>42736</v>
      </c>
      <c r="G61" s="94">
        <v>9.2999999999999972</v>
      </c>
      <c r="H61" s="97" t="s">
        <v>165</v>
      </c>
      <c r="I61" s="98">
        <v>4.8000000000000001E-2</v>
      </c>
      <c r="J61" s="98">
        <v>4.8499999999999988E-2</v>
      </c>
      <c r="K61" s="94">
        <v>514999.99999999994</v>
      </c>
      <c r="L61" s="107">
        <v>103.2152</v>
      </c>
      <c r="M61" s="94">
        <v>531.55817000000002</v>
      </c>
      <c r="N61" s="84"/>
      <c r="O61" s="95">
        <f t="shared" si="0"/>
        <v>7.9327380236378954E-3</v>
      </c>
      <c r="P61" s="95">
        <f>M61/'סכום נכסי הקרן'!$C$42</f>
        <v>2.2252330826074301E-3</v>
      </c>
    </row>
    <row r="62" spans="2:16">
      <c r="B62" s="87" t="s">
        <v>1339</v>
      </c>
      <c r="C62" s="84" t="s">
        <v>1340</v>
      </c>
      <c r="D62" s="84" t="s">
        <v>256</v>
      </c>
      <c r="E62" s="84"/>
      <c r="F62" s="106">
        <v>42767</v>
      </c>
      <c r="G62" s="94">
        <v>9.3899999999999988</v>
      </c>
      <c r="H62" s="97" t="s">
        <v>165</v>
      </c>
      <c r="I62" s="98">
        <v>4.8000000000000001E-2</v>
      </c>
      <c r="J62" s="98">
        <v>4.8499999999999988E-2</v>
      </c>
      <c r="K62" s="94">
        <v>22999.999999999996</v>
      </c>
      <c r="L62" s="107">
        <v>102.8079</v>
      </c>
      <c r="M62" s="94">
        <v>23.64583</v>
      </c>
      <c r="N62" s="84"/>
      <c r="O62" s="95">
        <f t="shared" si="0"/>
        <v>3.5287986400712768E-4</v>
      </c>
      <c r="P62" s="95">
        <f>M62/'סכום נכסי הקרן'!$C$42</f>
        <v>9.8987253232720037E-5</v>
      </c>
    </row>
    <row r="63" spans="2:16">
      <c r="B63" s="87" t="s">
        <v>1341</v>
      </c>
      <c r="C63" s="84" t="s">
        <v>1342</v>
      </c>
      <c r="D63" s="84" t="s">
        <v>256</v>
      </c>
      <c r="E63" s="84"/>
      <c r="F63" s="106">
        <v>42795</v>
      </c>
      <c r="G63" s="94">
        <v>9.4700000000000006</v>
      </c>
      <c r="H63" s="97" t="s">
        <v>165</v>
      </c>
      <c r="I63" s="98">
        <v>4.8000000000000001E-2</v>
      </c>
      <c r="J63" s="98">
        <v>4.8499999999999995E-2</v>
      </c>
      <c r="K63" s="94">
        <v>304999.99999999994</v>
      </c>
      <c r="L63" s="107">
        <v>102.6075</v>
      </c>
      <c r="M63" s="94">
        <v>312.95275999999996</v>
      </c>
      <c r="N63" s="84"/>
      <c r="O63" s="95">
        <f t="shared" si="0"/>
        <v>4.6703679840993211E-3</v>
      </c>
      <c r="P63" s="95">
        <f>M63/'סכום נכסי הקרן'!$C$42</f>
        <v>1.3100971335748693E-3</v>
      </c>
    </row>
    <row r="64" spans="2:16">
      <c r="B64" s="87" t="s">
        <v>1343</v>
      </c>
      <c r="C64" s="84" t="s">
        <v>1344</v>
      </c>
      <c r="D64" s="84" t="s">
        <v>256</v>
      </c>
      <c r="E64" s="84"/>
      <c r="F64" s="106">
        <v>42856</v>
      </c>
      <c r="G64" s="94">
        <v>9.41</v>
      </c>
      <c r="H64" s="97" t="s">
        <v>165</v>
      </c>
      <c r="I64" s="98">
        <v>4.8000000000000001E-2</v>
      </c>
      <c r="J64" s="98">
        <v>4.8499999999999995E-2</v>
      </c>
      <c r="K64" s="94">
        <v>185999.99999999997</v>
      </c>
      <c r="L64" s="107">
        <v>103.92659999999999</v>
      </c>
      <c r="M64" s="94">
        <v>193.31039999999996</v>
      </c>
      <c r="N64" s="84"/>
      <c r="O64" s="95">
        <f t="shared" si="0"/>
        <v>2.8848785457378083E-3</v>
      </c>
      <c r="P64" s="95">
        <f>M64/'סכום נכסי הקרן'!$C$42</f>
        <v>8.0924482318101758E-4</v>
      </c>
    </row>
    <row r="65" spans="2:16">
      <c r="B65" s="87" t="s">
        <v>1345</v>
      </c>
      <c r="C65" s="84" t="s">
        <v>1346</v>
      </c>
      <c r="D65" s="84" t="s">
        <v>256</v>
      </c>
      <c r="E65" s="84"/>
      <c r="F65" s="106">
        <v>42887</v>
      </c>
      <c r="G65" s="94">
        <v>9.49</v>
      </c>
      <c r="H65" s="97" t="s">
        <v>165</v>
      </c>
      <c r="I65" s="98">
        <v>4.8000000000000001E-2</v>
      </c>
      <c r="J65" s="98">
        <v>4.8500000000000008E-2</v>
      </c>
      <c r="K65" s="94">
        <v>1349999.9999999998</v>
      </c>
      <c r="L65" s="107">
        <v>103.31319999999999</v>
      </c>
      <c r="M65" s="94">
        <v>1394.7364699999998</v>
      </c>
      <c r="N65" s="84"/>
      <c r="O65" s="95">
        <f t="shared" si="0"/>
        <v>2.0814427569655253E-2</v>
      </c>
      <c r="P65" s="95">
        <f>M65/'סכום נכסי הקרן'!$C$42</f>
        <v>5.8387094954501506E-3</v>
      </c>
    </row>
    <row r="66" spans="2:16">
      <c r="B66" s="87" t="s">
        <v>1347</v>
      </c>
      <c r="C66" s="84" t="s">
        <v>1348</v>
      </c>
      <c r="D66" s="84" t="s">
        <v>256</v>
      </c>
      <c r="E66" s="84"/>
      <c r="F66" s="106">
        <v>42949</v>
      </c>
      <c r="G66" s="94">
        <v>9.6700000000000017</v>
      </c>
      <c r="H66" s="97" t="s">
        <v>165</v>
      </c>
      <c r="I66" s="98">
        <v>4.8000000000000001E-2</v>
      </c>
      <c r="J66" s="98">
        <v>4.8499999999999995E-2</v>
      </c>
      <c r="K66" s="94">
        <v>914999.99999999988</v>
      </c>
      <c r="L66" s="107">
        <v>102.8062</v>
      </c>
      <c r="M66" s="94">
        <v>940.67657999999983</v>
      </c>
      <c r="N66" s="84"/>
      <c r="O66" s="95">
        <f t="shared" si="0"/>
        <v>1.4038239453852535E-2</v>
      </c>
      <c r="P66" s="95">
        <f>M66/'סכום נכסי הקרן'!$C$42</f>
        <v>3.9379032512095796E-3</v>
      </c>
    </row>
    <row r="67" spans="2:16">
      <c r="B67" s="87" t="s">
        <v>1349</v>
      </c>
      <c r="C67" s="84" t="s">
        <v>1350</v>
      </c>
      <c r="D67" s="84" t="s">
        <v>256</v>
      </c>
      <c r="E67" s="84"/>
      <c r="F67" s="106">
        <v>42979</v>
      </c>
      <c r="G67" s="94">
        <v>9.75</v>
      </c>
      <c r="H67" s="97" t="s">
        <v>165</v>
      </c>
      <c r="I67" s="98">
        <v>4.8000000000000001E-2</v>
      </c>
      <c r="J67" s="98">
        <v>4.8500000000000008E-2</v>
      </c>
      <c r="K67" s="94">
        <v>630999.99999999988</v>
      </c>
      <c r="L67" s="107">
        <v>102.5167</v>
      </c>
      <c r="M67" s="94">
        <v>646.88009999999986</v>
      </c>
      <c r="N67" s="84"/>
      <c r="O67" s="95">
        <f t="shared" si="0"/>
        <v>9.6537512837112129E-3</v>
      </c>
      <c r="P67" s="95">
        <f>M67/'סכום נכסי הקרן'!$C$42</f>
        <v>2.7079990116611365E-3</v>
      </c>
    </row>
    <row r="68" spans="2:16">
      <c r="B68" s="87" t="s">
        <v>1351</v>
      </c>
      <c r="C68" s="84" t="s">
        <v>1352</v>
      </c>
      <c r="D68" s="84" t="s">
        <v>256</v>
      </c>
      <c r="E68" s="84"/>
      <c r="F68" s="106">
        <v>43009</v>
      </c>
      <c r="G68" s="94">
        <v>9.6</v>
      </c>
      <c r="H68" s="97" t="s">
        <v>165</v>
      </c>
      <c r="I68" s="98">
        <v>4.8000000000000001E-2</v>
      </c>
      <c r="J68" s="98">
        <v>4.8499999999999995E-2</v>
      </c>
      <c r="K68" s="94">
        <v>912999.99999999988</v>
      </c>
      <c r="L68" s="107">
        <v>104.24979999999999</v>
      </c>
      <c r="M68" s="94">
        <v>951.80058999999983</v>
      </c>
      <c r="N68" s="84"/>
      <c r="O68" s="95">
        <f t="shared" si="0"/>
        <v>1.4204249238073006E-2</v>
      </c>
      <c r="P68" s="95">
        <f>M68/'סכום נכסי הקרן'!$C$42</f>
        <v>3.9844710898024015E-3</v>
      </c>
    </row>
    <row r="69" spans="2:16">
      <c r="B69" s="87" t="s">
        <v>1353</v>
      </c>
      <c r="C69" s="84" t="s">
        <v>1354</v>
      </c>
      <c r="D69" s="84" t="s">
        <v>256</v>
      </c>
      <c r="E69" s="84"/>
      <c r="F69" s="106">
        <v>43040</v>
      </c>
      <c r="G69" s="94">
        <v>9.6800000000000015</v>
      </c>
      <c r="H69" s="97" t="s">
        <v>165</v>
      </c>
      <c r="I69" s="98">
        <v>4.8000000000000001E-2</v>
      </c>
      <c r="J69" s="98">
        <v>4.8500000000000008E-2</v>
      </c>
      <c r="K69" s="94">
        <v>312999.99999999994</v>
      </c>
      <c r="L69" s="107">
        <v>103.735</v>
      </c>
      <c r="M69" s="94">
        <v>324.69078999999994</v>
      </c>
      <c r="N69" s="84"/>
      <c r="O69" s="95">
        <f t="shared" si="0"/>
        <v>4.8455411300667743E-3</v>
      </c>
      <c r="P69" s="95">
        <f>M69/'סכום נכסי הקרן'!$C$42</f>
        <v>1.3592354107283152E-3</v>
      </c>
    </row>
    <row r="70" spans="2:16">
      <c r="B70" s="87" t="s">
        <v>1355</v>
      </c>
      <c r="C70" s="84" t="s">
        <v>1356</v>
      </c>
      <c r="D70" s="84" t="s">
        <v>256</v>
      </c>
      <c r="E70" s="84"/>
      <c r="F70" s="106">
        <v>43070</v>
      </c>
      <c r="G70" s="94">
        <v>9.7699999999999978</v>
      </c>
      <c r="H70" s="97" t="s">
        <v>165</v>
      </c>
      <c r="I70" s="98">
        <v>4.8000000000000001E-2</v>
      </c>
      <c r="J70" s="98">
        <v>4.8499999999999988E-2</v>
      </c>
      <c r="K70" s="94">
        <v>742999.99999999988</v>
      </c>
      <c r="L70" s="107">
        <v>103.0177</v>
      </c>
      <c r="M70" s="94">
        <v>765.42118000000005</v>
      </c>
      <c r="N70" s="84"/>
      <c r="O70" s="95">
        <f t="shared" si="0"/>
        <v>1.1422805708514998E-2</v>
      </c>
      <c r="P70" s="95">
        <f>M70/'סכום נכסי הקרן'!$C$42</f>
        <v>3.2042410934337005E-3</v>
      </c>
    </row>
    <row r="71" spans="2:16">
      <c r="B71" s="87" t="s">
        <v>1357</v>
      </c>
      <c r="C71" s="84" t="s">
        <v>1358</v>
      </c>
      <c r="D71" s="84" t="s">
        <v>256</v>
      </c>
      <c r="E71" s="84"/>
      <c r="F71" s="106">
        <v>43101</v>
      </c>
      <c r="G71" s="94">
        <v>9.8500000000000014</v>
      </c>
      <c r="H71" s="97" t="s">
        <v>165</v>
      </c>
      <c r="I71" s="98">
        <v>4.8000000000000001E-2</v>
      </c>
      <c r="J71" s="98">
        <v>4.8500000000000008E-2</v>
      </c>
      <c r="K71" s="94">
        <v>198999.99999999997</v>
      </c>
      <c r="L71" s="107">
        <v>102.9182</v>
      </c>
      <c r="M71" s="94">
        <v>204.80728999999994</v>
      </c>
      <c r="N71" s="84"/>
      <c r="O71" s="95">
        <f t="shared" si="0"/>
        <v>3.0564530254538892E-3</v>
      </c>
      <c r="P71" s="95">
        <f>M71/'סכום נכסי הקרן'!$C$42</f>
        <v>8.5737362905582612E-4</v>
      </c>
    </row>
    <row r="72" spans="2:16">
      <c r="B72" s="87" t="s">
        <v>1359</v>
      </c>
      <c r="C72" s="84" t="s">
        <v>1360</v>
      </c>
      <c r="D72" s="84" t="s">
        <v>256</v>
      </c>
      <c r="E72" s="84"/>
      <c r="F72" s="106">
        <v>43161</v>
      </c>
      <c r="G72" s="94">
        <v>10.020000000000001</v>
      </c>
      <c r="H72" s="97" t="s">
        <v>165</v>
      </c>
      <c r="I72" s="98">
        <v>4.8000000000000001E-2</v>
      </c>
      <c r="J72" s="98">
        <v>4.8499999999999995E-2</v>
      </c>
      <c r="K72" s="94">
        <v>602999.99999999988</v>
      </c>
      <c r="L72" s="107">
        <v>102.50320000000001</v>
      </c>
      <c r="M72" s="94">
        <v>618.0939699999999</v>
      </c>
      <c r="N72" s="84"/>
      <c r="O72" s="95">
        <f t="shared" si="0"/>
        <v>9.2241598657025626E-3</v>
      </c>
      <c r="P72" s="95">
        <f>M72/'סכום נכסי הקרן'!$C$42</f>
        <v>2.5874931998583791E-3</v>
      </c>
    </row>
    <row r="73" spans="2:16">
      <c r="B73" s="87" t="s">
        <v>1361</v>
      </c>
      <c r="C73" s="84" t="s">
        <v>1362</v>
      </c>
      <c r="D73" s="84" t="s">
        <v>256</v>
      </c>
      <c r="E73" s="84"/>
      <c r="F73" s="106">
        <v>43252</v>
      </c>
      <c r="G73" s="94">
        <v>10.029999999999999</v>
      </c>
      <c r="H73" s="97" t="s">
        <v>165</v>
      </c>
      <c r="I73" s="98">
        <v>4.8000000000000001E-2</v>
      </c>
      <c r="J73" s="98">
        <v>4.8499999999999995E-2</v>
      </c>
      <c r="K73" s="94">
        <v>84999.999999999985</v>
      </c>
      <c r="L73" s="107">
        <v>102.9143</v>
      </c>
      <c r="M73" s="94">
        <v>87.47808999999998</v>
      </c>
      <c r="N73" s="84"/>
      <c r="O73" s="95">
        <f t="shared" si="0"/>
        <v>1.305484159481958E-3</v>
      </c>
      <c r="P73" s="95">
        <f>M73/'סכום נכסי הקרן'!$C$42</f>
        <v>3.6620477467463284E-4</v>
      </c>
    </row>
    <row r="74" spans="2:16">
      <c r="B74" s="87" t="s">
        <v>1363</v>
      </c>
      <c r="C74" s="84" t="s">
        <v>1364</v>
      </c>
      <c r="D74" s="84" t="s">
        <v>256</v>
      </c>
      <c r="E74" s="84"/>
      <c r="F74" s="106">
        <v>43313</v>
      </c>
      <c r="G74" s="94">
        <v>10.199999999999998</v>
      </c>
      <c r="H74" s="97" t="s">
        <v>165</v>
      </c>
      <c r="I74" s="98">
        <v>4.8000000000000001E-2</v>
      </c>
      <c r="J74" s="98">
        <v>4.8499999999999988E-2</v>
      </c>
      <c r="K74" s="94">
        <v>374999.99999999994</v>
      </c>
      <c r="L74" s="107">
        <v>101.4795</v>
      </c>
      <c r="M74" s="94">
        <v>380.6259</v>
      </c>
      <c r="N74" s="84"/>
      <c r="O74" s="95">
        <f t="shared" si="0"/>
        <v>5.6802918666670008E-3</v>
      </c>
      <c r="P74" s="95">
        <f>M74/'סכום נכסי הקרן'!$C$42</f>
        <v>1.593393522250307E-3</v>
      </c>
    </row>
    <row r="75" spans="2:16">
      <c r="B75" s="87" t="s">
        <v>1365</v>
      </c>
      <c r="C75" s="84" t="s">
        <v>1366</v>
      </c>
      <c r="D75" s="84" t="s">
        <v>256</v>
      </c>
      <c r="E75" s="84"/>
      <c r="F75" s="106">
        <v>43345</v>
      </c>
      <c r="G75" s="94">
        <v>10.28</v>
      </c>
      <c r="H75" s="97" t="s">
        <v>165</v>
      </c>
      <c r="I75" s="98">
        <v>4.8000000000000001E-2</v>
      </c>
      <c r="J75" s="98">
        <v>4.8499999999999995E-2</v>
      </c>
      <c r="K75" s="94">
        <v>507999.99999999994</v>
      </c>
      <c r="L75" s="107">
        <v>101.0789</v>
      </c>
      <c r="M75" s="94">
        <v>513.51951999999994</v>
      </c>
      <c r="N75" s="84"/>
      <c r="O75" s="95">
        <f t="shared" si="0"/>
        <v>7.6635372233753458E-3</v>
      </c>
      <c r="P75" s="95">
        <f>M75/'סכום נכסי הקרן'!$C$42</f>
        <v>2.1497188623188462E-3</v>
      </c>
    </row>
    <row r="76" spans="2:16">
      <c r="B76" s="87" t="s">
        <v>1367</v>
      </c>
      <c r="C76" s="84" t="s">
        <v>1368</v>
      </c>
      <c r="D76" s="84" t="s">
        <v>256</v>
      </c>
      <c r="E76" s="84"/>
      <c r="F76" s="106">
        <v>43497</v>
      </c>
      <c r="G76" s="94">
        <v>10.46</v>
      </c>
      <c r="H76" s="97" t="s">
        <v>165</v>
      </c>
      <c r="I76" s="98">
        <v>4.8000000000000001E-2</v>
      </c>
      <c r="J76" s="98">
        <v>4.8500000000000008E-2</v>
      </c>
      <c r="K76" s="94">
        <v>697999.99999999988</v>
      </c>
      <c r="L76" s="107">
        <v>101.5993</v>
      </c>
      <c r="M76" s="94">
        <v>709.17200999999989</v>
      </c>
      <c r="N76" s="84"/>
      <c r="O76" s="95">
        <f t="shared" ref="O76:O89" si="1">M76/$M$11</f>
        <v>1.058336807997272E-2</v>
      </c>
      <c r="P76" s="95">
        <f>M76/'סכום נכסי הקרן'!$C$42</f>
        <v>2.9687682495994879E-3</v>
      </c>
    </row>
    <row r="77" spans="2:16">
      <c r="B77" s="87" t="s">
        <v>1369</v>
      </c>
      <c r="C77" s="84" t="s">
        <v>1370</v>
      </c>
      <c r="D77" s="84" t="s">
        <v>256</v>
      </c>
      <c r="E77" s="84"/>
      <c r="F77" s="106">
        <v>43525</v>
      </c>
      <c r="G77" s="94">
        <v>10.540000000000001</v>
      </c>
      <c r="H77" s="97" t="s">
        <v>165</v>
      </c>
      <c r="I77" s="98">
        <v>4.8000000000000001E-2</v>
      </c>
      <c r="J77" s="98">
        <v>4.8499999999999995E-2</v>
      </c>
      <c r="K77" s="94">
        <v>1139999.9999999998</v>
      </c>
      <c r="L77" s="107">
        <v>101.2988</v>
      </c>
      <c r="M77" s="94">
        <v>1154.8062599999998</v>
      </c>
      <c r="N77" s="84"/>
      <c r="O77" s="95">
        <f t="shared" si="1"/>
        <v>1.7233815686883466E-2</v>
      </c>
      <c r="P77" s="95">
        <f>M77/'סכום נכסי הקרן'!$C$42</f>
        <v>4.8343026949508785E-3</v>
      </c>
    </row>
    <row r="78" spans="2:16">
      <c r="B78" s="87" t="s">
        <v>1371</v>
      </c>
      <c r="C78" s="84" t="s">
        <v>1372</v>
      </c>
      <c r="D78" s="84" t="s">
        <v>256</v>
      </c>
      <c r="E78" s="84"/>
      <c r="F78" s="106">
        <v>43556</v>
      </c>
      <c r="G78" s="94">
        <v>10.370000000000001</v>
      </c>
      <c r="H78" s="97" t="s">
        <v>165</v>
      </c>
      <c r="I78" s="98">
        <v>4.8000000000000001E-2</v>
      </c>
      <c r="J78" s="98">
        <v>4.8500000000000008E-2</v>
      </c>
      <c r="K78" s="94">
        <v>787999.99999999988</v>
      </c>
      <c r="L78" s="107">
        <v>103.2176</v>
      </c>
      <c r="M78" s="94">
        <v>813.35490999999979</v>
      </c>
      <c r="N78" s="84"/>
      <c r="O78" s="95">
        <f t="shared" si="1"/>
        <v>1.2138147404017093E-2</v>
      </c>
      <c r="P78" s="95">
        <f>M78/'סכום נכסי הקרן'!$C$42</f>
        <v>3.4049034626505476E-3</v>
      </c>
    </row>
    <row r="79" spans="2:16">
      <c r="B79" s="87" t="s">
        <v>1373</v>
      </c>
      <c r="C79" s="84" t="s">
        <v>1374</v>
      </c>
      <c r="D79" s="84" t="s">
        <v>256</v>
      </c>
      <c r="E79" s="84"/>
      <c r="F79" s="106">
        <v>43586</v>
      </c>
      <c r="G79" s="94">
        <v>10.45</v>
      </c>
      <c r="H79" s="97" t="s">
        <v>165</v>
      </c>
      <c r="I79" s="98">
        <v>4.8000000000000001E-2</v>
      </c>
      <c r="J79" s="98">
        <v>4.8499999999999995E-2</v>
      </c>
      <c r="K79" s="94">
        <v>1156999.9999999998</v>
      </c>
      <c r="L79" s="107">
        <v>102.3058</v>
      </c>
      <c r="M79" s="94">
        <v>1183.7924599999999</v>
      </c>
      <c r="N79" s="84"/>
      <c r="O79" s="95">
        <f t="shared" si="1"/>
        <v>1.7666392860705801E-2</v>
      </c>
      <c r="P79" s="95">
        <f>M79/'סכום נכסי הקרן'!$C$42</f>
        <v>4.9556460489229856E-3</v>
      </c>
    </row>
    <row r="80" spans="2:16">
      <c r="B80" s="87" t="s">
        <v>1375</v>
      </c>
      <c r="C80" s="84" t="s">
        <v>1376</v>
      </c>
      <c r="D80" s="84" t="s">
        <v>256</v>
      </c>
      <c r="E80" s="84"/>
      <c r="F80" s="106">
        <v>43647</v>
      </c>
      <c r="G80" s="94">
        <v>10.62</v>
      </c>
      <c r="H80" s="97" t="s">
        <v>165</v>
      </c>
      <c r="I80" s="98">
        <v>4.8000000000000001E-2</v>
      </c>
      <c r="J80" s="98">
        <v>4.8499999999999995E-2</v>
      </c>
      <c r="K80" s="94">
        <v>931999.99999999988</v>
      </c>
      <c r="L80" s="107">
        <v>101.193</v>
      </c>
      <c r="M80" s="94">
        <v>943.1191399999999</v>
      </c>
      <c r="N80" s="84"/>
      <c r="O80" s="95">
        <f t="shared" si="1"/>
        <v>1.4074691134365729E-2</v>
      </c>
      <c r="P80" s="95">
        <f>M80/'סכום נכסי הקרן'!$C$42</f>
        <v>3.9481284074107418E-3</v>
      </c>
    </row>
    <row r="81" spans="2:16">
      <c r="B81" s="87" t="s">
        <v>1377</v>
      </c>
      <c r="C81" s="84" t="s">
        <v>1378</v>
      </c>
      <c r="D81" s="84" t="s">
        <v>256</v>
      </c>
      <c r="E81" s="84"/>
      <c r="F81" s="106">
        <v>43678</v>
      </c>
      <c r="G81" s="94">
        <v>10.709999999999999</v>
      </c>
      <c r="H81" s="97" t="s">
        <v>165</v>
      </c>
      <c r="I81" s="98">
        <v>4.8000000000000001E-2</v>
      </c>
      <c r="J81" s="98">
        <v>4.8499999999999995E-2</v>
      </c>
      <c r="K81" s="94">
        <v>491999.99999999994</v>
      </c>
      <c r="L81" s="107">
        <v>100.7938</v>
      </c>
      <c r="M81" s="94">
        <v>495.90569999999997</v>
      </c>
      <c r="N81" s="84"/>
      <c r="O81" s="95">
        <f t="shared" si="1"/>
        <v>7.4006763973334597E-3</v>
      </c>
      <c r="P81" s="95">
        <f>M81/'סכום נכסי הקרן'!$C$42</f>
        <v>2.0759830847743256E-3</v>
      </c>
    </row>
    <row r="82" spans="2:16">
      <c r="B82" s="87" t="s">
        <v>1379</v>
      </c>
      <c r="C82" s="84" t="s">
        <v>1380</v>
      </c>
      <c r="D82" s="84" t="s">
        <v>256</v>
      </c>
      <c r="E82" s="84"/>
      <c r="F82" s="106">
        <v>40057</v>
      </c>
      <c r="G82" s="94">
        <v>4.43</v>
      </c>
      <c r="H82" s="97" t="s">
        <v>165</v>
      </c>
      <c r="I82" s="98">
        <v>4.8000000000000001E-2</v>
      </c>
      <c r="J82" s="98">
        <v>4.8499999999999995E-2</v>
      </c>
      <c r="K82" s="94">
        <v>116999.99999999999</v>
      </c>
      <c r="L82" s="107">
        <v>110.34439999999999</v>
      </c>
      <c r="M82" s="94">
        <v>129.10946999999999</v>
      </c>
      <c r="N82" s="84"/>
      <c r="O82" s="95">
        <f t="shared" si="1"/>
        <v>1.9267723829373858E-3</v>
      </c>
      <c r="P82" s="95">
        <f>M82/'סכום נכסי הקרן'!$C$42</f>
        <v>5.4048395855135008E-4</v>
      </c>
    </row>
    <row r="83" spans="2:16">
      <c r="B83" s="87" t="s">
        <v>1381</v>
      </c>
      <c r="C83" s="84" t="s">
        <v>1382</v>
      </c>
      <c r="D83" s="84" t="s">
        <v>256</v>
      </c>
      <c r="E83" s="84"/>
      <c r="F83" s="106">
        <v>39995</v>
      </c>
      <c r="G83" s="94">
        <v>4.2600000000000007</v>
      </c>
      <c r="H83" s="97" t="s">
        <v>165</v>
      </c>
      <c r="I83" s="98">
        <v>4.8000000000000001E-2</v>
      </c>
      <c r="J83" s="98">
        <v>4.8499999999999995E-2</v>
      </c>
      <c r="K83" s="94">
        <v>49999.999999999993</v>
      </c>
      <c r="L83" s="107">
        <v>113.38339999999999</v>
      </c>
      <c r="M83" s="94">
        <v>56.69516999999999</v>
      </c>
      <c r="N83" s="84"/>
      <c r="O83" s="95">
        <f t="shared" si="1"/>
        <v>8.4609353443972914E-4</v>
      </c>
      <c r="P83" s="95">
        <f>M83/'סכום נכסי הקרן'!$C$42</f>
        <v>2.3733990939891353E-4</v>
      </c>
    </row>
    <row r="84" spans="2:16">
      <c r="B84" s="87" t="s">
        <v>1383</v>
      </c>
      <c r="C84" s="84" t="s">
        <v>1384</v>
      </c>
      <c r="D84" s="84" t="s">
        <v>256</v>
      </c>
      <c r="E84" s="84"/>
      <c r="F84" s="106">
        <v>40756</v>
      </c>
      <c r="G84" s="94">
        <v>5.87</v>
      </c>
      <c r="H84" s="97" t="s">
        <v>165</v>
      </c>
      <c r="I84" s="98">
        <v>4.8000000000000001E-2</v>
      </c>
      <c r="J84" s="98">
        <v>4.8499999999999995E-2</v>
      </c>
      <c r="K84" s="94">
        <v>229999.99999999997</v>
      </c>
      <c r="L84" s="107">
        <v>104.9114</v>
      </c>
      <c r="M84" s="94">
        <v>241.31571999999997</v>
      </c>
      <c r="N84" s="84"/>
      <c r="O84" s="95">
        <f t="shared" si="1"/>
        <v>3.6012886186013384E-3</v>
      </c>
      <c r="P84" s="95">
        <f>M84/'סכום נכסי הקרן'!$C$42</f>
        <v>1.0102068857247202E-3</v>
      </c>
    </row>
    <row r="85" spans="2:16">
      <c r="B85" s="87" t="s">
        <v>1385</v>
      </c>
      <c r="C85" s="84" t="s">
        <v>1386</v>
      </c>
      <c r="D85" s="84" t="s">
        <v>256</v>
      </c>
      <c r="E85" s="84"/>
      <c r="F85" s="106">
        <v>40848</v>
      </c>
      <c r="G85" s="94">
        <v>5.9799999999999986</v>
      </c>
      <c r="H85" s="97" t="s">
        <v>165</v>
      </c>
      <c r="I85" s="98">
        <v>4.8000000000000001E-2</v>
      </c>
      <c r="J85" s="98">
        <v>4.8499999999999995E-2</v>
      </c>
      <c r="K85" s="94">
        <v>40999.999999999993</v>
      </c>
      <c r="L85" s="107">
        <v>106.1649</v>
      </c>
      <c r="M85" s="94">
        <v>43.526260000000001</v>
      </c>
      <c r="N85" s="84"/>
      <c r="O85" s="95">
        <f t="shared" si="1"/>
        <v>6.4956657091499352E-4</v>
      </c>
      <c r="P85" s="95">
        <f>M85/'סכום נכסי הקרן'!$C$42</f>
        <v>1.8221161705439027E-4</v>
      </c>
    </row>
    <row r="86" spans="2:16">
      <c r="B86" s="87" t="s">
        <v>1387</v>
      </c>
      <c r="C86" s="84" t="s">
        <v>1388</v>
      </c>
      <c r="D86" s="84" t="s">
        <v>256</v>
      </c>
      <c r="E86" s="84"/>
      <c r="F86" s="106">
        <v>40940</v>
      </c>
      <c r="G86" s="94">
        <v>6.23</v>
      </c>
      <c r="H86" s="97" t="s">
        <v>165</v>
      </c>
      <c r="I86" s="98">
        <v>4.8000000000000001E-2</v>
      </c>
      <c r="J86" s="98">
        <v>4.8500000000000008E-2</v>
      </c>
      <c r="K86" s="94">
        <v>1293999.9999999998</v>
      </c>
      <c r="L86" s="107">
        <v>104.92230000000001</v>
      </c>
      <c r="M86" s="94">
        <v>1357.7017799999999</v>
      </c>
      <c r="N86" s="84"/>
      <c r="O86" s="95">
        <f t="shared" si="1"/>
        <v>2.0261738306019926E-2</v>
      </c>
      <c r="P86" s="95">
        <f>M86/'סכום נכסי הקרן'!$C$42</f>
        <v>5.6836731851398212E-3</v>
      </c>
    </row>
    <row r="87" spans="2:16">
      <c r="B87" s="87" t="s">
        <v>1389</v>
      </c>
      <c r="C87" s="84" t="s">
        <v>1390</v>
      </c>
      <c r="D87" s="84" t="s">
        <v>256</v>
      </c>
      <c r="E87" s="84"/>
      <c r="F87" s="106">
        <v>40969</v>
      </c>
      <c r="G87" s="94">
        <v>6.3100000000000005</v>
      </c>
      <c r="H87" s="97" t="s">
        <v>165</v>
      </c>
      <c r="I87" s="98">
        <v>4.8000000000000001E-2</v>
      </c>
      <c r="J87" s="98">
        <v>4.8600000000000004E-2</v>
      </c>
      <c r="K87" s="94">
        <v>1424999.9999999998</v>
      </c>
      <c r="L87" s="107">
        <v>104.4883</v>
      </c>
      <c r="M87" s="94">
        <v>1488.7342399999998</v>
      </c>
      <c r="N87" s="84"/>
      <c r="O87" s="95">
        <f t="shared" si="1"/>
        <v>2.2217208537571084E-2</v>
      </c>
      <c r="P87" s="95">
        <f>M87/'סכום נכסי הקרן'!$C$42</f>
        <v>6.232207252234368E-3</v>
      </c>
    </row>
    <row r="88" spans="2:16">
      <c r="B88" s="87" t="s">
        <v>1391</v>
      </c>
      <c r="C88" s="84">
        <v>8789</v>
      </c>
      <c r="D88" s="84" t="s">
        <v>256</v>
      </c>
      <c r="E88" s="84"/>
      <c r="F88" s="106">
        <v>41000</v>
      </c>
      <c r="G88" s="94">
        <v>6.24</v>
      </c>
      <c r="H88" s="97" t="s">
        <v>165</v>
      </c>
      <c r="I88" s="98">
        <v>4.8000000000000001E-2</v>
      </c>
      <c r="J88" s="98">
        <v>4.8500000000000008E-2</v>
      </c>
      <c r="K88" s="94">
        <v>1215999.9999999998</v>
      </c>
      <c r="L88" s="107">
        <v>106.5861</v>
      </c>
      <c r="M88" s="94">
        <v>1296.0607299999997</v>
      </c>
      <c r="N88" s="84"/>
      <c r="O88" s="95">
        <f t="shared" si="1"/>
        <v>1.934183465530195E-2</v>
      </c>
      <c r="P88" s="95">
        <f>M88/'סכום נכסי הקרן'!$C$42</f>
        <v>5.4256286070522358E-3</v>
      </c>
    </row>
    <row r="89" spans="2:16">
      <c r="B89" s="87" t="s">
        <v>1392</v>
      </c>
      <c r="C89" s="84" t="s">
        <v>1393</v>
      </c>
      <c r="D89" s="84" t="s">
        <v>256</v>
      </c>
      <c r="E89" s="84"/>
      <c r="F89" s="106">
        <v>41640</v>
      </c>
      <c r="G89" s="94">
        <v>7.5</v>
      </c>
      <c r="H89" s="97" t="s">
        <v>165</v>
      </c>
      <c r="I89" s="98">
        <v>4.8000000000000001E-2</v>
      </c>
      <c r="J89" s="98">
        <v>4.8500000000000008E-2</v>
      </c>
      <c r="K89" s="94">
        <v>1033999.9999999999</v>
      </c>
      <c r="L89" s="107">
        <v>101.8818</v>
      </c>
      <c r="M89" s="94">
        <v>1053.4574699999998</v>
      </c>
      <c r="N89" s="84"/>
      <c r="O89" s="95">
        <f t="shared" si="1"/>
        <v>1.5721331361635126E-2</v>
      </c>
      <c r="P89" s="95">
        <f>M89/'סכום נכסי הקרן'!$C$42</f>
        <v>4.4100317625894525E-3</v>
      </c>
    </row>
    <row r="93" spans="2:16">
      <c r="B93" s="99" t="s">
        <v>113</v>
      </c>
    </row>
    <row r="94" spans="2:16">
      <c r="B94" s="99" t="s">
        <v>232</v>
      </c>
    </row>
    <row r="95" spans="2:16">
      <c r="B95" s="99" t="s">
        <v>240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180</v>
      </c>
      <c r="C1" s="78" t="s" vm="1">
        <v>251</v>
      </c>
    </row>
    <row r="2" spans="2:65">
      <c r="B2" s="57" t="s">
        <v>179</v>
      </c>
      <c r="C2" s="78" t="s">
        <v>252</v>
      </c>
    </row>
    <row r="3" spans="2:65">
      <c r="B3" s="57" t="s">
        <v>181</v>
      </c>
      <c r="C3" s="78" t="s">
        <v>253</v>
      </c>
    </row>
    <row r="4" spans="2:65">
      <c r="B4" s="57" t="s">
        <v>182</v>
      </c>
      <c r="C4" s="78">
        <v>2144</v>
      </c>
    </row>
    <row r="6" spans="2:65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65" ht="26.25" customHeight="1">
      <c r="B7" s="159" t="s">
        <v>88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</row>
    <row r="8" spans="2:65" s="3" customFormat="1" ht="78.75">
      <c r="B8" s="23" t="s">
        <v>117</v>
      </c>
      <c r="C8" s="31" t="s">
        <v>44</v>
      </c>
      <c r="D8" s="31" t="s">
        <v>119</v>
      </c>
      <c r="E8" s="31" t="s">
        <v>118</v>
      </c>
      <c r="F8" s="31" t="s">
        <v>63</v>
      </c>
      <c r="G8" s="31" t="s">
        <v>15</v>
      </c>
      <c r="H8" s="31" t="s">
        <v>64</v>
      </c>
      <c r="I8" s="31" t="s">
        <v>103</v>
      </c>
      <c r="J8" s="31" t="s">
        <v>18</v>
      </c>
      <c r="K8" s="31" t="s">
        <v>102</v>
      </c>
      <c r="L8" s="31" t="s">
        <v>17</v>
      </c>
      <c r="M8" s="71" t="s">
        <v>19</v>
      </c>
      <c r="N8" s="31" t="s">
        <v>234</v>
      </c>
      <c r="O8" s="31" t="s">
        <v>233</v>
      </c>
      <c r="P8" s="31" t="s">
        <v>111</v>
      </c>
      <c r="Q8" s="31" t="s">
        <v>57</v>
      </c>
      <c r="R8" s="31" t="s">
        <v>183</v>
      </c>
      <c r="S8" s="32" t="s">
        <v>185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241</v>
      </c>
      <c r="O9" s="33"/>
      <c r="P9" s="33" t="s">
        <v>237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114</v>
      </c>
      <c r="R10" s="21" t="s">
        <v>115</v>
      </c>
      <c r="S10" s="21" t="s">
        <v>186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7" workbookViewId="0">
      <selection activeCell="B28" sqref="B28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9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180</v>
      </c>
      <c r="C1" s="78" t="s" vm="1">
        <v>251</v>
      </c>
    </row>
    <row r="2" spans="2:81">
      <c r="B2" s="57" t="s">
        <v>179</v>
      </c>
      <c r="C2" s="78" t="s">
        <v>252</v>
      </c>
    </row>
    <row r="3" spans="2:81">
      <c r="B3" s="57" t="s">
        <v>181</v>
      </c>
      <c r="C3" s="78" t="s">
        <v>253</v>
      </c>
    </row>
    <row r="4" spans="2:81">
      <c r="B4" s="57" t="s">
        <v>182</v>
      </c>
      <c r="C4" s="78">
        <v>2144</v>
      </c>
    </row>
    <row r="6" spans="2:81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81" ht="26.25" customHeight="1">
      <c r="B7" s="159" t="s">
        <v>89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</row>
    <row r="8" spans="2:81" s="3" customFormat="1" ht="78.75">
      <c r="B8" s="23" t="s">
        <v>117</v>
      </c>
      <c r="C8" s="31" t="s">
        <v>44</v>
      </c>
      <c r="D8" s="31" t="s">
        <v>119</v>
      </c>
      <c r="E8" s="31" t="s">
        <v>118</v>
      </c>
      <c r="F8" s="31" t="s">
        <v>63</v>
      </c>
      <c r="G8" s="31" t="s">
        <v>15</v>
      </c>
      <c r="H8" s="31" t="s">
        <v>64</v>
      </c>
      <c r="I8" s="31" t="s">
        <v>103</v>
      </c>
      <c r="J8" s="31" t="s">
        <v>18</v>
      </c>
      <c r="K8" s="31" t="s">
        <v>102</v>
      </c>
      <c r="L8" s="31" t="s">
        <v>17</v>
      </c>
      <c r="M8" s="71" t="s">
        <v>19</v>
      </c>
      <c r="N8" s="71" t="s">
        <v>234</v>
      </c>
      <c r="O8" s="31" t="s">
        <v>233</v>
      </c>
      <c r="P8" s="31" t="s">
        <v>111</v>
      </c>
      <c r="Q8" s="31" t="s">
        <v>57</v>
      </c>
      <c r="R8" s="31" t="s">
        <v>183</v>
      </c>
      <c r="S8" s="32" t="s">
        <v>185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241</v>
      </c>
      <c r="O9" s="33"/>
      <c r="P9" s="33" t="s">
        <v>237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114</v>
      </c>
      <c r="R10" s="21" t="s">
        <v>115</v>
      </c>
      <c r="S10" s="21" t="s">
        <v>186</v>
      </c>
      <c r="T10" s="5"/>
      <c r="BZ10" s="1"/>
    </row>
    <row r="11" spans="2:81" s="4" customFormat="1" ht="18" customHeight="1">
      <c r="B11" s="137" t="s">
        <v>49</v>
      </c>
      <c r="C11" s="82"/>
      <c r="D11" s="82"/>
      <c r="E11" s="82"/>
      <c r="F11" s="82"/>
      <c r="G11" s="82"/>
      <c r="H11" s="82"/>
      <c r="I11" s="82"/>
      <c r="J11" s="93">
        <v>7.4188148108955962</v>
      </c>
      <c r="K11" s="82"/>
      <c r="L11" s="82"/>
      <c r="M11" s="92">
        <v>1.3489523450904872E-2</v>
      </c>
      <c r="N11" s="91"/>
      <c r="O11" s="93"/>
      <c r="P11" s="91">
        <v>2805.7371499999999</v>
      </c>
      <c r="Q11" s="82"/>
      <c r="R11" s="92">
        <f>P11/$P$11</f>
        <v>1</v>
      </c>
      <c r="S11" s="92">
        <f>P11/'סכום נכסי הקרן'!$C$42</f>
        <v>1.1745504969438596E-2</v>
      </c>
      <c r="T11" s="5"/>
      <c r="BZ11" s="100"/>
      <c r="CC11" s="100"/>
    </row>
    <row r="12" spans="2:81" s="100" customFormat="1" ht="17.25" customHeight="1">
      <c r="B12" s="138" t="s">
        <v>231</v>
      </c>
      <c r="C12" s="82"/>
      <c r="D12" s="82"/>
      <c r="E12" s="82"/>
      <c r="F12" s="82"/>
      <c r="G12" s="82"/>
      <c r="H12" s="82"/>
      <c r="I12" s="82"/>
      <c r="J12" s="93">
        <v>7.4188148108955962</v>
      </c>
      <c r="K12" s="82"/>
      <c r="L12" s="82"/>
      <c r="M12" s="92">
        <v>1.3489523450904872E-2</v>
      </c>
      <c r="N12" s="91"/>
      <c r="O12" s="93"/>
      <c r="P12" s="91">
        <v>2805.7371499999999</v>
      </c>
      <c r="Q12" s="82"/>
      <c r="R12" s="92">
        <f t="shared" ref="R12:R19" si="0">P12/$P$11</f>
        <v>1</v>
      </c>
      <c r="S12" s="92">
        <f>P12/'סכום נכסי הקרן'!$C$42</f>
        <v>1.1745504969438596E-2</v>
      </c>
    </row>
    <row r="13" spans="2:81">
      <c r="B13" s="108" t="s">
        <v>58</v>
      </c>
      <c r="C13" s="82"/>
      <c r="D13" s="82"/>
      <c r="E13" s="82"/>
      <c r="F13" s="82"/>
      <c r="G13" s="82"/>
      <c r="H13" s="82"/>
      <c r="I13" s="82"/>
      <c r="J13" s="93">
        <v>9.6509225815688691</v>
      </c>
      <c r="K13" s="82"/>
      <c r="L13" s="82"/>
      <c r="M13" s="92">
        <v>9.3603141708835744E-3</v>
      </c>
      <c r="N13" s="91"/>
      <c r="O13" s="93"/>
      <c r="P13" s="91">
        <v>1574.9320699999996</v>
      </c>
      <c r="Q13" s="82"/>
      <c r="R13" s="92">
        <f t="shared" si="0"/>
        <v>0.56132559316898223</v>
      </c>
      <c r="S13" s="92">
        <f>P13/'סכום נכסי הקרן'!$C$42</f>
        <v>6.5930525440393477E-3</v>
      </c>
    </row>
    <row r="14" spans="2:81">
      <c r="B14" s="109" t="s">
        <v>1394</v>
      </c>
      <c r="C14" s="84" t="s">
        <v>1395</v>
      </c>
      <c r="D14" s="97" t="s">
        <v>1396</v>
      </c>
      <c r="E14" s="84" t="s">
        <v>375</v>
      </c>
      <c r="F14" s="97" t="s">
        <v>157</v>
      </c>
      <c r="G14" s="84" t="s">
        <v>342</v>
      </c>
      <c r="H14" s="84" t="s">
        <v>343</v>
      </c>
      <c r="I14" s="106">
        <v>42639</v>
      </c>
      <c r="J14" s="96">
        <v>7.9599999999999982</v>
      </c>
      <c r="K14" s="97" t="s">
        <v>165</v>
      </c>
      <c r="L14" s="98">
        <v>4.9000000000000002E-2</v>
      </c>
      <c r="M14" s="95">
        <v>8.0000000000000002E-3</v>
      </c>
      <c r="N14" s="94">
        <v>137296.99999999997</v>
      </c>
      <c r="O14" s="96">
        <v>170.13</v>
      </c>
      <c r="P14" s="94">
        <v>233.58337999999998</v>
      </c>
      <c r="Q14" s="95">
        <v>6.9939019544488216E-5</v>
      </c>
      <c r="R14" s="95">
        <f t="shared" si="0"/>
        <v>8.32520537428105E-2</v>
      </c>
      <c r="S14" s="95">
        <f>P14/'סכום נכסי הקרן'!$C$42</f>
        <v>9.7783741095214976E-4</v>
      </c>
    </row>
    <row r="15" spans="2:81">
      <c r="B15" s="109" t="s">
        <v>1397</v>
      </c>
      <c r="C15" s="84" t="s">
        <v>1398</v>
      </c>
      <c r="D15" s="97" t="s">
        <v>1396</v>
      </c>
      <c r="E15" s="84" t="s">
        <v>375</v>
      </c>
      <c r="F15" s="97" t="s">
        <v>157</v>
      </c>
      <c r="G15" s="84" t="s">
        <v>342</v>
      </c>
      <c r="H15" s="84" t="s">
        <v>343</v>
      </c>
      <c r="I15" s="106">
        <v>42639</v>
      </c>
      <c r="J15" s="96">
        <v>12.13</v>
      </c>
      <c r="K15" s="97" t="s">
        <v>165</v>
      </c>
      <c r="L15" s="98">
        <v>4.0999999999999995E-2</v>
      </c>
      <c r="M15" s="95">
        <v>1.3600000000000001E-2</v>
      </c>
      <c r="N15" s="94">
        <v>650958.75999999989</v>
      </c>
      <c r="O15" s="96">
        <v>142.36000000000001</v>
      </c>
      <c r="P15" s="94">
        <v>926.70489999999995</v>
      </c>
      <c r="Q15" s="95">
        <v>1.5453806384088637E-4</v>
      </c>
      <c r="R15" s="95">
        <f t="shared" si="0"/>
        <v>0.33028927887988369</v>
      </c>
      <c r="S15" s="95">
        <f>P15/'סכום נכסי הקרן'!$C$42</f>
        <v>3.8794143664359635E-3</v>
      </c>
    </row>
    <row r="16" spans="2:81">
      <c r="B16" s="109" t="s">
        <v>1399</v>
      </c>
      <c r="C16" s="84" t="s">
        <v>1400</v>
      </c>
      <c r="D16" s="97" t="s">
        <v>1396</v>
      </c>
      <c r="E16" s="84" t="s">
        <v>1401</v>
      </c>
      <c r="F16" s="97" t="s">
        <v>1402</v>
      </c>
      <c r="G16" s="84" t="s">
        <v>348</v>
      </c>
      <c r="H16" s="84" t="s">
        <v>161</v>
      </c>
      <c r="I16" s="106">
        <v>42796</v>
      </c>
      <c r="J16" s="96">
        <v>7.5400000000000009</v>
      </c>
      <c r="K16" s="97" t="s">
        <v>165</v>
      </c>
      <c r="L16" s="98">
        <v>2.1400000000000002E-2</v>
      </c>
      <c r="M16" s="95">
        <v>3.1000000000000003E-3</v>
      </c>
      <c r="N16" s="94">
        <v>179999.99999999997</v>
      </c>
      <c r="O16" s="96">
        <v>116.98</v>
      </c>
      <c r="P16" s="94">
        <v>210.56398999999996</v>
      </c>
      <c r="Q16" s="95">
        <v>6.9325158099874432E-4</v>
      </c>
      <c r="R16" s="95">
        <f t="shared" si="0"/>
        <v>7.5047653697710048E-2</v>
      </c>
      <c r="S16" s="95">
        <f>P16/'סכום נכסי הקרן'!$C$42</f>
        <v>8.814725894511602E-4</v>
      </c>
    </row>
    <row r="17" spans="2:19">
      <c r="B17" s="109" t="s">
        <v>1403</v>
      </c>
      <c r="C17" s="84" t="s">
        <v>1404</v>
      </c>
      <c r="D17" s="97" t="s">
        <v>1396</v>
      </c>
      <c r="E17" s="84" t="s">
        <v>470</v>
      </c>
      <c r="F17" s="97" t="s">
        <v>471</v>
      </c>
      <c r="G17" s="84" t="s">
        <v>401</v>
      </c>
      <c r="H17" s="84" t="s">
        <v>343</v>
      </c>
      <c r="I17" s="106">
        <v>42768</v>
      </c>
      <c r="J17" s="96">
        <v>0.36999999999999988</v>
      </c>
      <c r="K17" s="97" t="s">
        <v>165</v>
      </c>
      <c r="L17" s="98">
        <v>6.8499999999999991E-2</v>
      </c>
      <c r="M17" s="95">
        <v>5.3999999999999994E-3</v>
      </c>
      <c r="N17" s="94">
        <v>14199.999999999998</v>
      </c>
      <c r="O17" s="96">
        <v>117.11</v>
      </c>
      <c r="P17" s="94">
        <v>16.629619999999999</v>
      </c>
      <c r="Q17" s="95">
        <v>2.8115972446347E-5</v>
      </c>
      <c r="R17" s="95">
        <f t="shared" si="0"/>
        <v>5.9270056712190586E-3</v>
      </c>
      <c r="S17" s="95">
        <f>P17/'סכום נכסי הקרן'!$C$42</f>
        <v>6.9615674565194193E-5</v>
      </c>
    </row>
    <row r="18" spans="2:19">
      <c r="B18" s="109" t="s">
        <v>1405</v>
      </c>
      <c r="C18" s="84" t="s">
        <v>1406</v>
      </c>
      <c r="D18" s="97" t="s">
        <v>1396</v>
      </c>
      <c r="E18" s="84" t="s">
        <v>413</v>
      </c>
      <c r="F18" s="97" t="s">
        <v>157</v>
      </c>
      <c r="G18" s="84" t="s">
        <v>389</v>
      </c>
      <c r="H18" s="84" t="s">
        <v>161</v>
      </c>
      <c r="I18" s="106">
        <v>42835</v>
      </c>
      <c r="J18" s="96">
        <v>3.8500000000000005</v>
      </c>
      <c r="K18" s="97" t="s">
        <v>165</v>
      </c>
      <c r="L18" s="98">
        <v>5.5999999999999994E-2</v>
      </c>
      <c r="M18" s="95">
        <v>-4.3E-3</v>
      </c>
      <c r="N18" s="94">
        <v>47025.819999999992</v>
      </c>
      <c r="O18" s="96">
        <v>154.07</v>
      </c>
      <c r="P18" s="94">
        <v>72.452679999999972</v>
      </c>
      <c r="Q18" s="95">
        <v>6.0023258801862364E-5</v>
      </c>
      <c r="R18" s="95">
        <f t="shared" si="0"/>
        <v>2.5823046182355314E-2</v>
      </c>
      <c r="S18" s="95">
        <f>P18/'סכום נכסי הקרן'!$C$42</f>
        <v>3.0330471726089668E-4</v>
      </c>
    </row>
    <row r="19" spans="2:19">
      <c r="B19" s="109" t="s">
        <v>1407</v>
      </c>
      <c r="C19" s="84" t="s">
        <v>1408</v>
      </c>
      <c r="D19" s="97" t="s">
        <v>1396</v>
      </c>
      <c r="E19" s="84" t="s">
        <v>470</v>
      </c>
      <c r="F19" s="97" t="s">
        <v>471</v>
      </c>
      <c r="G19" s="84" t="s">
        <v>440</v>
      </c>
      <c r="H19" s="84" t="s">
        <v>161</v>
      </c>
      <c r="I19" s="106">
        <v>42935</v>
      </c>
      <c r="J19" s="96">
        <v>1.9699999999999998</v>
      </c>
      <c r="K19" s="97" t="s">
        <v>165</v>
      </c>
      <c r="L19" s="98">
        <v>0.06</v>
      </c>
      <c r="M19" s="95">
        <v>-1.3999999999999998E-3</v>
      </c>
      <c r="N19" s="94">
        <v>94999.999999999985</v>
      </c>
      <c r="O19" s="96">
        <v>121.05</v>
      </c>
      <c r="P19" s="94">
        <v>114.99749999999999</v>
      </c>
      <c r="Q19" s="95">
        <v>2.5670480608693505E-5</v>
      </c>
      <c r="R19" s="95">
        <f t="shared" si="0"/>
        <v>4.0986554995003713E-2</v>
      </c>
      <c r="S19" s="95">
        <f>P19/'סכום נכסי הקרן'!$C$42</f>
        <v>4.8140778537398443E-4</v>
      </c>
    </row>
    <row r="20" spans="2:19">
      <c r="B20" s="110"/>
      <c r="C20" s="84"/>
      <c r="D20" s="84"/>
      <c r="E20" s="84"/>
      <c r="F20" s="84"/>
      <c r="G20" s="84"/>
      <c r="H20" s="84"/>
      <c r="I20" s="84"/>
      <c r="J20" s="96"/>
      <c r="K20" s="84"/>
      <c r="L20" s="84"/>
      <c r="M20" s="95"/>
      <c r="N20" s="94"/>
      <c r="O20" s="96"/>
      <c r="P20" s="84"/>
      <c r="Q20" s="84"/>
      <c r="R20" s="95"/>
      <c r="S20" s="84"/>
    </row>
    <row r="21" spans="2:19">
      <c r="B21" s="108" t="s">
        <v>59</v>
      </c>
      <c r="C21" s="82"/>
      <c r="D21" s="82"/>
      <c r="E21" s="82"/>
      <c r="F21" s="82"/>
      <c r="G21" s="82"/>
      <c r="H21" s="82"/>
      <c r="I21" s="82"/>
      <c r="J21" s="93">
        <v>4.9562945179825535</v>
      </c>
      <c r="K21" s="82"/>
      <c r="L21" s="82"/>
      <c r="M21" s="92">
        <v>1.5377079335842966E-2</v>
      </c>
      <c r="N21" s="91"/>
      <c r="O21" s="93"/>
      <c r="P21" s="91">
        <v>1031.6993799999998</v>
      </c>
      <c r="Q21" s="82"/>
      <c r="R21" s="92">
        <f t="shared" ref="R21:R26" si="1">P21/$P$11</f>
        <v>0.36771063176748392</v>
      </c>
      <c r="S21" s="92">
        <f>P21/'סכום נכסי הקרן'!$C$42</f>
        <v>4.3189470527403876E-3</v>
      </c>
    </row>
    <row r="22" spans="2:19">
      <c r="B22" s="109" t="s">
        <v>1409</v>
      </c>
      <c r="C22" s="84" t="s">
        <v>1410</v>
      </c>
      <c r="D22" s="97" t="s">
        <v>1396</v>
      </c>
      <c r="E22" s="84" t="s">
        <v>1401</v>
      </c>
      <c r="F22" s="97" t="s">
        <v>1402</v>
      </c>
      <c r="G22" s="84" t="s">
        <v>348</v>
      </c>
      <c r="H22" s="84" t="s">
        <v>161</v>
      </c>
      <c r="I22" s="106">
        <v>42796</v>
      </c>
      <c r="J22" s="96">
        <v>7.0400000000000009</v>
      </c>
      <c r="K22" s="97" t="s">
        <v>165</v>
      </c>
      <c r="L22" s="98">
        <v>3.7400000000000003E-2</v>
      </c>
      <c r="M22" s="95">
        <v>1.8500000000000003E-2</v>
      </c>
      <c r="N22" s="94">
        <v>215742.99999999997</v>
      </c>
      <c r="O22" s="96">
        <v>113.83</v>
      </c>
      <c r="P22" s="94">
        <v>245.58025999999995</v>
      </c>
      <c r="Q22" s="95">
        <v>4.1887127274986503E-4</v>
      </c>
      <c r="R22" s="95">
        <f t="shared" si="1"/>
        <v>8.7527892625294548E-2</v>
      </c>
      <c r="S22" s="95">
        <f>P22/'סכום נכסי הקרן'!$C$42</f>
        <v>1.0280592977948849E-3</v>
      </c>
    </row>
    <row r="23" spans="2:19">
      <c r="B23" s="109" t="s">
        <v>1411</v>
      </c>
      <c r="C23" s="84" t="s">
        <v>1412</v>
      </c>
      <c r="D23" s="97" t="s">
        <v>1396</v>
      </c>
      <c r="E23" s="84" t="s">
        <v>1401</v>
      </c>
      <c r="F23" s="97" t="s">
        <v>1402</v>
      </c>
      <c r="G23" s="84" t="s">
        <v>348</v>
      </c>
      <c r="H23" s="84" t="s">
        <v>161</v>
      </c>
      <c r="I23" s="106">
        <v>42796</v>
      </c>
      <c r="J23" s="96">
        <v>3.3400000000000003</v>
      </c>
      <c r="K23" s="97" t="s">
        <v>165</v>
      </c>
      <c r="L23" s="98">
        <v>2.5000000000000001E-2</v>
      </c>
      <c r="M23" s="95">
        <v>1.0700000000000001E-2</v>
      </c>
      <c r="N23" s="94">
        <v>287123.99999999994</v>
      </c>
      <c r="O23" s="96">
        <v>104.92</v>
      </c>
      <c r="P23" s="94">
        <v>301.25050999999996</v>
      </c>
      <c r="Q23" s="95">
        <v>3.9587147867904958E-4</v>
      </c>
      <c r="R23" s="95">
        <f t="shared" si="1"/>
        <v>0.10736946973097604</v>
      </c>
      <c r="S23" s="95">
        <f>P23/'סכום נכסי הקרן'!$C$42</f>
        <v>1.2611086402911659E-3</v>
      </c>
    </row>
    <row r="24" spans="2:19">
      <c r="B24" s="109" t="s">
        <v>1413</v>
      </c>
      <c r="C24" s="84" t="s">
        <v>1414</v>
      </c>
      <c r="D24" s="97" t="s">
        <v>1396</v>
      </c>
      <c r="E24" s="84" t="s">
        <v>1415</v>
      </c>
      <c r="F24" s="97" t="s">
        <v>400</v>
      </c>
      <c r="G24" s="84" t="s">
        <v>440</v>
      </c>
      <c r="H24" s="84" t="s">
        <v>161</v>
      </c>
      <c r="I24" s="106">
        <v>42598</v>
      </c>
      <c r="J24" s="96">
        <v>5.169999999999999</v>
      </c>
      <c r="K24" s="97" t="s">
        <v>165</v>
      </c>
      <c r="L24" s="98">
        <v>3.1E-2</v>
      </c>
      <c r="M24" s="95">
        <v>1.5399999999999999E-2</v>
      </c>
      <c r="N24" s="94">
        <v>329798.20999999996</v>
      </c>
      <c r="O24" s="96">
        <v>108.31</v>
      </c>
      <c r="P24" s="94">
        <v>357.20443999999992</v>
      </c>
      <c r="Q24" s="95">
        <v>4.9182831689463817E-4</v>
      </c>
      <c r="R24" s="95">
        <f t="shared" si="1"/>
        <v>0.12731215395569037</v>
      </c>
      <c r="S24" s="95">
        <f>P24/'סכום נכסי הקרן'!$C$42</f>
        <v>1.4953455369564926E-3</v>
      </c>
    </row>
    <row r="25" spans="2:19">
      <c r="B25" s="109" t="s">
        <v>1416</v>
      </c>
      <c r="C25" s="84" t="s">
        <v>1417</v>
      </c>
      <c r="D25" s="97" t="s">
        <v>1396</v>
      </c>
      <c r="E25" s="84" t="s">
        <v>1418</v>
      </c>
      <c r="F25" s="97" t="s">
        <v>400</v>
      </c>
      <c r="G25" s="84" t="s">
        <v>626</v>
      </c>
      <c r="H25" s="84" t="s">
        <v>343</v>
      </c>
      <c r="I25" s="106">
        <v>43312</v>
      </c>
      <c r="J25" s="96">
        <v>4.3100000000000005</v>
      </c>
      <c r="K25" s="97" t="s">
        <v>165</v>
      </c>
      <c r="L25" s="98">
        <v>3.5499999999999997E-2</v>
      </c>
      <c r="M25" s="95">
        <v>2.06E-2</v>
      </c>
      <c r="N25" s="94">
        <v>112999.99999999999</v>
      </c>
      <c r="O25" s="96">
        <v>107.48</v>
      </c>
      <c r="P25" s="94">
        <v>121.45240999999997</v>
      </c>
      <c r="Q25" s="95">
        <v>3.5312499999999998E-4</v>
      </c>
      <c r="R25" s="95">
        <f t="shared" si="1"/>
        <v>4.3287166083964768E-2</v>
      </c>
      <c r="S25" s="95">
        <f>P25/'סכום נכסי הקרן'!$C$42</f>
        <v>5.08429624352122E-4</v>
      </c>
    </row>
    <row r="26" spans="2:19">
      <c r="B26" s="109" t="s">
        <v>1419</v>
      </c>
      <c r="C26" s="84" t="s">
        <v>1420</v>
      </c>
      <c r="D26" s="97" t="s">
        <v>1396</v>
      </c>
      <c r="E26" s="84" t="s">
        <v>1421</v>
      </c>
      <c r="F26" s="97" t="s">
        <v>400</v>
      </c>
      <c r="G26" s="84" t="s">
        <v>697</v>
      </c>
      <c r="H26" s="84" t="s">
        <v>161</v>
      </c>
      <c r="I26" s="106">
        <v>41903</v>
      </c>
      <c r="J26" s="96">
        <v>1.3100000000000003</v>
      </c>
      <c r="K26" s="97" t="s">
        <v>165</v>
      </c>
      <c r="L26" s="98">
        <v>5.1500000000000004E-2</v>
      </c>
      <c r="M26" s="95">
        <v>1.5300000000000005E-2</v>
      </c>
      <c r="N26" s="94">
        <v>5882.35</v>
      </c>
      <c r="O26" s="96">
        <v>105.6</v>
      </c>
      <c r="P26" s="94">
        <v>6.2117599999999982</v>
      </c>
      <c r="Q26" s="95">
        <v>2.3529371764753883E-4</v>
      </c>
      <c r="R26" s="95">
        <f t="shared" si="1"/>
        <v>2.2139493715582011E-3</v>
      </c>
      <c r="S26" s="95">
        <f>P26/'סכום נכסי הקרן'!$C$42</f>
        <v>2.6003953345722307E-5</v>
      </c>
    </row>
    <row r="27" spans="2:19">
      <c r="B27" s="110"/>
      <c r="C27" s="84"/>
      <c r="D27" s="84"/>
      <c r="E27" s="84"/>
      <c r="F27" s="84"/>
      <c r="G27" s="84"/>
      <c r="H27" s="84"/>
      <c r="I27" s="84"/>
      <c r="J27" s="96"/>
      <c r="K27" s="84"/>
      <c r="L27" s="84"/>
      <c r="M27" s="95"/>
      <c r="N27" s="94"/>
      <c r="O27" s="96"/>
      <c r="P27" s="84"/>
      <c r="Q27" s="84"/>
      <c r="R27" s="95"/>
      <c r="S27" s="84"/>
    </row>
    <row r="28" spans="2:19">
      <c r="B28" s="108" t="s">
        <v>46</v>
      </c>
      <c r="C28" s="82"/>
      <c r="D28" s="82"/>
      <c r="E28" s="82"/>
      <c r="F28" s="82"/>
      <c r="G28" s="82"/>
      <c r="H28" s="82"/>
      <c r="I28" s="82"/>
      <c r="J28" s="93">
        <v>2.5227347273332712</v>
      </c>
      <c r="K28" s="82"/>
      <c r="L28" s="82"/>
      <c r="M28" s="92">
        <v>3.6371007419677095E-2</v>
      </c>
      <c r="N28" s="91"/>
      <c r="O28" s="93"/>
      <c r="P28" s="91">
        <v>199.10569999999996</v>
      </c>
      <c r="Q28" s="82"/>
      <c r="R28" s="92">
        <f t="shared" ref="R28:R30" si="2">P28/$P$11</f>
        <v>7.0963775063533643E-2</v>
      </c>
      <c r="S28" s="92">
        <f>P28/'סכום נכסי הקרן'!$C$42</f>
        <v>8.3350537265885712E-4</v>
      </c>
    </row>
    <row r="29" spans="2:19">
      <c r="B29" s="109" t="s">
        <v>1422</v>
      </c>
      <c r="C29" s="84" t="s">
        <v>1423</v>
      </c>
      <c r="D29" s="97" t="s">
        <v>1396</v>
      </c>
      <c r="E29" s="84" t="s">
        <v>1424</v>
      </c>
      <c r="F29" s="97" t="s">
        <v>191</v>
      </c>
      <c r="G29" s="84" t="s">
        <v>521</v>
      </c>
      <c r="H29" s="84" t="s">
        <v>343</v>
      </c>
      <c r="I29" s="106">
        <v>42954</v>
      </c>
      <c r="J29" s="96">
        <v>0.95</v>
      </c>
      <c r="K29" s="97" t="s">
        <v>164</v>
      </c>
      <c r="L29" s="98">
        <v>3.7000000000000005E-2</v>
      </c>
      <c r="M29" s="95">
        <v>2.8000000000000004E-2</v>
      </c>
      <c r="N29" s="94">
        <v>8742.9999999999982</v>
      </c>
      <c r="O29" s="96">
        <v>101.01</v>
      </c>
      <c r="P29" s="94">
        <v>30.750619999999994</v>
      </c>
      <c r="Q29" s="95">
        <v>1.3009642283197425E-4</v>
      </c>
      <c r="R29" s="95">
        <f t="shared" si="2"/>
        <v>1.0959907630691632E-2</v>
      </c>
      <c r="S29" s="95">
        <f>P29/'סכום נכסי הקרן'!$C$42</f>
        <v>1.2872964954087655E-4</v>
      </c>
    </row>
    <row r="30" spans="2:19">
      <c r="B30" s="109" t="s">
        <v>1425</v>
      </c>
      <c r="C30" s="84" t="s">
        <v>1426</v>
      </c>
      <c r="D30" s="97" t="s">
        <v>1396</v>
      </c>
      <c r="E30" s="84" t="s">
        <v>1424</v>
      </c>
      <c r="F30" s="97" t="s">
        <v>191</v>
      </c>
      <c r="G30" s="84" t="s">
        <v>521</v>
      </c>
      <c r="H30" s="84" t="s">
        <v>343</v>
      </c>
      <c r="I30" s="106">
        <v>42625</v>
      </c>
      <c r="J30" s="96">
        <v>2.8100000000000005</v>
      </c>
      <c r="K30" s="97" t="s">
        <v>164</v>
      </c>
      <c r="L30" s="98">
        <v>4.4500000000000005E-2</v>
      </c>
      <c r="M30" s="95">
        <v>3.7900000000000003E-2</v>
      </c>
      <c r="N30" s="94">
        <v>47350.999999999993</v>
      </c>
      <c r="O30" s="96">
        <v>102.11</v>
      </c>
      <c r="P30" s="94">
        <v>168.35507999999996</v>
      </c>
      <c r="Q30" s="95">
        <v>3.4530463542686125E-4</v>
      </c>
      <c r="R30" s="95">
        <f t="shared" si="2"/>
        <v>6.0003867432842015E-2</v>
      </c>
      <c r="S30" s="95">
        <f>P30/'סכום נכסי הקרן'!$C$42</f>
        <v>7.0477572311798057E-4</v>
      </c>
    </row>
    <row r="31" spans="2:19">
      <c r="B31" s="111"/>
      <c r="C31" s="112"/>
      <c r="D31" s="112"/>
      <c r="E31" s="112"/>
      <c r="F31" s="112"/>
      <c r="G31" s="112"/>
      <c r="H31" s="112"/>
      <c r="I31" s="112"/>
      <c r="J31" s="113"/>
      <c r="K31" s="112"/>
      <c r="L31" s="112"/>
      <c r="M31" s="114"/>
      <c r="N31" s="115"/>
      <c r="O31" s="113"/>
      <c r="P31" s="112"/>
      <c r="Q31" s="112"/>
      <c r="R31" s="114"/>
      <c r="S31" s="112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99" t="s">
        <v>250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99" t="s">
        <v>113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99" t="s">
        <v>232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99" t="s">
        <v>240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33 B38:B13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>
      <selection activeCell="A11" sqref="A11:XFD15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180</v>
      </c>
      <c r="C1" s="78" t="s" vm="1">
        <v>251</v>
      </c>
    </row>
    <row r="2" spans="2:98">
      <c r="B2" s="57" t="s">
        <v>179</v>
      </c>
      <c r="C2" s="78" t="s">
        <v>252</v>
      </c>
    </row>
    <row r="3" spans="2:98">
      <c r="B3" s="57" t="s">
        <v>181</v>
      </c>
      <c r="C3" s="78" t="s">
        <v>253</v>
      </c>
    </row>
    <row r="4" spans="2:98">
      <c r="B4" s="57" t="s">
        <v>182</v>
      </c>
      <c r="C4" s="78">
        <v>2144</v>
      </c>
    </row>
    <row r="6" spans="2:98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2:98" ht="26.25" customHeight="1">
      <c r="B7" s="159" t="s">
        <v>90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2:98" s="3" customFormat="1" ht="78.75">
      <c r="B8" s="23" t="s">
        <v>117</v>
      </c>
      <c r="C8" s="31" t="s">
        <v>44</v>
      </c>
      <c r="D8" s="31" t="s">
        <v>119</v>
      </c>
      <c r="E8" s="31" t="s">
        <v>118</v>
      </c>
      <c r="F8" s="31" t="s">
        <v>63</v>
      </c>
      <c r="G8" s="31" t="s">
        <v>102</v>
      </c>
      <c r="H8" s="31" t="s">
        <v>234</v>
      </c>
      <c r="I8" s="31" t="s">
        <v>233</v>
      </c>
      <c r="J8" s="31" t="s">
        <v>111</v>
      </c>
      <c r="K8" s="31" t="s">
        <v>57</v>
      </c>
      <c r="L8" s="31" t="s">
        <v>183</v>
      </c>
      <c r="M8" s="32" t="s">
        <v>185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241</v>
      </c>
      <c r="I9" s="33"/>
      <c r="J9" s="33" t="s">
        <v>237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84"/>
      <c r="D11" s="84"/>
      <c r="E11" s="84"/>
      <c r="F11" s="84"/>
      <c r="G11" s="84"/>
      <c r="H11" s="94"/>
      <c r="I11" s="94"/>
      <c r="J11" s="84"/>
      <c r="K11" s="84"/>
      <c r="L11" s="95"/>
      <c r="M11" s="8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5"/>
      <c r="C12" s="84"/>
      <c r="D12" s="84"/>
      <c r="E12" s="84"/>
      <c r="F12" s="84"/>
      <c r="G12" s="84"/>
      <c r="H12" s="94"/>
      <c r="I12" s="94"/>
      <c r="J12" s="84"/>
      <c r="K12" s="84"/>
      <c r="L12" s="95"/>
      <c r="M12" s="84"/>
    </row>
    <row r="13" spans="2:98">
      <c r="B13" s="102"/>
      <c r="C13" s="82"/>
      <c r="D13" s="82"/>
      <c r="E13" s="82"/>
      <c r="F13" s="82"/>
      <c r="G13" s="82"/>
      <c r="H13" s="91"/>
      <c r="I13" s="91"/>
      <c r="J13" s="82"/>
      <c r="K13" s="82"/>
      <c r="L13" s="92"/>
      <c r="M13" s="82"/>
    </row>
    <row r="14" spans="2:98">
      <c r="B14" s="87"/>
      <c r="C14" s="84"/>
      <c r="D14" s="97"/>
      <c r="E14" s="84"/>
      <c r="F14" s="97"/>
      <c r="G14" s="97"/>
      <c r="H14" s="94"/>
      <c r="I14" s="94"/>
      <c r="J14" s="84"/>
      <c r="K14" s="84"/>
      <c r="L14" s="95"/>
      <c r="M14" s="84"/>
    </row>
    <row r="15" spans="2:9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99" t="s">
        <v>250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99" t="s">
        <v>113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99" t="s">
        <v>232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99" t="s">
        <v>240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C115" s="1"/>
      <c r="D115" s="1"/>
      <c r="E115" s="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180</v>
      </c>
      <c r="C1" s="78" t="s" vm="1">
        <v>251</v>
      </c>
    </row>
    <row r="2" spans="2:55">
      <c r="B2" s="57" t="s">
        <v>179</v>
      </c>
      <c r="C2" s="78" t="s">
        <v>252</v>
      </c>
    </row>
    <row r="3" spans="2:55">
      <c r="B3" s="57" t="s">
        <v>181</v>
      </c>
      <c r="C3" s="78" t="s">
        <v>253</v>
      </c>
    </row>
    <row r="4" spans="2:55">
      <c r="B4" s="57" t="s">
        <v>182</v>
      </c>
      <c r="C4" s="78">
        <v>2144</v>
      </c>
    </row>
    <row r="6" spans="2:55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55" ht="26.25" customHeight="1">
      <c r="B7" s="159" t="s">
        <v>97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55" s="3" customFormat="1" ht="78.75">
      <c r="B8" s="23" t="s">
        <v>117</v>
      </c>
      <c r="C8" s="31" t="s">
        <v>44</v>
      </c>
      <c r="D8" s="31" t="s">
        <v>102</v>
      </c>
      <c r="E8" s="31" t="s">
        <v>103</v>
      </c>
      <c r="F8" s="31" t="s">
        <v>234</v>
      </c>
      <c r="G8" s="31" t="s">
        <v>233</v>
      </c>
      <c r="H8" s="31" t="s">
        <v>111</v>
      </c>
      <c r="I8" s="31" t="s">
        <v>57</v>
      </c>
      <c r="J8" s="31" t="s">
        <v>183</v>
      </c>
      <c r="K8" s="32" t="s">
        <v>185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241</v>
      </c>
      <c r="G9" s="33"/>
      <c r="H9" s="33" t="s">
        <v>237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113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232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240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180</v>
      </c>
      <c r="C1" s="78" t="s" vm="1">
        <v>251</v>
      </c>
    </row>
    <row r="2" spans="2:59">
      <c r="B2" s="57" t="s">
        <v>179</v>
      </c>
      <c r="C2" s="78" t="s">
        <v>252</v>
      </c>
    </row>
    <row r="3" spans="2:59">
      <c r="B3" s="57" t="s">
        <v>181</v>
      </c>
      <c r="C3" s="78" t="s">
        <v>253</v>
      </c>
    </row>
    <row r="4" spans="2:59">
      <c r="B4" s="57" t="s">
        <v>182</v>
      </c>
      <c r="C4" s="78">
        <v>2144</v>
      </c>
    </row>
    <row r="6" spans="2:59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59" ht="26.25" customHeight="1">
      <c r="B7" s="159" t="s">
        <v>98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59" s="3" customFormat="1" ht="78.75">
      <c r="B8" s="23" t="s">
        <v>117</v>
      </c>
      <c r="C8" s="31" t="s">
        <v>44</v>
      </c>
      <c r="D8" s="31" t="s">
        <v>63</v>
      </c>
      <c r="E8" s="31" t="s">
        <v>102</v>
      </c>
      <c r="F8" s="31" t="s">
        <v>103</v>
      </c>
      <c r="G8" s="31" t="s">
        <v>234</v>
      </c>
      <c r="H8" s="31" t="s">
        <v>233</v>
      </c>
      <c r="I8" s="31" t="s">
        <v>111</v>
      </c>
      <c r="J8" s="31" t="s">
        <v>57</v>
      </c>
      <c r="K8" s="31" t="s">
        <v>183</v>
      </c>
      <c r="L8" s="32" t="s">
        <v>185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241</v>
      </c>
      <c r="H9" s="17"/>
      <c r="I9" s="17" t="s">
        <v>237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16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16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16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85</v>
      </c>
      <c r="C6" s="14" t="s">
        <v>44</v>
      </c>
      <c r="E6" s="14" t="s">
        <v>118</v>
      </c>
      <c r="I6" s="14" t="s">
        <v>15</v>
      </c>
      <c r="J6" s="14" t="s">
        <v>64</v>
      </c>
      <c r="M6" s="14" t="s">
        <v>102</v>
      </c>
      <c r="Q6" s="14" t="s">
        <v>17</v>
      </c>
      <c r="R6" s="14" t="s">
        <v>19</v>
      </c>
      <c r="U6" s="14" t="s">
        <v>60</v>
      </c>
      <c r="W6" s="15" t="s">
        <v>56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87</v>
      </c>
      <c r="C8" s="31" t="s">
        <v>44</v>
      </c>
      <c r="D8" s="31" t="s">
        <v>120</v>
      </c>
      <c r="I8" s="31" t="s">
        <v>15</v>
      </c>
      <c r="J8" s="31" t="s">
        <v>64</v>
      </c>
      <c r="K8" s="31" t="s">
        <v>103</v>
      </c>
      <c r="L8" s="31" t="s">
        <v>18</v>
      </c>
      <c r="M8" s="31" t="s">
        <v>102</v>
      </c>
      <c r="Q8" s="31" t="s">
        <v>17</v>
      </c>
      <c r="R8" s="31" t="s">
        <v>19</v>
      </c>
      <c r="S8" s="31" t="s">
        <v>0</v>
      </c>
      <c r="T8" s="31" t="s">
        <v>106</v>
      </c>
      <c r="U8" s="31" t="s">
        <v>60</v>
      </c>
      <c r="V8" s="31" t="s">
        <v>57</v>
      </c>
      <c r="W8" s="32" t="s">
        <v>112</v>
      </c>
    </row>
    <row r="9" spans="2:25" ht="31.5">
      <c r="B9" s="49" t="str">
        <f>'תעודות חוב מסחריות '!B7:T7</f>
        <v>2. תעודות חוב מסחריות</v>
      </c>
      <c r="C9" s="14" t="s">
        <v>44</v>
      </c>
      <c r="D9" s="14" t="s">
        <v>120</v>
      </c>
      <c r="E9" s="42" t="s">
        <v>118</v>
      </c>
      <c r="G9" s="14" t="s">
        <v>63</v>
      </c>
      <c r="I9" s="14" t="s">
        <v>15</v>
      </c>
      <c r="J9" s="14" t="s">
        <v>64</v>
      </c>
      <c r="K9" s="14" t="s">
        <v>103</v>
      </c>
      <c r="L9" s="14" t="s">
        <v>18</v>
      </c>
      <c r="M9" s="14" t="s">
        <v>102</v>
      </c>
      <c r="Q9" s="14" t="s">
        <v>17</v>
      </c>
      <c r="R9" s="14" t="s">
        <v>19</v>
      </c>
      <c r="S9" s="14" t="s">
        <v>0</v>
      </c>
      <c r="T9" s="14" t="s">
        <v>106</v>
      </c>
      <c r="U9" s="14" t="s">
        <v>60</v>
      </c>
      <c r="V9" s="14" t="s">
        <v>57</v>
      </c>
      <c r="W9" s="39" t="s">
        <v>112</v>
      </c>
    </row>
    <row r="10" spans="2:25" ht="31.5">
      <c r="B10" s="49" t="str">
        <f>'אג"ח קונצרני'!B7:U7</f>
        <v>3. אג"ח קונצרני</v>
      </c>
      <c r="C10" s="31" t="s">
        <v>44</v>
      </c>
      <c r="D10" s="14" t="s">
        <v>120</v>
      </c>
      <c r="E10" s="42" t="s">
        <v>118</v>
      </c>
      <c r="G10" s="31" t="s">
        <v>63</v>
      </c>
      <c r="I10" s="31" t="s">
        <v>15</v>
      </c>
      <c r="J10" s="31" t="s">
        <v>64</v>
      </c>
      <c r="K10" s="31" t="s">
        <v>103</v>
      </c>
      <c r="L10" s="31" t="s">
        <v>18</v>
      </c>
      <c r="M10" s="31" t="s">
        <v>102</v>
      </c>
      <c r="Q10" s="31" t="s">
        <v>17</v>
      </c>
      <c r="R10" s="31" t="s">
        <v>19</v>
      </c>
      <c r="S10" s="31" t="s">
        <v>0</v>
      </c>
      <c r="T10" s="31" t="s">
        <v>106</v>
      </c>
      <c r="U10" s="31" t="s">
        <v>60</v>
      </c>
      <c r="V10" s="14" t="s">
        <v>57</v>
      </c>
      <c r="W10" s="32" t="s">
        <v>112</v>
      </c>
    </row>
    <row r="11" spans="2:25" ht="31.5">
      <c r="B11" s="49" t="str">
        <f>מניות!B7</f>
        <v>4. מניות</v>
      </c>
      <c r="C11" s="31" t="s">
        <v>44</v>
      </c>
      <c r="D11" s="14" t="s">
        <v>120</v>
      </c>
      <c r="E11" s="42" t="s">
        <v>118</v>
      </c>
      <c r="H11" s="31" t="s">
        <v>102</v>
      </c>
      <c r="S11" s="31" t="s">
        <v>0</v>
      </c>
      <c r="T11" s="14" t="s">
        <v>106</v>
      </c>
      <c r="U11" s="14" t="s">
        <v>60</v>
      </c>
      <c r="V11" s="14" t="s">
        <v>57</v>
      </c>
      <c r="W11" s="15" t="s">
        <v>112</v>
      </c>
    </row>
    <row r="12" spans="2:25" ht="31.5">
      <c r="B12" s="49" t="str">
        <f>'תעודות סל'!B7:N7</f>
        <v>5. תעודות סל</v>
      </c>
      <c r="C12" s="31" t="s">
        <v>44</v>
      </c>
      <c r="D12" s="14" t="s">
        <v>120</v>
      </c>
      <c r="E12" s="42" t="s">
        <v>118</v>
      </c>
      <c r="H12" s="31" t="s">
        <v>102</v>
      </c>
      <c r="S12" s="31" t="s">
        <v>0</v>
      </c>
      <c r="T12" s="31" t="s">
        <v>106</v>
      </c>
      <c r="U12" s="31" t="s">
        <v>60</v>
      </c>
      <c r="V12" s="31" t="s">
        <v>57</v>
      </c>
      <c r="W12" s="32" t="s">
        <v>112</v>
      </c>
    </row>
    <row r="13" spans="2:25" ht="31.5">
      <c r="B13" s="49" t="str">
        <f>'קרנות נאמנות'!B7:O7</f>
        <v>6. קרנות נאמנות</v>
      </c>
      <c r="C13" s="31" t="s">
        <v>44</v>
      </c>
      <c r="D13" s="31" t="s">
        <v>120</v>
      </c>
      <c r="G13" s="31" t="s">
        <v>63</v>
      </c>
      <c r="H13" s="31" t="s">
        <v>102</v>
      </c>
      <c r="S13" s="31" t="s">
        <v>0</v>
      </c>
      <c r="T13" s="31" t="s">
        <v>106</v>
      </c>
      <c r="U13" s="31" t="s">
        <v>60</v>
      </c>
      <c r="V13" s="31" t="s">
        <v>57</v>
      </c>
      <c r="W13" s="32" t="s">
        <v>112</v>
      </c>
    </row>
    <row r="14" spans="2:25" ht="31.5">
      <c r="B14" s="49" t="str">
        <f>'כתבי אופציה'!B7:L7</f>
        <v>7. כתבי אופציה</v>
      </c>
      <c r="C14" s="31" t="s">
        <v>44</v>
      </c>
      <c r="D14" s="31" t="s">
        <v>120</v>
      </c>
      <c r="G14" s="31" t="s">
        <v>63</v>
      </c>
      <c r="H14" s="31" t="s">
        <v>102</v>
      </c>
      <c r="S14" s="31" t="s">
        <v>0</v>
      </c>
      <c r="T14" s="31" t="s">
        <v>106</v>
      </c>
      <c r="U14" s="31" t="s">
        <v>60</v>
      </c>
      <c r="V14" s="31" t="s">
        <v>57</v>
      </c>
      <c r="W14" s="32" t="s">
        <v>112</v>
      </c>
    </row>
    <row r="15" spans="2:25" ht="31.5">
      <c r="B15" s="49" t="str">
        <f>אופציות!B7</f>
        <v>8. אופציות</v>
      </c>
      <c r="C15" s="31" t="s">
        <v>44</v>
      </c>
      <c r="D15" s="31" t="s">
        <v>120</v>
      </c>
      <c r="G15" s="31" t="s">
        <v>63</v>
      </c>
      <c r="H15" s="31" t="s">
        <v>102</v>
      </c>
      <c r="S15" s="31" t="s">
        <v>0</v>
      </c>
      <c r="T15" s="31" t="s">
        <v>106</v>
      </c>
      <c r="U15" s="31" t="s">
        <v>60</v>
      </c>
      <c r="V15" s="31" t="s">
        <v>57</v>
      </c>
      <c r="W15" s="32" t="s">
        <v>112</v>
      </c>
    </row>
    <row r="16" spans="2:25" ht="31.5">
      <c r="B16" s="49" t="str">
        <f>'חוזים עתידיים'!B7:I7</f>
        <v>9. חוזים עתידיים</v>
      </c>
      <c r="C16" s="31" t="s">
        <v>44</v>
      </c>
      <c r="D16" s="31" t="s">
        <v>120</v>
      </c>
      <c r="G16" s="31" t="s">
        <v>63</v>
      </c>
      <c r="H16" s="31" t="s">
        <v>102</v>
      </c>
      <c r="S16" s="31" t="s">
        <v>0</v>
      </c>
      <c r="T16" s="32" t="s">
        <v>106</v>
      </c>
    </row>
    <row r="17" spans="2:25" ht="31.5">
      <c r="B17" s="49" t="str">
        <f>'מוצרים מובנים'!B7:Q7</f>
        <v>10. מוצרים מובנים</v>
      </c>
      <c r="C17" s="31" t="s">
        <v>44</v>
      </c>
      <c r="F17" s="14" t="s">
        <v>48</v>
      </c>
      <c r="I17" s="31" t="s">
        <v>15</v>
      </c>
      <c r="J17" s="31" t="s">
        <v>64</v>
      </c>
      <c r="K17" s="31" t="s">
        <v>103</v>
      </c>
      <c r="L17" s="31" t="s">
        <v>18</v>
      </c>
      <c r="M17" s="31" t="s">
        <v>102</v>
      </c>
      <c r="Q17" s="31" t="s">
        <v>17</v>
      </c>
      <c r="R17" s="31" t="s">
        <v>19</v>
      </c>
      <c r="S17" s="31" t="s">
        <v>0</v>
      </c>
      <c r="T17" s="31" t="s">
        <v>106</v>
      </c>
      <c r="U17" s="31" t="s">
        <v>60</v>
      </c>
      <c r="V17" s="31" t="s">
        <v>57</v>
      </c>
      <c r="W17" s="32" t="s">
        <v>112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44</v>
      </c>
      <c r="I19" s="31" t="s">
        <v>15</v>
      </c>
      <c r="J19" s="31" t="s">
        <v>64</v>
      </c>
      <c r="K19" s="31" t="s">
        <v>103</v>
      </c>
      <c r="L19" s="31" t="s">
        <v>18</v>
      </c>
      <c r="M19" s="31" t="s">
        <v>102</v>
      </c>
      <c r="Q19" s="31" t="s">
        <v>17</v>
      </c>
      <c r="R19" s="31" t="s">
        <v>19</v>
      </c>
      <c r="S19" s="31" t="s">
        <v>0</v>
      </c>
      <c r="T19" s="31" t="s">
        <v>106</v>
      </c>
      <c r="U19" s="31" t="s">
        <v>111</v>
      </c>
      <c r="V19" s="31" t="s">
        <v>57</v>
      </c>
      <c r="W19" s="32" t="s">
        <v>112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44</v>
      </c>
      <c r="D20" s="42" t="s">
        <v>119</v>
      </c>
      <c r="E20" s="42" t="s">
        <v>118</v>
      </c>
      <c r="G20" s="31" t="s">
        <v>63</v>
      </c>
      <c r="I20" s="31" t="s">
        <v>15</v>
      </c>
      <c r="J20" s="31" t="s">
        <v>64</v>
      </c>
      <c r="K20" s="31" t="s">
        <v>103</v>
      </c>
      <c r="L20" s="31" t="s">
        <v>18</v>
      </c>
      <c r="M20" s="31" t="s">
        <v>102</v>
      </c>
      <c r="Q20" s="31" t="s">
        <v>17</v>
      </c>
      <c r="R20" s="31" t="s">
        <v>19</v>
      </c>
      <c r="S20" s="31" t="s">
        <v>0</v>
      </c>
      <c r="T20" s="31" t="s">
        <v>106</v>
      </c>
      <c r="U20" s="31" t="s">
        <v>111</v>
      </c>
      <c r="V20" s="31" t="s">
        <v>57</v>
      </c>
      <c r="W20" s="32" t="s">
        <v>112</v>
      </c>
    </row>
    <row r="21" spans="2:25" ht="31.5">
      <c r="B21" s="49" t="str">
        <f>'לא סחיר - אג"ח קונצרני'!B7:S7</f>
        <v>3. אג"ח קונצרני</v>
      </c>
      <c r="C21" s="31" t="s">
        <v>44</v>
      </c>
      <c r="D21" s="42" t="s">
        <v>119</v>
      </c>
      <c r="E21" s="42" t="s">
        <v>118</v>
      </c>
      <c r="G21" s="31" t="s">
        <v>63</v>
      </c>
      <c r="I21" s="31" t="s">
        <v>15</v>
      </c>
      <c r="J21" s="31" t="s">
        <v>64</v>
      </c>
      <c r="K21" s="31" t="s">
        <v>103</v>
      </c>
      <c r="L21" s="31" t="s">
        <v>18</v>
      </c>
      <c r="M21" s="31" t="s">
        <v>102</v>
      </c>
      <c r="Q21" s="31" t="s">
        <v>17</v>
      </c>
      <c r="R21" s="31" t="s">
        <v>19</v>
      </c>
      <c r="S21" s="31" t="s">
        <v>0</v>
      </c>
      <c r="T21" s="31" t="s">
        <v>106</v>
      </c>
      <c r="U21" s="31" t="s">
        <v>111</v>
      </c>
      <c r="V21" s="31" t="s">
        <v>57</v>
      </c>
      <c r="W21" s="32" t="s">
        <v>112</v>
      </c>
    </row>
    <row r="22" spans="2:25" ht="31.5">
      <c r="B22" s="49" t="str">
        <f>'לא סחיר - מניות'!B7:M7</f>
        <v>4. מניות</v>
      </c>
      <c r="C22" s="31" t="s">
        <v>44</v>
      </c>
      <c r="D22" s="42" t="s">
        <v>119</v>
      </c>
      <c r="E22" s="42" t="s">
        <v>118</v>
      </c>
      <c r="G22" s="31" t="s">
        <v>63</v>
      </c>
      <c r="H22" s="31" t="s">
        <v>102</v>
      </c>
      <c r="S22" s="31" t="s">
        <v>0</v>
      </c>
      <c r="T22" s="31" t="s">
        <v>106</v>
      </c>
      <c r="U22" s="31" t="s">
        <v>111</v>
      </c>
      <c r="V22" s="31" t="s">
        <v>57</v>
      </c>
      <c r="W22" s="32" t="s">
        <v>112</v>
      </c>
    </row>
    <row r="23" spans="2:25" ht="31.5">
      <c r="B23" s="49" t="str">
        <f>'לא סחיר - קרנות השקעה'!B7:K7</f>
        <v>5. קרנות השקעה</v>
      </c>
      <c r="C23" s="31" t="s">
        <v>44</v>
      </c>
      <c r="G23" s="31" t="s">
        <v>63</v>
      </c>
      <c r="H23" s="31" t="s">
        <v>102</v>
      </c>
      <c r="K23" s="31" t="s">
        <v>103</v>
      </c>
      <c r="S23" s="31" t="s">
        <v>0</v>
      </c>
      <c r="T23" s="31" t="s">
        <v>106</v>
      </c>
      <c r="U23" s="31" t="s">
        <v>111</v>
      </c>
      <c r="V23" s="31" t="s">
        <v>57</v>
      </c>
      <c r="W23" s="32" t="s">
        <v>112</v>
      </c>
    </row>
    <row r="24" spans="2:25" ht="31.5">
      <c r="B24" s="49" t="str">
        <f>'לא סחיר - כתבי אופציה'!B7:L7</f>
        <v>6. כתבי אופציה</v>
      </c>
      <c r="C24" s="31" t="s">
        <v>44</v>
      </c>
      <c r="G24" s="31" t="s">
        <v>63</v>
      </c>
      <c r="H24" s="31" t="s">
        <v>102</v>
      </c>
      <c r="K24" s="31" t="s">
        <v>103</v>
      </c>
      <c r="S24" s="31" t="s">
        <v>0</v>
      </c>
      <c r="T24" s="31" t="s">
        <v>106</v>
      </c>
      <c r="U24" s="31" t="s">
        <v>111</v>
      </c>
      <c r="V24" s="31" t="s">
        <v>57</v>
      </c>
      <c r="W24" s="32" t="s">
        <v>112</v>
      </c>
    </row>
    <row r="25" spans="2:25" ht="31.5">
      <c r="B25" s="49" t="str">
        <f>'לא סחיר - אופציות'!B7:L7</f>
        <v>7. אופציות</v>
      </c>
      <c r="C25" s="31" t="s">
        <v>44</v>
      </c>
      <c r="G25" s="31" t="s">
        <v>63</v>
      </c>
      <c r="H25" s="31" t="s">
        <v>102</v>
      </c>
      <c r="K25" s="31" t="s">
        <v>103</v>
      </c>
      <c r="S25" s="31" t="s">
        <v>0</v>
      </c>
      <c r="T25" s="31" t="s">
        <v>106</v>
      </c>
      <c r="U25" s="31" t="s">
        <v>111</v>
      </c>
      <c r="V25" s="31" t="s">
        <v>57</v>
      </c>
      <c r="W25" s="32" t="s">
        <v>112</v>
      </c>
    </row>
    <row r="26" spans="2:25" ht="31.5">
      <c r="B26" s="49" t="str">
        <f>'לא סחיר - חוזים עתידיים'!B7:K7</f>
        <v>8. חוזים עתידיים</v>
      </c>
      <c r="C26" s="31" t="s">
        <v>44</v>
      </c>
      <c r="G26" s="31" t="s">
        <v>63</v>
      </c>
      <c r="H26" s="31" t="s">
        <v>102</v>
      </c>
      <c r="K26" s="31" t="s">
        <v>103</v>
      </c>
      <c r="S26" s="31" t="s">
        <v>0</v>
      </c>
      <c r="T26" s="31" t="s">
        <v>106</v>
      </c>
      <c r="U26" s="31" t="s">
        <v>111</v>
      </c>
      <c r="V26" s="32" t="s">
        <v>112</v>
      </c>
    </row>
    <row r="27" spans="2:25" ht="31.5">
      <c r="B27" s="49" t="str">
        <f>'לא סחיר - מוצרים מובנים'!B7:Q7</f>
        <v>9. מוצרים מובנים</v>
      </c>
      <c r="C27" s="31" t="s">
        <v>44</v>
      </c>
      <c r="F27" s="31" t="s">
        <v>48</v>
      </c>
      <c r="I27" s="31" t="s">
        <v>15</v>
      </c>
      <c r="J27" s="31" t="s">
        <v>64</v>
      </c>
      <c r="K27" s="31" t="s">
        <v>103</v>
      </c>
      <c r="L27" s="31" t="s">
        <v>18</v>
      </c>
      <c r="M27" s="31" t="s">
        <v>102</v>
      </c>
      <c r="Q27" s="31" t="s">
        <v>17</v>
      </c>
      <c r="R27" s="31" t="s">
        <v>19</v>
      </c>
      <c r="S27" s="31" t="s">
        <v>0</v>
      </c>
      <c r="T27" s="31" t="s">
        <v>106</v>
      </c>
      <c r="U27" s="31" t="s">
        <v>111</v>
      </c>
      <c r="V27" s="31" t="s">
        <v>57</v>
      </c>
      <c r="W27" s="32" t="s">
        <v>112</v>
      </c>
    </row>
    <row r="28" spans="2:25" ht="31.5">
      <c r="B28" s="53" t="str">
        <f>הלוואות!B6</f>
        <v>1.ד. הלוואות:</v>
      </c>
      <c r="C28" s="31" t="s">
        <v>44</v>
      </c>
      <c r="I28" s="31" t="s">
        <v>15</v>
      </c>
      <c r="J28" s="31" t="s">
        <v>64</v>
      </c>
      <c r="L28" s="31" t="s">
        <v>18</v>
      </c>
      <c r="M28" s="31" t="s">
        <v>102</v>
      </c>
      <c r="Q28" s="14" t="s">
        <v>35</v>
      </c>
      <c r="R28" s="31" t="s">
        <v>19</v>
      </c>
      <c r="S28" s="31" t="s">
        <v>0</v>
      </c>
      <c r="T28" s="31" t="s">
        <v>106</v>
      </c>
      <c r="U28" s="31" t="s">
        <v>111</v>
      </c>
      <c r="V28" s="32" t="s">
        <v>112</v>
      </c>
    </row>
    <row r="29" spans="2:25" ht="47.25">
      <c r="B29" s="53" t="str">
        <f>'פקדונות מעל 3 חודשים'!B6:O6</f>
        <v>1.ה. פקדונות מעל 3 חודשים:</v>
      </c>
      <c r="C29" s="31" t="s">
        <v>44</v>
      </c>
      <c r="E29" s="31" t="s">
        <v>118</v>
      </c>
      <c r="I29" s="31" t="s">
        <v>15</v>
      </c>
      <c r="J29" s="31" t="s">
        <v>64</v>
      </c>
      <c r="L29" s="31" t="s">
        <v>18</v>
      </c>
      <c r="M29" s="31" t="s">
        <v>102</v>
      </c>
      <c r="O29" s="50" t="s">
        <v>50</v>
      </c>
      <c r="P29" s="51"/>
      <c r="R29" s="31" t="s">
        <v>19</v>
      </c>
      <c r="S29" s="31" t="s">
        <v>0</v>
      </c>
      <c r="T29" s="31" t="s">
        <v>106</v>
      </c>
      <c r="U29" s="31" t="s">
        <v>111</v>
      </c>
      <c r="V29" s="32" t="s">
        <v>112</v>
      </c>
    </row>
    <row r="30" spans="2:25" ht="63">
      <c r="B30" s="53" t="str">
        <f>'זכויות מקרקעין'!B6</f>
        <v>1. ו. זכויות במקרקעין:</v>
      </c>
      <c r="C30" s="14" t="s">
        <v>52</v>
      </c>
      <c r="N30" s="50" t="s">
        <v>86</v>
      </c>
      <c r="P30" s="51" t="s">
        <v>53</v>
      </c>
      <c r="U30" s="31" t="s">
        <v>111</v>
      </c>
      <c r="V30" s="15" t="s">
        <v>56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55</v>
      </c>
      <c r="R31" s="14" t="s">
        <v>51</v>
      </c>
      <c r="U31" s="31" t="s">
        <v>111</v>
      </c>
      <c r="V31" s="15" t="s">
        <v>56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108</v>
      </c>
      <c r="Y32" s="15" t="s">
        <v>107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180</v>
      </c>
      <c r="C1" s="78" t="s" vm="1">
        <v>251</v>
      </c>
    </row>
    <row r="2" spans="2:54">
      <c r="B2" s="57" t="s">
        <v>179</v>
      </c>
      <c r="C2" s="78" t="s">
        <v>252</v>
      </c>
    </row>
    <row r="3" spans="2:54">
      <c r="B3" s="57" t="s">
        <v>181</v>
      </c>
      <c r="C3" s="78" t="s">
        <v>253</v>
      </c>
    </row>
    <row r="4" spans="2:54">
      <c r="B4" s="57" t="s">
        <v>182</v>
      </c>
      <c r="C4" s="78">
        <v>2144</v>
      </c>
    </row>
    <row r="6" spans="2:54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54" ht="26.25" customHeight="1">
      <c r="B7" s="159" t="s">
        <v>99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54" s="3" customFormat="1" ht="78.75">
      <c r="B8" s="23" t="s">
        <v>117</v>
      </c>
      <c r="C8" s="31" t="s">
        <v>44</v>
      </c>
      <c r="D8" s="31" t="s">
        <v>63</v>
      </c>
      <c r="E8" s="31" t="s">
        <v>102</v>
      </c>
      <c r="F8" s="31" t="s">
        <v>103</v>
      </c>
      <c r="G8" s="31" t="s">
        <v>234</v>
      </c>
      <c r="H8" s="31" t="s">
        <v>233</v>
      </c>
      <c r="I8" s="31" t="s">
        <v>111</v>
      </c>
      <c r="J8" s="31" t="s">
        <v>57</v>
      </c>
      <c r="K8" s="31" t="s">
        <v>183</v>
      </c>
      <c r="L8" s="32" t="s">
        <v>185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241</v>
      </c>
      <c r="H9" s="17"/>
      <c r="I9" s="17" t="s">
        <v>237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16" workbookViewId="0">
      <selection activeCell="D36" sqref="D36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8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180</v>
      </c>
      <c r="C1" s="78" t="s" vm="1">
        <v>251</v>
      </c>
    </row>
    <row r="2" spans="2:51">
      <c r="B2" s="57" t="s">
        <v>179</v>
      </c>
      <c r="C2" s="78" t="s">
        <v>252</v>
      </c>
    </row>
    <row r="3" spans="2:51">
      <c r="B3" s="57" t="s">
        <v>181</v>
      </c>
      <c r="C3" s="78" t="s">
        <v>253</v>
      </c>
    </row>
    <row r="4" spans="2:51">
      <c r="B4" s="57" t="s">
        <v>182</v>
      </c>
      <c r="C4" s="78">
        <v>2144</v>
      </c>
    </row>
    <row r="6" spans="2:51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51" ht="26.25" customHeight="1">
      <c r="B7" s="159" t="s">
        <v>100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51" s="3" customFormat="1" ht="63">
      <c r="B8" s="23" t="s">
        <v>117</v>
      </c>
      <c r="C8" s="31" t="s">
        <v>44</v>
      </c>
      <c r="D8" s="31" t="s">
        <v>63</v>
      </c>
      <c r="E8" s="31" t="s">
        <v>102</v>
      </c>
      <c r="F8" s="31" t="s">
        <v>103</v>
      </c>
      <c r="G8" s="31" t="s">
        <v>234</v>
      </c>
      <c r="H8" s="31" t="s">
        <v>233</v>
      </c>
      <c r="I8" s="31" t="s">
        <v>111</v>
      </c>
      <c r="J8" s="31" t="s">
        <v>183</v>
      </c>
      <c r="K8" s="32" t="s">
        <v>185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241</v>
      </c>
      <c r="H9" s="17"/>
      <c r="I9" s="17" t="s">
        <v>237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21" t="s">
        <v>47</v>
      </c>
      <c r="C11" s="122"/>
      <c r="D11" s="122"/>
      <c r="E11" s="122"/>
      <c r="F11" s="122"/>
      <c r="G11" s="123"/>
      <c r="H11" s="127"/>
      <c r="I11" s="123">
        <v>218.54401708699993</v>
      </c>
      <c r="J11" s="124">
        <f>I11/$I$11</f>
        <v>1</v>
      </c>
      <c r="K11" s="124">
        <f>I11/'סכום נכסי הקרן'!$C$42</f>
        <v>9.1487894321691217E-4</v>
      </c>
      <c r="AW11" s="100"/>
    </row>
    <row r="12" spans="2:51" s="100" customFormat="1" ht="19.5" customHeight="1">
      <c r="B12" s="125" t="s">
        <v>34</v>
      </c>
      <c r="C12" s="122"/>
      <c r="D12" s="122"/>
      <c r="E12" s="122"/>
      <c r="F12" s="122"/>
      <c r="G12" s="123"/>
      <c r="H12" s="127"/>
      <c r="I12" s="123">
        <v>218.54401708699993</v>
      </c>
      <c r="J12" s="124">
        <f t="shared" ref="J12:J20" si="0">I12/$I$11</f>
        <v>1</v>
      </c>
      <c r="K12" s="124">
        <f>I12/'סכום נכסי הקרן'!$C$42</f>
        <v>9.1487894321691217E-4</v>
      </c>
    </row>
    <row r="13" spans="2:51">
      <c r="B13" s="102" t="s">
        <v>1428</v>
      </c>
      <c r="C13" s="82"/>
      <c r="D13" s="82"/>
      <c r="E13" s="82"/>
      <c r="F13" s="82"/>
      <c r="G13" s="91"/>
      <c r="H13" s="93"/>
      <c r="I13" s="91">
        <v>180.04380999999998</v>
      </c>
      <c r="J13" s="92">
        <f t="shared" si="0"/>
        <v>0.82383316825519204</v>
      </c>
      <c r="K13" s="92">
        <f>I13/'סכום נכסי הקרן'!$C$42</f>
        <v>7.5370761836035072E-4</v>
      </c>
    </row>
    <row r="14" spans="2:51">
      <c r="B14" s="87" t="s">
        <v>1429</v>
      </c>
      <c r="C14" s="84" t="s">
        <v>1430</v>
      </c>
      <c r="D14" s="97" t="s">
        <v>1427</v>
      </c>
      <c r="E14" s="97" t="s">
        <v>164</v>
      </c>
      <c r="F14" s="106">
        <v>43689</v>
      </c>
      <c r="G14" s="94">
        <v>480059.99999999994</v>
      </c>
      <c r="H14" s="96">
        <v>-0.23400000000000001</v>
      </c>
      <c r="I14" s="94">
        <v>-1.1235799999999998</v>
      </c>
      <c r="J14" s="95">
        <f t="shared" si="0"/>
        <v>-5.1412068606422438E-3</v>
      </c>
      <c r="K14" s="95">
        <f>I14/'סכום נכסי הקרן'!$C$42</f>
        <v>-4.7035818995239143E-6</v>
      </c>
    </row>
    <row r="15" spans="2:51">
      <c r="B15" s="87" t="s">
        <v>1431</v>
      </c>
      <c r="C15" s="84" t="s">
        <v>1432</v>
      </c>
      <c r="D15" s="97" t="s">
        <v>1427</v>
      </c>
      <c r="E15" s="97" t="s">
        <v>164</v>
      </c>
      <c r="F15" s="106">
        <v>43657</v>
      </c>
      <c r="G15" s="94">
        <v>5316079.9999999991</v>
      </c>
      <c r="H15" s="96">
        <v>1.1418999999999999</v>
      </c>
      <c r="I15" s="94">
        <v>60.706359999999997</v>
      </c>
      <c r="J15" s="95">
        <f t="shared" si="0"/>
        <v>0.27777635283345903</v>
      </c>
      <c r="K15" s="95">
        <f>I15/'סכום נכסי הקרן'!$C$42</f>
        <v>2.5413173613092314E-4</v>
      </c>
    </row>
    <row r="16" spans="2:51" s="7" customFormat="1">
      <c r="B16" s="87" t="s">
        <v>1433</v>
      </c>
      <c r="C16" s="84" t="s">
        <v>1434</v>
      </c>
      <c r="D16" s="97" t="s">
        <v>1427</v>
      </c>
      <c r="E16" s="97" t="s">
        <v>164</v>
      </c>
      <c r="F16" s="106">
        <v>43657</v>
      </c>
      <c r="G16" s="94">
        <v>5354579.9999999991</v>
      </c>
      <c r="H16" s="96">
        <v>1.1476999999999999</v>
      </c>
      <c r="I16" s="94">
        <v>61.453119999999991</v>
      </c>
      <c r="J16" s="95">
        <f t="shared" si="0"/>
        <v>0.28119333038312455</v>
      </c>
      <c r="K16" s="95">
        <f>I16/'סכום נכסי הקרן'!$C$42</f>
        <v>2.5725785694055703E-4</v>
      </c>
      <c r="AW16" s="1"/>
      <c r="AY16" s="1"/>
    </row>
    <row r="17" spans="2:51" s="7" customFormat="1">
      <c r="B17" s="87" t="s">
        <v>1435</v>
      </c>
      <c r="C17" s="84" t="s">
        <v>1436</v>
      </c>
      <c r="D17" s="97" t="s">
        <v>1427</v>
      </c>
      <c r="E17" s="97" t="s">
        <v>164</v>
      </c>
      <c r="F17" s="106">
        <v>43696</v>
      </c>
      <c r="G17" s="94">
        <v>557439.99999999988</v>
      </c>
      <c r="H17" s="96">
        <v>1.3460000000000001</v>
      </c>
      <c r="I17" s="94">
        <v>7.5031099999999986</v>
      </c>
      <c r="J17" s="95">
        <f t="shared" si="0"/>
        <v>3.4332259926443537E-2</v>
      </c>
      <c r="K17" s="95">
        <f>I17/'סכום נכסי הקרן'!$C$42</f>
        <v>3.1409861679753006E-5</v>
      </c>
      <c r="AW17" s="1"/>
      <c r="AY17" s="1"/>
    </row>
    <row r="18" spans="2:51" s="7" customFormat="1">
      <c r="B18" s="87" t="s">
        <v>1437</v>
      </c>
      <c r="C18" s="84" t="s">
        <v>1438</v>
      </c>
      <c r="D18" s="97" t="s">
        <v>1427</v>
      </c>
      <c r="E18" s="97" t="s">
        <v>164</v>
      </c>
      <c r="F18" s="106">
        <v>43642</v>
      </c>
      <c r="G18" s="94">
        <v>420251.99999999994</v>
      </c>
      <c r="H18" s="96">
        <v>2.5529999999999999</v>
      </c>
      <c r="I18" s="94">
        <v>10.729129999999998</v>
      </c>
      <c r="J18" s="95">
        <f t="shared" si="0"/>
        <v>4.9093679813384465E-2</v>
      </c>
      <c r="K18" s="95">
        <f>I18/'סכום נכסי הקרן'!$C$42</f>
        <v>4.4914773906298635E-5</v>
      </c>
      <c r="AW18" s="1"/>
      <c r="AY18" s="1"/>
    </row>
    <row r="19" spans="2:51">
      <c r="B19" s="87" t="s">
        <v>1439</v>
      </c>
      <c r="C19" s="84" t="s">
        <v>1440</v>
      </c>
      <c r="D19" s="97" t="s">
        <v>1427</v>
      </c>
      <c r="E19" s="97" t="s">
        <v>164</v>
      </c>
      <c r="F19" s="106">
        <v>43627</v>
      </c>
      <c r="G19" s="94">
        <v>1297034.9999999998</v>
      </c>
      <c r="H19" s="96">
        <v>1.9501999999999999</v>
      </c>
      <c r="I19" s="94">
        <v>25.294369999999994</v>
      </c>
      <c r="J19" s="95">
        <f t="shared" si="0"/>
        <v>0.11574039105326131</v>
      </c>
      <c r="K19" s="95">
        <f>I19/'סכום נכסי הקרן'!$C$42</f>
        <v>1.0588844665431987E-4</v>
      </c>
    </row>
    <row r="20" spans="2:51">
      <c r="B20" s="87" t="s">
        <v>1441</v>
      </c>
      <c r="C20" s="84" t="s">
        <v>1442</v>
      </c>
      <c r="D20" s="97" t="s">
        <v>1427</v>
      </c>
      <c r="E20" s="97" t="s">
        <v>164</v>
      </c>
      <c r="F20" s="106">
        <v>43621</v>
      </c>
      <c r="G20" s="94">
        <v>582614.99999999988</v>
      </c>
      <c r="H20" s="96">
        <v>2.6572</v>
      </c>
      <c r="I20" s="94">
        <v>15.481299999999997</v>
      </c>
      <c r="J20" s="95">
        <f t="shared" si="0"/>
        <v>7.0838361106161346E-2</v>
      </c>
      <c r="K20" s="95">
        <f>I20/'סכום נכסי הקרן'!$C$42</f>
        <v>6.480852494802291E-5</v>
      </c>
    </row>
    <row r="21" spans="2:51">
      <c r="B21" s="83"/>
      <c r="C21" s="84"/>
      <c r="D21" s="84"/>
      <c r="E21" s="84"/>
      <c r="F21" s="84"/>
      <c r="G21" s="94"/>
      <c r="H21" s="96"/>
      <c r="I21" s="84"/>
      <c r="J21" s="95"/>
      <c r="K21" s="84"/>
    </row>
    <row r="22" spans="2:51">
      <c r="B22" s="102" t="s">
        <v>229</v>
      </c>
      <c r="C22" s="82"/>
      <c r="D22" s="82"/>
      <c r="E22" s="82"/>
      <c r="F22" s="82"/>
      <c r="G22" s="91"/>
      <c r="H22" s="93"/>
      <c r="I22" s="91">
        <v>32.063333526000001</v>
      </c>
      <c r="J22" s="92">
        <f t="shared" ref="J22:J31" si="1">I22/$I$11</f>
        <v>0.14671338961082583</v>
      </c>
      <c r="K22" s="92">
        <f>I22/'סכום נכסי הקרן'!$C$42</f>
        <v>1.3422499084292345E-4</v>
      </c>
    </row>
    <row r="23" spans="2:51">
      <c r="B23" s="87" t="s">
        <v>1443</v>
      </c>
      <c r="C23" s="84" t="s">
        <v>1444</v>
      </c>
      <c r="D23" s="97" t="s">
        <v>1427</v>
      </c>
      <c r="E23" s="97" t="s">
        <v>166</v>
      </c>
      <c r="F23" s="106">
        <v>43699</v>
      </c>
      <c r="G23" s="94">
        <v>140784.99999999997</v>
      </c>
      <c r="H23" s="96">
        <v>-1.8039000000000001</v>
      </c>
      <c r="I23" s="94">
        <v>-2.5395999999999996</v>
      </c>
      <c r="J23" s="95">
        <f t="shared" si="1"/>
        <v>-1.1620542323009526E-2</v>
      </c>
      <c r="K23" s="95">
        <f>I23/'סכום נכסי הקרן'!$C$42</f>
        <v>-1.0631389480082357E-5</v>
      </c>
    </row>
    <row r="24" spans="2:51">
      <c r="B24" s="87" t="s">
        <v>1445</v>
      </c>
      <c r="C24" s="84" t="s">
        <v>1446</v>
      </c>
      <c r="D24" s="97" t="s">
        <v>1427</v>
      </c>
      <c r="E24" s="97" t="s">
        <v>166</v>
      </c>
      <c r="F24" s="106">
        <v>43703</v>
      </c>
      <c r="G24" s="94">
        <v>48344.89931999999</v>
      </c>
      <c r="H24" s="96">
        <v>-2.0516999999999999</v>
      </c>
      <c r="I24" s="94">
        <v>-0.99188466899999983</v>
      </c>
      <c r="J24" s="95">
        <f t="shared" si="1"/>
        <v>-4.5386036287835855E-3</v>
      </c>
      <c r="K24" s="95">
        <f>I24/'סכום נכסי הקרן'!$C$42</f>
        <v>-4.1522728915819693E-6</v>
      </c>
    </row>
    <row r="25" spans="2:51">
      <c r="B25" s="87" t="s">
        <v>1447</v>
      </c>
      <c r="C25" s="84" t="s">
        <v>1448</v>
      </c>
      <c r="D25" s="97" t="s">
        <v>1427</v>
      </c>
      <c r="E25" s="97" t="s">
        <v>166</v>
      </c>
      <c r="F25" s="106">
        <v>43726</v>
      </c>
      <c r="G25" s="94">
        <v>184121.74999999997</v>
      </c>
      <c r="H25" s="96">
        <v>1.3018000000000001</v>
      </c>
      <c r="I25" s="94">
        <v>2.3968799999999995</v>
      </c>
      <c r="J25" s="95">
        <f t="shared" si="1"/>
        <v>1.0967493102526015E-2</v>
      </c>
      <c r="K25" s="95">
        <f>I25/'סכום נכסי הקרן'!$C$42</f>
        <v>1.0033928499377775E-5</v>
      </c>
    </row>
    <row r="26" spans="2:51">
      <c r="B26" s="87" t="s">
        <v>1449</v>
      </c>
      <c r="C26" s="84" t="s">
        <v>1450</v>
      </c>
      <c r="D26" s="97" t="s">
        <v>1427</v>
      </c>
      <c r="E26" s="97" t="s">
        <v>166</v>
      </c>
      <c r="F26" s="106">
        <v>43678</v>
      </c>
      <c r="G26" s="94">
        <v>166375.58919599996</v>
      </c>
      <c r="H26" s="96">
        <v>1.6720999999999999</v>
      </c>
      <c r="I26" s="94">
        <v>2.7818996499999997</v>
      </c>
      <c r="J26" s="95">
        <f t="shared" si="1"/>
        <v>1.2729241857454082E-2</v>
      </c>
      <c r="K26" s="95">
        <f>I26/'סכום נכסי הקרן'!$C$42</f>
        <v>1.1645715338500075E-5</v>
      </c>
    </row>
    <row r="27" spans="2:51">
      <c r="B27" s="87" t="s">
        <v>1451</v>
      </c>
      <c r="C27" s="84" t="s">
        <v>1452</v>
      </c>
      <c r="D27" s="97" t="s">
        <v>1427</v>
      </c>
      <c r="E27" s="97" t="s">
        <v>166</v>
      </c>
      <c r="F27" s="106">
        <v>43650</v>
      </c>
      <c r="G27" s="94">
        <v>739625.71999999986</v>
      </c>
      <c r="H27" s="96">
        <v>3.8511000000000002</v>
      </c>
      <c r="I27" s="94">
        <v>28.483449999999998</v>
      </c>
      <c r="J27" s="95">
        <f t="shared" si="1"/>
        <v>0.13033278320614494</v>
      </c>
      <c r="K27" s="95">
        <f>I27/'סכום נכסי הקרן'!$C$42</f>
        <v>1.192387189661568E-4</v>
      </c>
    </row>
    <row r="28" spans="2:51">
      <c r="B28" s="87" t="s">
        <v>1453</v>
      </c>
      <c r="C28" s="84" t="s">
        <v>1454</v>
      </c>
      <c r="D28" s="97" t="s">
        <v>1427</v>
      </c>
      <c r="E28" s="97" t="s">
        <v>167</v>
      </c>
      <c r="F28" s="106">
        <v>43678</v>
      </c>
      <c r="G28" s="94">
        <v>179957.57090599998</v>
      </c>
      <c r="H28" s="96">
        <v>-1.1184000000000001</v>
      </c>
      <c r="I28" s="94">
        <v>-2.0126355409999999</v>
      </c>
      <c r="J28" s="95">
        <f t="shared" si="1"/>
        <v>-9.2092914179334046E-3</v>
      </c>
      <c r="K28" s="95">
        <f>I28/'סכום נכסי הקרן'!$C$42</f>
        <v>-8.4253868002154922E-6</v>
      </c>
    </row>
    <row r="29" spans="2:51">
      <c r="B29" s="87" t="s">
        <v>1455</v>
      </c>
      <c r="C29" s="84" t="s">
        <v>1456</v>
      </c>
      <c r="D29" s="97" t="s">
        <v>1427</v>
      </c>
      <c r="E29" s="97" t="s">
        <v>167</v>
      </c>
      <c r="F29" s="106">
        <v>43677</v>
      </c>
      <c r="G29" s="94">
        <v>90798.718334000005</v>
      </c>
      <c r="H29" s="96">
        <v>-0.2109</v>
      </c>
      <c r="I29" s="94">
        <v>-0.19149958799999997</v>
      </c>
      <c r="J29" s="95">
        <f t="shared" si="1"/>
        <v>-8.7625179839064698E-4</v>
      </c>
      <c r="K29" s="95">
        <f>I29/'סכום נכסי הקרן'!$C$42</f>
        <v>-8.0166431930355389E-7</v>
      </c>
    </row>
    <row r="30" spans="2:51">
      <c r="B30" s="87" t="s">
        <v>1457</v>
      </c>
      <c r="C30" s="84" t="s">
        <v>1458</v>
      </c>
      <c r="D30" s="97" t="s">
        <v>1427</v>
      </c>
      <c r="E30" s="97" t="s">
        <v>167</v>
      </c>
      <c r="F30" s="106">
        <v>43677</v>
      </c>
      <c r="G30" s="94">
        <v>90815.677376999985</v>
      </c>
      <c r="H30" s="96">
        <v>-0.1923</v>
      </c>
      <c r="I30" s="94">
        <v>-0.17464632599999996</v>
      </c>
      <c r="J30" s="95">
        <f t="shared" si="1"/>
        <v>-7.9913569965392927E-4</v>
      </c>
      <c r="K30" s="95">
        <f>I30/'סכום נכסי הקרן'!$C$42</f>
        <v>-7.311124243862945E-7</v>
      </c>
    </row>
    <row r="31" spans="2:51">
      <c r="B31" s="87" t="s">
        <v>1459</v>
      </c>
      <c r="C31" s="84" t="s">
        <v>1460</v>
      </c>
      <c r="D31" s="97" t="s">
        <v>1427</v>
      </c>
      <c r="E31" s="97" t="s">
        <v>167</v>
      </c>
      <c r="F31" s="106">
        <v>43720</v>
      </c>
      <c r="G31" s="94">
        <v>996486.06999999983</v>
      </c>
      <c r="H31" s="96">
        <v>0.43269999999999997</v>
      </c>
      <c r="I31" s="94">
        <v>4.3113699999999993</v>
      </c>
      <c r="J31" s="95">
        <f t="shared" si="1"/>
        <v>1.9727696312471878E-2</v>
      </c>
      <c r="K31" s="95">
        <f>I31/'סכום נכסי הקרן'!$C$42</f>
        <v>1.8048453954458446E-5</v>
      </c>
    </row>
    <row r="32" spans="2:51">
      <c r="B32" s="83"/>
      <c r="C32" s="84"/>
      <c r="D32" s="84"/>
      <c r="E32" s="84"/>
      <c r="F32" s="84"/>
      <c r="G32" s="94"/>
      <c r="H32" s="96"/>
      <c r="I32" s="84"/>
      <c r="J32" s="95"/>
      <c r="K32" s="84"/>
    </row>
    <row r="33" spans="2:11">
      <c r="B33" s="102" t="s">
        <v>228</v>
      </c>
      <c r="C33" s="82"/>
      <c r="D33" s="82"/>
      <c r="E33" s="82"/>
      <c r="F33" s="82"/>
      <c r="G33" s="91"/>
      <c r="H33" s="93"/>
      <c r="I33" s="91">
        <v>6.4368735609999996</v>
      </c>
      <c r="J33" s="92">
        <f t="shared" ref="J33:J36" si="2">I33/$I$11</f>
        <v>2.9453442133982339E-2</v>
      </c>
      <c r="K33" s="92">
        <f>I33/'סכום נכסי הקרן'!$C$42</f>
        <v>2.6946334013638236E-5</v>
      </c>
    </row>
    <row r="34" spans="2:11">
      <c r="B34" s="87" t="s">
        <v>1461</v>
      </c>
      <c r="C34" s="84" t="s">
        <v>1462</v>
      </c>
      <c r="D34" s="97" t="s">
        <v>1427</v>
      </c>
      <c r="E34" s="97" t="s">
        <v>165</v>
      </c>
      <c r="F34" s="106">
        <v>43614</v>
      </c>
      <c r="G34" s="94">
        <v>3713.8949999999995</v>
      </c>
      <c r="H34" s="96">
        <v>0.17519999999999999</v>
      </c>
      <c r="I34" s="94">
        <v>6.5057409999999998E-3</v>
      </c>
      <c r="J34" s="95">
        <f t="shared" si="2"/>
        <v>2.9768561440005638E-5</v>
      </c>
      <c r="K34" s="95">
        <f>I34/'סכום נכסי הקרן'!$C$42</f>
        <v>2.7234630031320082E-8</v>
      </c>
    </row>
    <row r="35" spans="2:11">
      <c r="B35" s="87" t="s">
        <v>1461</v>
      </c>
      <c r="C35" s="84" t="s">
        <v>1463</v>
      </c>
      <c r="D35" s="97" t="s">
        <v>1427</v>
      </c>
      <c r="E35" s="97" t="s">
        <v>165</v>
      </c>
      <c r="F35" s="106">
        <v>43626</v>
      </c>
      <c r="G35" s="94">
        <v>742778.99999999988</v>
      </c>
      <c r="H35" s="96">
        <v>0.86009999999999998</v>
      </c>
      <c r="I35" s="94">
        <v>6.3887678199999991</v>
      </c>
      <c r="J35" s="95">
        <f t="shared" si="2"/>
        <v>2.9233322902894671E-2</v>
      </c>
      <c r="K35" s="95">
        <f>I35/'סכום נכסי הקרן'!$C$42</f>
        <v>2.6744951564119032E-5</v>
      </c>
    </row>
    <row r="36" spans="2:11">
      <c r="B36" s="87" t="s">
        <v>1561</v>
      </c>
      <c r="C36" s="84" t="s">
        <v>1464</v>
      </c>
      <c r="D36" s="97" t="s">
        <v>1427</v>
      </c>
      <c r="E36" s="97" t="s">
        <v>165</v>
      </c>
      <c r="F36" s="106">
        <v>43108</v>
      </c>
      <c r="G36" s="94">
        <v>115.21999999999998</v>
      </c>
      <c r="H36" s="96">
        <v>1013.361</v>
      </c>
      <c r="I36" s="94">
        <v>4.1599999999999998E-2</v>
      </c>
      <c r="J36" s="95">
        <f t="shared" si="2"/>
        <v>1.9035066964765961E-4</v>
      </c>
      <c r="K36" s="95">
        <f>I36/'סכום נכסי הקרן'!$C$42</f>
        <v>1.7414781948788236E-7</v>
      </c>
    </row>
    <row r="37" spans="2:11">
      <c r="B37" s="83"/>
      <c r="C37" s="84"/>
      <c r="D37" s="84"/>
      <c r="E37" s="84"/>
      <c r="F37" s="84"/>
      <c r="G37" s="94"/>
      <c r="H37" s="96"/>
      <c r="I37" s="84"/>
      <c r="J37" s="95"/>
      <c r="K37" s="84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99" t="s">
        <v>250</v>
      </c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99" t="s">
        <v>113</v>
      </c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99" t="s">
        <v>232</v>
      </c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99" t="s">
        <v>240</v>
      </c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AH41:XFD44 D45:XFD1048576 D41:AF44 D1:XFD40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180</v>
      </c>
      <c r="C1" s="78" t="s" vm="1">
        <v>251</v>
      </c>
    </row>
    <row r="2" spans="2:78">
      <c r="B2" s="57" t="s">
        <v>179</v>
      </c>
      <c r="C2" s="78" t="s">
        <v>252</v>
      </c>
    </row>
    <row r="3" spans="2:78">
      <c r="B3" s="57" t="s">
        <v>181</v>
      </c>
      <c r="C3" s="78" t="s">
        <v>253</v>
      </c>
    </row>
    <row r="4" spans="2:78">
      <c r="B4" s="57" t="s">
        <v>182</v>
      </c>
      <c r="C4" s="78">
        <v>2144</v>
      </c>
    </row>
    <row r="6" spans="2:78" ht="26.25" customHeight="1">
      <c r="B6" s="159" t="s">
        <v>211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78" ht="26.25" customHeight="1">
      <c r="B7" s="159" t="s">
        <v>101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2:78" s="3" customFormat="1" ht="47.25">
      <c r="B8" s="23" t="s">
        <v>117</v>
      </c>
      <c r="C8" s="31" t="s">
        <v>44</v>
      </c>
      <c r="D8" s="31" t="s">
        <v>48</v>
      </c>
      <c r="E8" s="31" t="s">
        <v>15</v>
      </c>
      <c r="F8" s="31" t="s">
        <v>64</v>
      </c>
      <c r="G8" s="31" t="s">
        <v>103</v>
      </c>
      <c r="H8" s="31" t="s">
        <v>18</v>
      </c>
      <c r="I8" s="31" t="s">
        <v>102</v>
      </c>
      <c r="J8" s="31" t="s">
        <v>17</v>
      </c>
      <c r="K8" s="31" t="s">
        <v>19</v>
      </c>
      <c r="L8" s="31" t="s">
        <v>234</v>
      </c>
      <c r="M8" s="31" t="s">
        <v>233</v>
      </c>
      <c r="N8" s="31" t="s">
        <v>111</v>
      </c>
      <c r="O8" s="31" t="s">
        <v>57</v>
      </c>
      <c r="P8" s="31" t="s">
        <v>183</v>
      </c>
      <c r="Q8" s="32" t="s">
        <v>185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241</v>
      </c>
      <c r="M9" s="17"/>
      <c r="N9" s="17" t="s">
        <v>237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114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34"/>
  <sheetViews>
    <sheetView rightToLeft="1" topLeftCell="A100" workbookViewId="0">
      <selection activeCell="C131" sqref="C131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5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1.28515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180</v>
      </c>
      <c r="C1" s="78" t="s" vm="1">
        <v>251</v>
      </c>
    </row>
    <row r="2" spans="2:61">
      <c r="B2" s="57" t="s">
        <v>179</v>
      </c>
      <c r="C2" s="78" t="s">
        <v>252</v>
      </c>
    </row>
    <row r="3" spans="2:61">
      <c r="B3" s="57" t="s">
        <v>181</v>
      </c>
      <c r="C3" s="78" t="s">
        <v>253</v>
      </c>
    </row>
    <row r="4" spans="2:61">
      <c r="B4" s="57" t="s">
        <v>182</v>
      </c>
      <c r="C4" s="78">
        <v>2144</v>
      </c>
    </row>
    <row r="6" spans="2:61" ht="26.25" customHeight="1">
      <c r="B6" s="159" t="s">
        <v>212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61" s="3" customFormat="1" ht="63">
      <c r="B7" s="23" t="s">
        <v>117</v>
      </c>
      <c r="C7" s="31" t="s">
        <v>224</v>
      </c>
      <c r="D7" s="31" t="s">
        <v>44</v>
      </c>
      <c r="E7" s="31" t="s">
        <v>118</v>
      </c>
      <c r="F7" s="31" t="s">
        <v>15</v>
      </c>
      <c r="G7" s="31" t="s">
        <v>103</v>
      </c>
      <c r="H7" s="31" t="s">
        <v>64</v>
      </c>
      <c r="I7" s="31" t="s">
        <v>18</v>
      </c>
      <c r="J7" s="31" t="s">
        <v>102</v>
      </c>
      <c r="K7" s="14" t="s">
        <v>35</v>
      </c>
      <c r="L7" s="71" t="s">
        <v>19</v>
      </c>
      <c r="M7" s="31" t="s">
        <v>234</v>
      </c>
      <c r="N7" s="31" t="s">
        <v>233</v>
      </c>
      <c r="O7" s="31" t="s">
        <v>111</v>
      </c>
      <c r="P7" s="31" t="s">
        <v>183</v>
      </c>
      <c r="Q7" s="32" t="s">
        <v>185</v>
      </c>
      <c r="R7" s="1"/>
      <c r="S7" s="1"/>
      <c r="T7" s="1"/>
      <c r="U7" s="1"/>
      <c r="V7" s="1"/>
      <c r="W7" s="1"/>
      <c r="BH7" s="3" t="s">
        <v>163</v>
      </c>
      <c r="BI7" s="3" t="s">
        <v>165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241</v>
      </c>
      <c r="N8" s="17"/>
      <c r="O8" s="17" t="s">
        <v>237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161</v>
      </c>
      <c r="BI8" s="3" t="s">
        <v>164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114</v>
      </c>
      <c r="R9" s="1"/>
      <c r="S9" s="1"/>
      <c r="T9" s="1"/>
      <c r="U9" s="1"/>
      <c r="V9" s="1"/>
      <c r="W9" s="1"/>
      <c r="BH9" s="4" t="s">
        <v>162</v>
      </c>
      <c r="BI9" s="4" t="s">
        <v>166</v>
      </c>
    </row>
    <row r="10" spans="2:61" s="4" customFormat="1" ht="18" customHeight="1">
      <c r="B10" s="79" t="s">
        <v>40</v>
      </c>
      <c r="C10" s="80"/>
      <c r="D10" s="80"/>
      <c r="E10" s="80"/>
      <c r="F10" s="80"/>
      <c r="G10" s="80"/>
      <c r="H10" s="80"/>
      <c r="I10" s="88">
        <v>6.224270619585111</v>
      </c>
      <c r="J10" s="80"/>
      <c r="K10" s="80"/>
      <c r="L10" s="103">
        <v>2.6886577306113022E-2</v>
      </c>
      <c r="M10" s="88"/>
      <c r="N10" s="90"/>
      <c r="O10" s="88">
        <f>O11+O111</f>
        <v>7282.9599499999986</v>
      </c>
      <c r="P10" s="89">
        <f>O10/$O$10</f>
        <v>1</v>
      </c>
      <c r="Q10" s="89">
        <f>O10/'סכום נכסי הקרן'!$C$42</f>
        <v>3.0488259488222997E-2</v>
      </c>
      <c r="R10" s="1"/>
      <c r="S10" s="1"/>
      <c r="T10" s="1"/>
      <c r="U10" s="1"/>
      <c r="V10" s="1"/>
      <c r="W10" s="1"/>
      <c r="BH10" s="1" t="s">
        <v>29</v>
      </c>
      <c r="BI10" s="4" t="s">
        <v>167</v>
      </c>
    </row>
    <row r="11" spans="2:61" ht="21.75" customHeight="1">
      <c r="B11" s="81" t="s">
        <v>38</v>
      </c>
      <c r="C11" s="82"/>
      <c r="D11" s="82"/>
      <c r="E11" s="82"/>
      <c r="F11" s="82"/>
      <c r="G11" s="82"/>
      <c r="H11" s="82"/>
      <c r="I11" s="91">
        <v>6.3740891834826314</v>
      </c>
      <c r="J11" s="82"/>
      <c r="K11" s="82"/>
      <c r="L11" s="104">
        <v>2.4755991573187169E-2</v>
      </c>
      <c r="M11" s="91"/>
      <c r="N11" s="93"/>
      <c r="O11" s="91">
        <f>O12+O33</f>
        <v>6107.034889999999</v>
      </c>
      <c r="P11" s="92">
        <f t="shared" ref="P11:P74" si="0">O11/$O$10</f>
        <v>0.83853748090431279</v>
      </c>
      <c r="Q11" s="92">
        <f>O11/'סכום נכסי הקרן'!$C$42</f>
        <v>2.5565548308411526E-2</v>
      </c>
      <c r="BI11" s="1" t="s">
        <v>173</v>
      </c>
    </row>
    <row r="12" spans="2:61">
      <c r="B12" s="102" t="s">
        <v>36</v>
      </c>
      <c r="C12" s="82"/>
      <c r="D12" s="82"/>
      <c r="E12" s="82"/>
      <c r="F12" s="82"/>
      <c r="G12" s="82"/>
      <c r="H12" s="82"/>
      <c r="I12" s="91">
        <v>8.2441348488607318</v>
      </c>
      <c r="J12" s="82"/>
      <c r="K12" s="82"/>
      <c r="L12" s="104">
        <v>2.0654600921271159E-2</v>
      </c>
      <c r="M12" s="91"/>
      <c r="N12" s="93"/>
      <c r="O12" s="91">
        <f>SUM(O13:O31)</f>
        <v>2852.6862699999992</v>
      </c>
      <c r="P12" s="92">
        <f t="shared" si="0"/>
        <v>0.39169325241174774</v>
      </c>
      <c r="Q12" s="92">
        <f>O12/'סכום נכסי הקרן'!$C$42</f>
        <v>1.1942045519315393E-2</v>
      </c>
      <c r="R12" s="87"/>
      <c r="BI12" s="1" t="s">
        <v>168</v>
      </c>
    </row>
    <row r="13" spans="2:61">
      <c r="B13" s="87" t="s">
        <v>1562</v>
      </c>
      <c r="C13" s="97" t="s">
        <v>1494</v>
      </c>
      <c r="D13" s="84">
        <v>6028</v>
      </c>
      <c r="E13" s="84"/>
      <c r="F13" s="84" t="s">
        <v>1159</v>
      </c>
      <c r="G13" s="106">
        <v>43100</v>
      </c>
      <c r="H13" s="84"/>
      <c r="I13" s="94">
        <v>10.000000000000002</v>
      </c>
      <c r="J13" s="97" t="s">
        <v>165</v>
      </c>
      <c r="K13" s="98">
        <v>2.8500000000000001E-2</v>
      </c>
      <c r="L13" s="98">
        <v>2.8500000000000001E-2</v>
      </c>
      <c r="M13" s="94">
        <v>76273.139999999985</v>
      </c>
      <c r="N13" s="96">
        <v>102.45</v>
      </c>
      <c r="O13" s="94">
        <f>78.14183-0.01322</f>
        <v>78.128609999999995</v>
      </c>
      <c r="P13" s="95">
        <f t="shared" si="0"/>
        <v>1.0727590229299559E-2</v>
      </c>
      <c r="Q13" s="95">
        <f>O13/'סכום נכסי הקרן'!$C$42</f>
        <v>3.2706555459421059E-4</v>
      </c>
      <c r="R13" s="87"/>
      <c r="BI13" s="1" t="s">
        <v>169</v>
      </c>
    </row>
    <row r="14" spans="2:61">
      <c r="B14" s="87" t="s">
        <v>1562</v>
      </c>
      <c r="C14" s="97" t="s">
        <v>1494</v>
      </c>
      <c r="D14" s="84">
        <v>6869</v>
      </c>
      <c r="E14" s="84"/>
      <c r="F14" s="84" t="s">
        <v>1159</v>
      </c>
      <c r="G14" s="106">
        <v>43555</v>
      </c>
      <c r="H14" s="84"/>
      <c r="I14" s="94">
        <v>4.99</v>
      </c>
      <c r="J14" s="97" t="s">
        <v>165</v>
      </c>
      <c r="K14" s="98">
        <v>3.6199999999999996E-2</v>
      </c>
      <c r="L14" s="98">
        <v>3.6199999999999996E-2</v>
      </c>
      <c r="M14" s="94">
        <v>20818.089999999997</v>
      </c>
      <c r="N14" s="96">
        <v>110.78</v>
      </c>
      <c r="O14" s="94">
        <v>23.062279999999994</v>
      </c>
      <c r="P14" s="95">
        <f t="shared" si="0"/>
        <v>3.1666081041678662E-3</v>
      </c>
      <c r="Q14" s="95">
        <f>O14/'סכום נכסי הקרן'!$C$42</f>
        <v>9.6544369577379784E-5</v>
      </c>
      <c r="R14" s="87"/>
      <c r="BI14" s="1" t="s">
        <v>170</v>
      </c>
    </row>
    <row r="15" spans="2:61">
      <c r="B15" s="87" t="s">
        <v>1562</v>
      </c>
      <c r="C15" s="97" t="s">
        <v>1494</v>
      </c>
      <c r="D15" s="84">
        <v>6870</v>
      </c>
      <c r="E15" s="84"/>
      <c r="F15" s="84" t="s">
        <v>1159</v>
      </c>
      <c r="G15" s="106">
        <v>43555</v>
      </c>
      <c r="H15" s="84"/>
      <c r="I15" s="94">
        <v>6.9599999999999982</v>
      </c>
      <c r="J15" s="97" t="s">
        <v>165</v>
      </c>
      <c r="K15" s="98">
        <v>1.5499999999999996E-2</v>
      </c>
      <c r="L15" s="98">
        <v>1.5499999999999996E-2</v>
      </c>
      <c r="M15" s="94">
        <v>194450.05999999997</v>
      </c>
      <c r="N15" s="96">
        <v>101.44</v>
      </c>
      <c r="O15" s="94">
        <v>197.25014000000002</v>
      </c>
      <c r="P15" s="95">
        <f t="shared" si="0"/>
        <v>2.7083787547122245E-2</v>
      </c>
      <c r="Q15" s="95">
        <f>O15/'סכום נכסי הקרן'!$C$42</f>
        <v>8.2573754266056568E-4</v>
      </c>
      <c r="R15" s="87"/>
      <c r="BI15" s="1" t="s">
        <v>172</v>
      </c>
    </row>
    <row r="16" spans="2:61">
      <c r="B16" s="87" t="s">
        <v>1562</v>
      </c>
      <c r="C16" s="97" t="s">
        <v>1494</v>
      </c>
      <c r="D16" s="84">
        <v>6868</v>
      </c>
      <c r="E16" s="84"/>
      <c r="F16" s="84" t="s">
        <v>1159</v>
      </c>
      <c r="G16" s="106">
        <v>43555</v>
      </c>
      <c r="H16" s="84"/>
      <c r="I16" s="94">
        <v>7.0699999999999994</v>
      </c>
      <c r="J16" s="97" t="s">
        <v>165</v>
      </c>
      <c r="K16" s="98">
        <v>1.7299999999999996E-2</v>
      </c>
      <c r="L16" s="98">
        <v>1.7299999999999996E-2</v>
      </c>
      <c r="M16" s="94">
        <v>36014.389999999992</v>
      </c>
      <c r="N16" s="96">
        <v>110.56</v>
      </c>
      <c r="O16" s="94">
        <v>39.817499999999995</v>
      </c>
      <c r="P16" s="95">
        <f t="shared" si="0"/>
        <v>5.4672139176050261E-3</v>
      </c>
      <c r="Q16" s="95">
        <f>O16/'סכום נכסי הקרן'!$C$42</f>
        <v>1.6668583659756625E-4</v>
      </c>
      <c r="R16" s="87"/>
      <c r="BI16" s="1" t="s">
        <v>171</v>
      </c>
    </row>
    <row r="17" spans="2:61">
      <c r="B17" s="87" t="s">
        <v>1562</v>
      </c>
      <c r="C17" s="97" t="s">
        <v>1494</v>
      </c>
      <c r="D17" s="84">
        <v>6867</v>
      </c>
      <c r="E17" s="84"/>
      <c r="F17" s="84" t="s">
        <v>1159</v>
      </c>
      <c r="G17" s="106">
        <v>43555</v>
      </c>
      <c r="H17" s="84"/>
      <c r="I17" s="94">
        <v>6.9999999999999982</v>
      </c>
      <c r="J17" s="97" t="s">
        <v>165</v>
      </c>
      <c r="K17" s="98">
        <v>1.0799999999999999E-2</v>
      </c>
      <c r="L17" s="98">
        <v>1.0799999999999999E-2</v>
      </c>
      <c r="M17" s="94">
        <v>89892.49</v>
      </c>
      <c r="N17" s="96">
        <v>108.73</v>
      </c>
      <c r="O17" s="94">
        <v>97.740100000000012</v>
      </c>
      <c r="P17" s="95">
        <f t="shared" si="0"/>
        <v>1.3420381365683609E-2</v>
      </c>
      <c r="Q17" s="95">
        <f>O17/'סכום נכסי הקרן'!$C$42</f>
        <v>4.0916406950787439E-4</v>
      </c>
      <c r="R17" s="87"/>
      <c r="BI17" s="1" t="s">
        <v>174</v>
      </c>
    </row>
    <row r="18" spans="2:61">
      <c r="B18" s="87" t="s">
        <v>1562</v>
      </c>
      <c r="C18" s="97" t="s">
        <v>1494</v>
      </c>
      <c r="D18" s="84">
        <v>6866</v>
      </c>
      <c r="E18" s="84"/>
      <c r="F18" s="84" t="s">
        <v>1159</v>
      </c>
      <c r="G18" s="106">
        <v>43555</v>
      </c>
      <c r="H18" s="84"/>
      <c r="I18" s="94">
        <v>7.63</v>
      </c>
      <c r="J18" s="97" t="s">
        <v>165</v>
      </c>
      <c r="K18" s="98">
        <v>4.5999999999999999E-3</v>
      </c>
      <c r="L18" s="98">
        <v>4.5999999999999999E-3</v>
      </c>
      <c r="M18" s="94">
        <v>125120.88999999998</v>
      </c>
      <c r="N18" s="96">
        <v>108.11</v>
      </c>
      <c r="O18" s="94">
        <v>135.26818</v>
      </c>
      <c r="P18" s="95">
        <f t="shared" si="0"/>
        <v>1.8573242325738731E-2</v>
      </c>
      <c r="Q18" s="95">
        <f>O18/'סכום נכסי הקרן'!$C$42</f>
        <v>5.662658315647688E-4</v>
      </c>
      <c r="R18" s="87"/>
      <c r="BI18" s="1" t="s">
        <v>175</v>
      </c>
    </row>
    <row r="19" spans="2:61">
      <c r="B19" s="87" t="s">
        <v>1562</v>
      </c>
      <c r="C19" s="97" t="s">
        <v>1494</v>
      </c>
      <c r="D19" s="84">
        <v>6865</v>
      </c>
      <c r="E19" s="84"/>
      <c r="F19" s="84" t="s">
        <v>1159</v>
      </c>
      <c r="G19" s="106">
        <v>43555</v>
      </c>
      <c r="H19" s="84"/>
      <c r="I19" s="94">
        <v>5.0200000000000005</v>
      </c>
      <c r="J19" s="97" t="s">
        <v>165</v>
      </c>
      <c r="K19" s="98">
        <v>1.9000000000000003E-2</v>
      </c>
      <c r="L19" s="98">
        <v>1.9000000000000003E-2</v>
      </c>
      <c r="M19" s="94">
        <v>90046.369999999981</v>
      </c>
      <c r="N19" s="96">
        <v>116.02</v>
      </c>
      <c r="O19" s="94">
        <v>104.47180999999998</v>
      </c>
      <c r="P19" s="95">
        <f t="shared" si="0"/>
        <v>1.4344690993392048E-2</v>
      </c>
      <c r="Q19" s="95">
        <f>O19/'סכום נכסי הקרן'!$C$42</f>
        <v>4.3734466128491202E-4</v>
      </c>
      <c r="R19" s="87"/>
      <c r="BI19" s="1" t="s">
        <v>176</v>
      </c>
    </row>
    <row r="20" spans="2:61">
      <c r="B20" s="87" t="s">
        <v>1562</v>
      </c>
      <c r="C20" s="97" t="s">
        <v>1494</v>
      </c>
      <c r="D20" s="84">
        <v>5212</v>
      </c>
      <c r="E20" s="84"/>
      <c r="F20" s="84" t="s">
        <v>1159</v>
      </c>
      <c r="G20" s="106">
        <v>42643</v>
      </c>
      <c r="H20" s="84"/>
      <c r="I20" s="94">
        <v>8.7600000000000016</v>
      </c>
      <c r="J20" s="97" t="s">
        <v>165</v>
      </c>
      <c r="K20" s="98">
        <v>2.0600000000000004E-2</v>
      </c>
      <c r="L20" s="98">
        <v>2.0600000000000004E-2</v>
      </c>
      <c r="M20" s="94">
        <v>173465.85999999996</v>
      </c>
      <c r="N20" s="96">
        <v>99.57</v>
      </c>
      <c r="O20" s="94">
        <f>172.71996-0.02294</f>
        <v>172.69701999999998</v>
      </c>
      <c r="P20" s="95">
        <f t="shared" si="0"/>
        <v>2.3712476957943453E-2</v>
      </c>
      <c r="Q20" s="95">
        <f>O20/'סכום נכסי הקרן'!$C$42</f>
        <v>7.2295215060228868E-4</v>
      </c>
      <c r="R20" s="87"/>
      <c r="BI20" s="1" t="s">
        <v>177</v>
      </c>
    </row>
    <row r="21" spans="2:61">
      <c r="B21" s="87" t="s">
        <v>1562</v>
      </c>
      <c r="C21" s="97" t="s">
        <v>1494</v>
      </c>
      <c r="D21" s="84">
        <v>5211</v>
      </c>
      <c r="E21" s="84"/>
      <c r="F21" s="84" t="s">
        <v>1159</v>
      </c>
      <c r="G21" s="106">
        <v>42643</v>
      </c>
      <c r="H21" s="84"/>
      <c r="I21" s="94">
        <v>5.8</v>
      </c>
      <c r="J21" s="97" t="s">
        <v>165</v>
      </c>
      <c r="K21" s="98">
        <v>3.0399999999999996E-2</v>
      </c>
      <c r="L21" s="98">
        <v>3.0399999999999996E-2</v>
      </c>
      <c r="M21" s="94">
        <v>167919.48999999996</v>
      </c>
      <c r="N21" s="96">
        <v>104.82</v>
      </c>
      <c r="O21" s="94">
        <v>176.01320999999996</v>
      </c>
      <c r="P21" s="95">
        <f t="shared" si="0"/>
        <v>2.4167812429066012E-2</v>
      </c>
      <c r="Q21" s="95">
        <f>O21/'סכום נכסי הקרן'!$C$42</f>
        <v>7.368345366000655E-4</v>
      </c>
      <c r="R21" s="87"/>
      <c r="BI21" s="1" t="s">
        <v>178</v>
      </c>
    </row>
    <row r="22" spans="2:61">
      <c r="B22" s="87" t="s">
        <v>1562</v>
      </c>
      <c r="C22" s="97" t="s">
        <v>1494</v>
      </c>
      <c r="D22" s="84">
        <v>6027</v>
      </c>
      <c r="E22" s="84"/>
      <c r="F22" s="84" t="s">
        <v>1159</v>
      </c>
      <c r="G22" s="106">
        <v>43100</v>
      </c>
      <c r="H22" s="84"/>
      <c r="I22" s="94">
        <v>10.33</v>
      </c>
      <c r="J22" s="97" t="s">
        <v>165</v>
      </c>
      <c r="K22" s="98">
        <v>2.0500000000000004E-2</v>
      </c>
      <c r="L22" s="98">
        <v>2.0500000000000004E-2</v>
      </c>
      <c r="M22" s="94">
        <v>287643.59999999992</v>
      </c>
      <c r="N22" s="96">
        <v>101.37</v>
      </c>
      <c r="O22" s="94">
        <v>291.58431999999993</v>
      </c>
      <c r="P22" s="95">
        <f t="shared" si="0"/>
        <v>4.0036512901598473E-2</v>
      </c>
      <c r="Q22" s="95">
        <f>O22/'סכום נכסי הקרן'!$C$42</f>
        <v>1.2206435943475221E-3</v>
      </c>
      <c r="BI22" s="1" t="s">
        <v>29</v>
      </c>
    </row>
    <row r="23" spans="2:61">
      <c r="B23" s="87" t="s">
        <v>1562</v>
      </c>
      <c r="C23" s="97" t="s">
        <v>1494</v>
      </c>
      <c r="D23" s="84">
        <v>5025</v>
      </c>
      <c r="E23" s="84"/>
      <c r="F23" s="84" t="s">
        <v>1159</v>
      </c>
      <c r="G23" s="106">
        <v>42551</v>
      </c>
      <c r="H23" s="84"/>
      <c r="I23" s="94">
        <v>9.7200000000000006</v>
      </c>
      <c r="J23" s="97" t="s">
        <v>165</v>
      </c>
      <c r="K23" s="98">
        <v>2.3300000000000001E-2</v>
      </c>
      <c r="L23" s="98">
        <v>2.3300000000000001E-2</v>
      </c>
      <c r="M23" s="94">
        <v>165451.73999999996</v>
      </c>
      <c r="N23" s="96">
        <v>98.01</v>
      </c>
      <c r="O23" s="94">
        <f>162.15925-0.00142</f>
        <v>162.15782999999999</v>
      </c>
      <c r="P23" s="95">
        <f t="shared" si="0"/>
        <v>2.2265374396298859E-2</v>
      </c>
      <c r="Q23" s="95">
        <f>O23/'סכום נכסי הקרן'!$C$42</f>
        <v>6.7883251219679603E-4</v>
      </c>
      <c r="R23" s="94"/>
    </row>
    <row r="24" spans="2:61">
      <c r="B24" s="87" t="s">
        <v>1562</v>
      </c>
      <c r="C24" s="97" t="s">
        <v>1494</v>
      </c>
      <c r="D24" s="84">
        <v>5024</v>
      </c>
      <c r="E24" s="84"/>
      <c r="F24" s="84" t="s">
        <v>1159</v>
      </c>
      <c r="G24" s="106">
        <v>42551</v>
      </c>
      <c r="H24" s="84"/>
      <c r="I24" s="94">
        <v>6.9799999999999995</v>
      </c>
      <c r="J24" s="97" t="s">
        <v>165</v>
      </c>
      <c r="K24" s="98">
        <v>3.1899999999999998E-2</v>
      </c>
      <c r="L24" s="98">
        <v>3.1899999999999998E-2</v>
      </c>
      <c r="M24" s="94">
        <v>129512.83999999998</v>
      </c>
      <c r="N24" s="96">
        <v>108.3</v>
      </c>
      <c r="O24" s="94">
        <f>140.26241-0.00316</f>
        <v>140.25924999999998</v>
      </c>
      <c r="P24" s="95">
        <f t="shared" si="0"/>
        <v>1.9258550227232819E-2</v>
      </c>
      <c r="Q24" s="95">
        <f>O24/'סכום נכסי הקרן'!$C$42</f>
        <v>5.8715967669485008E-4</v>
      </c>
      <c r="R24" s="94"/>
    </row>
    <row r="25" spans="2:61">
      <c r="B25" s="87" t="s">
        <v>1562</v>
      </c>
      <c r="C25" s="97" t="s">
        <v>1494</v>
      </c>
      <c r="D25" s="84">
        <v>6026</v>
      </c>
      <c r="E25" s="84"/>
      <c r="F25" s="84" t="s">
        <v>1159</v>
      </c>
      <c r="G25" s="106">
        <v>43100</v>
      </c>
      <c r="H25" s="84"/>
      <c r="I25" s="94">
        <v>7.7</v>
      </c>
      <c r="J25" s="97" t="s">
        <v>165</v>
      </c>
      <c r="K25" s="98">
        <v>3.0200000000000001E-2</v>
      </c>
      <c r="L25" s="98">
        <v>3.0200000000000001E-2</v>
      </c>
      <c r="M25" s="94">
        <v>387660.03</v>
      </c>
      <c r="N25" s="96">
        <v>106</v>
      </c>
      <c r="O25" s="94">
        <v>410.91962999999993</v>
      </c>
      <c r="P25" s="95">
        <f t="shared" si="0"/>
        <v>5.6422063669318956E-2</v>
      </c>
      <c r="Q25" s="95">
        <f>O25/'סכום נכסי הקרן'!$C$42</f>
        <v>1.7202105180112357E-3</v>
      </c>
      <c r="R25" s="94"/>
    </row>
    <row r="26" spans="2:61">
      <c r="B26" s="87" t="s">
        <v>1562</v>
      </c>
      <c r="C26" s="97" t="s">
        <v>1494</v>
      </c>
      <c r="D26" s="84">
        <v>5023</v>
      </c>
      <c r="E26" s="84"/>
      <c r="F26" s="84" t="s">
        <v>1159</v>
      </c>
      <c r="G26" s="106">
        <v>42551</v>
      </c>
      <c r="H26" s="84"/>
      <c r="I26" s="94">
        <v>9.8699999999999992</v>
      </c>
      <c r="J26" s="97" t="s">
        <v>165</v>
      </c>
      <c r="K26" s="98">
        <v>1.5199999999999998E-2</v>
      </c>
      <c r="L26" s="98">
        <v>1.5199999999999998E-2</v>
      </c>
      <c r="M26" s="94">
        <v>148290.80999999997</v>
      </c>
      <c r="N26" s="96">
        <v>103.21</v>
      </c>
      <c r="O26" s="94">
        <f>153.05087-0.01411</f>
        <v>153.03676000000002</v>
      </c>
      <c r="P26" s="95">
        <f t="shared" si="0"/>
        <v>2.1012989368422937E-2</v>
      </c>
      <c r="Q26" s="95">
        <f>O26/'סכום נכסי הקרן'!$C$42</f>
        <v>6.4064947248774953E-4</v>
      </c>
      <c r="R26" s="94"/>
    </row>
    <row r="27" spans="2:61">
      <c r="B27" s="87" t="s">
        <v>1562</v>
      </c>
      <c r="C27" s="97" t="s">
        <v>1494</v>
      </c>
      <c r="D27" s="84">
        <v>5210</v>
      </c>
      <c r="E27" s="84"/>
      <c r="F27" s="84" t="s">
        <v>1159</v>
      </c>
      <c r="G27" s="106">
        <v>42643</v>
      </c>
      <c r="H27" s="84"/>
      <c r="I27" s="94">
        <v>9.0500000000000007</v>
      </c>
      <c r="J27" s="97" t="s">
        <v>165</v>
      </c>
      <c r="K27" s="98">
        <v>7.7000000000000011E-3</v>
      </c>
      <c r="L27" s="98">
        <v>7.7000000000000011E-3</v>
      </c>
      <c r="M27" s="94">
        <v>125861.36999999998</v>
      </c>
      <c r="N27" s="96">
        <v>109.32</v>
      </c>
      <c r="O27" s="94">
        <f>137.59159-0.00426</f>
        <v>137.58733000000001</v>
      </c>
      <c r="P27" s="95">
        <f t="shared" si="0"/>
        <v>1.8891677414757724E-2</v>
      </c>
      <c r="Q27" s="95">
        <f>O27/'סכום נכסי הקרן'!$C$42</f>
        <v>5.7597436318893524E-4</v>
      </c>
      <c r="R27" s="94"/>
    </row>
    <row r="28" spans="2:61">
      <c r="B28" s="87" t="s">
        <v>1562</v>
      </c>
      <c r="C28" s="97" t="s">
        <v>1494</v>
      </c>
      <c r="D28" s="84">
        <v>6025</v>
      </c>
      <c r="E28" s="84"/>
      <c r="F28" s="84" t="s">
        <v>1159</v>
      </c>
      <c r="G28" s="106">
        <v>43100</v>
      </c>
      <c r="H28" s="84"/>
      <c r="I28" s="94">
        <v>10.409999999999997</v>
      </c>
      <c r="J28" s="97" t="s">
        <v>165</v>
      </c>
      <c r="K28" s="98">
        <v>1.6699999999999996E-2</v>
      </c>
      <c r="L28" s="98">
        <v>1.6699999999999996E-2</v>
      </c>
      <c r="M28" s="94">
        <v>160691.77999999997</v>
      </c>
      <c r="N28" s="96">
        <v>107.99</v>
      </c>
      <c r="O28" s="94">
        <f>173.53104-0.01486</f>
        <v>173.51617999999999</v>
      </c>
      <c r="P28" s="95">
        <f t="shared" si="0"/>
        <v>2.3824953204637633E-2</v>
      </c>
      <c r="Q28" s="95">
        <f>O28/'סכום נכסי הקרן'!$C$42</f>
        <v>7.2638135559776218E-4</v>
      </c>
      <c r="R28" s="94"/>
    </row>
    <row r="29" spans="2:61">
      <c r="B29" s="87" t="s">
        <v>1562</v>
      </c>
      <c r="C29" s="97" t="s">
        <v>1494</v>
      </c>
      <c r="D29" s="84">
        <v>5022</v>
      </c>
      <c r="E29" s="84"/>
      <c r="F29" s="84" t="s">
        <v>1159</v>
      </c>
      <c r="G29" s="106">
        <v>42551</v>
      </c>
      <c r="H29" s="84"/>
      <c r="I29" s="94">
        <v>8.129999999999999</v>
      </c>
      <c r="J29" s="97" t="s">
        <v>165</v>
      </c>
      <c r="K29" s="98">
        <v>2.1499999999999998E-2</v>
      </c>
      <c r="L29" s="98">
        <v>2.1499999999999998E-2</v>
      </c>
      <c r="M29" s="94">
        <v>109634.80999999998</v>
      </c>
      <c r="N29" s="96">
        <v>106.26</v>
      </c>
      <c r="O29" s="94">
        <f>116.49792-0.01152</f>
        <v>116.48639999999999</v>
      </c>
      <c r="P29" s="95">
        <f t="shared" si="0"/>
        <v>1.5994376022897119E-2</v>
      </c>
      <c r="Q29" s="95">
        <f>O29/'סכום נכסי הקרן'!$C$42</f>
        <v>4.8764068653829953E-4</v>
      </c>
      <c r="R29" s="94"/>
    </row>
    <row r="30" spans="2:61">
      <c r="B30" s="87" t="s">
        <v>1562</v>
      </c>
      <c r="C30" s="97" t="s">
        <v>1494</v>
      </c>
      <c r="D30" s="84">
        <v>6024</v>
      </c>
      <c r="E30" s="84"/>
      <c r="F30" s="84" t="s">
        <v>1159</v>
      </c>
      <c r="G30" s="106">
        <v>43100</v>
      </c>
      <c r="H30" s="84"/>
      <c r="I30" s="94">
        <v>8.8500000000000014</v>
      </c>
      <c r="J30" s="97" t="s">
        <v>165</v>
      </c>
      <c r="K30" s="98">
        <v>1.6200000000000003E-2</v>
      </c>
      <c r="L30" s="98">
        <v>1.6200000000000003E-2</v>
      </c>
      <c r="M30" s="94">
        <v>126180.99999999999</v>
      </c>
      <c r="N30" s="96">
        <v>111.68</v>
      </c>
      <c r="O30" s="94">
        <f>140.91896-0.01714</f>
        <v>140.90181999999999</v>
      </c>
      <c r="P30" s="95">
        <f t="shared" si="0"/>
        <v>1.9346779464302837E-2</v>
      </c>
      <c r="Q30" s="95">
        <f>O30/'סכום נכסי הקרן'!$C$42</f>
        <v>5.8984963256908873E-4</v>
      </c>
      <c r="R30" s="94"/>
    </row>
    <row r="31" spans="2:61">
      <c r="B31" s="87" t="s">
        <v>1562</v>
      </c>
      <c r="C31" s="97" t="s">
        <v>1494</v>
      </c>
      <c r="D31" s="84">
        <v>5209</v>
      </c>
      <c r="E31" s="84"/>
      <c r="F31" s="84" t="s">
        <v>1159</v>
      </c>
      <c r="G31" s="106">
        <v>42643</v>
      </c>
      <c r="H31" s="84"/>
      <c r="I31" s="94">
        <v>6.9300000000000006</v>
      </c>
      <c r="J31" s="97" t="s">
        <v>165</v>
      </c>
      <c r="K31" s="98">
        <v>1.8000000000000002E-2</v>
      </c>
      <c r="L31" s="98">
        <v>1.8000000000000002E-2</v>
      </c>
      <c r="M31" s="94">
        <v>94943.669999999984</v>
      </c>
      <c r="N31" s="96">
        <v>107.22</v>
      </c>
      <c r="O31" s="94">
        <f>101.79863-0.01073</f>
        <v>101.78790000000001</v>
      </c>
      <c r="P31" s="95">
        <f t="shared" si="0"/>
        <v>1.3976171872261913E-2</v>
      </c>
      <c r="Q31" s="95">
        <f>O31/'סכום נכסי הקרן'!$C$42</f>
        <v>4.2610915469352463E-4</v>
      </c>
      <c r="R31" s="94"/>
    </row>
    <row r="32" spans="2:61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4"/>
      <c r="N32" s="96"/>
      <c r="O32" s="84"/>
      <c r="P32" s="95"/>
      <c r="Q32" s="84"/>
      <c r="R32" s="94"/>
    </row>
    <row r="33" spans="2:17">
      <c r="B33" s="102" t="s">
        <v>37</v>
      </c>
      <c r="C33" s="82"/>
      <c r="D33" s="82"/>
      <c r="E33" s="82"/>
      <c r="F33" s="82"/>
      <c r="G33" s="82"/>
      <c r="H33" s="82"/>
      <c r="I33" s="91">
        <v>4.7347284255656419</v>
      </c>
      <c r="J33" s="82"/>
      <c r="K33" s="82"/>
      <c r="L33" s="104">
        <v>2.8351443284404691E-2</v>
      </c>
      <c r="M33" s="91"/>
      <c r="N33" s="93"/>
      <c r="O33" s="91">
        <f>SUM(O34:O109)</f>
        <v>3254.3486199999993</v>
      </c>
      <c r="P33" s="92">
        <f t="shared" si="0"/>
        <v>0.446844228492565</v>
      </c>
      <c r="Q33" s="92">
        <f>O33/'סכום נכסי הקרן'!$C$42</f>
        <v>1.362350278909613E-2</v>
      </c>
    </row>
    <row r="34" spans="2:17">
      <c r="B34" s="87" t="s">
        <v>1563</v>
      </c>
      <c r="C34" s="97" t="s">
        <v>1494</v>
      </c>
      <c r="D34" s="84">
        <v>7202</v>
      </c>
      <c r="E34" s="84"/>
      <c r="F34" s="84" t="s">
        <v>1492</v>
      </c>
      <c r="G34" s="143">
        <v>43734</v>
      </c>
      <c r="H34" s="84" t="s">
        <v>1493</v>
      </c>
      <c r="I34" s="94">
        <v>2.5299999999999989</v>
      </c>
      <c r="J34" s="97" t="s">
        <v>165</v>
      </c>
      <c r="K34" s="98">
        <v>2.2499999999999999E-2</v>
      </c>
      <c r="L34" s="98">
        <v>2.2799999999999994E-2</v>
      </c>
      <c r="M34" s="94">
        <v>53599.16</v>
      </c>
      <c r="N34" s="96">
        <v>100</v>
      </c>
      <c r="O34" s="94">
        <v>53.599160000000005</v>
      </c>
      <c r="P34" s="95">
        <f t="shared" si="0"/>
        <v>7.3595296923196747E-3</v>
      </c>
      <c r="Q34" s="95">
        <f>O34/'סכום נכסי הקרן'!$C$42</f>
        <v>2.2437925097072418E-4</v>
      </c>
    </row>
    <row r="35" spans="2:17">
      <c r="B35" s="87" t="s">
        <v>1563</v>
      </c>
      <c r="C35" s="97" t="s">
        <v>1494</v>
      </c>
      <c r="D35" s="84">
        <v>7203</v>
      </c>
      <c r="E35" s="84"/>
      <c r="F35" s="84" t="s">
        <v>1492</v>
      </c>
      <c r="G35" s="144">
        <v>43734</v>
      </c>
      <c r="H35" s="84" t="s">
        <v>1493</v>
      </c>
      <c r="I35" s="94">
        <v>0.65999999999999992</v>
      </c>
      <c r="J35" s="97" t="s">
        <v>165</v>
      </c>
      <c r="K35" s="98">
        <v>0.02</v>
      </c>
      <c r="L35" s="98">
        <v>2.06E-2</v>
      </c>
      <c r="M35" s="94">
        <v>42557.76999999999</v>
      </c>
      <c r="N35" s="96">
        <v>100</v>
      </c>
      <c r="O35" s="94">
        <v>42.557769999999991</v>
      </c>
      <c r="P35" s="95">
        <f t="shared" si="0"/>
        <v>5.8434716505615276E-3</v>
      </c>
      <c r="Q35" s="95">
        <f>O35/'סכום נכסי הקרן'!$C$42</f>
        <v>1.7815727999439458E-4</v>
      </c>
    </row>
    <row r="36" spans="2:17">
      <c r="B36" s="87" t="s">
        <v>1564</v>
      </c>
      <c r="C36" s="97" t="s">
        <v>1494</v>
      </c>
      <c r="D36" s="84">
        <v>6686</v>
      </c>
      <c r="E36" s="84"/>
      <c r="F36" s="84" t="s">
        <v>1492</v>
      </c>
      <c r="G36" s="106">
        <v>43471</v>
      </c>
      <c r="H36" s="84" t="s">
        <v>1493</v>
      </c>
      <c r="I36" s="94">
        <v>1.2499999999999998</v>
      </c>
      <c r="J36" s="97" t="s">
        <v>165</v>
      </c>
      <c r="K36" s="98">
        <v>2.2970000000000001E-2</v>
      </c>
      <c r="L36" s="98">
        <v>1.3699999999999999E-2</v>
      </c>
      <c r="M36" s="94">
        <v>191849.99999999997</v>
      </c>
      <c r="N36" s="96">
        <v>101.7</v>
      </c>
      <c r="O36" s="94">
        <v>195.11145000000002</v>
      </c>
      <c r="P36" s="95">
        <f t="shared" si="0"/>
        <v>2.6790130845083124E-2</v>
      </c>
      <c r="Q36" s="95">
        <f>O36/'סכום נכסי הקרן'!$C$42</f>
        <v>8.1678446092834115E-4</v>
      </c>
    </row>
    <row r="37" spans="2:17">
      <c r="B37" s="87" t="s">
        <v>1565</v>
      </c>
      <c r="C37" s="97" t="s">
        <v>1495</v>
      </c>
      <c r="D37" s="84" t="s">
        <v>1496</v>
      </c>
      <c r="E37" s="84"/>
      <c r="F37" s="84" t="s">
        <v>521</v>
      </c>
      <c r="G37" s="106">
        <v>43431</v>
      </c>
      <c r="H37" s="84" t="s">
        <v>343</v>
      </c>
      <c r="I37" s="94">
        <v>10.440000000000001</v>
      </c>
      <c r="J37" s="97" t="s">
        <v>165</v>
      </c>
      <c r="K37" s="98">
        <v>3.9599999999999996E-2</v>
      </c>
      <c r="L37" s="98">
        <v>2.4399999999999998E-2</v>
      </c>
      <c r="M37" s="94">
        <v>11284.37</v>
      </c>
      <c r="N37" s="96">
        <v>116.86</v>
      </c>
      <c r="O37" s="94">
        <v>13.214099999999998</v>
      </c>
      <c r="P37" s="95">
        <f t="shared" si="0"/>
        <v>1.8143859214823776E-3</v>
      </c>
      <c r="Q37" s="95">
        <f>O37/'סכום נכסי הקרן'!$C$42</f>
        <v>5.5317468785933323E-5</v>
      </c>
    </row>
    <row r="38" spans="2:17">
      <c r="B38" s="87" t="s">
        <v>1565</v>
      </c>
      <c r="C38" s="97" t="s">
        <v>1495</v>
      </c>
      <c r="D38" s="84" t="s">
        <v>1497</v>
      </c>
      <c r="E38" s="84"/>
      <c r="F38" s="84" t="s">
        <v>521</v>
      </c>
      <c r="G38" s="106">
        <v>43276</v>
      </c>
      <c r="H38" s="84" t="s">
        <v>343</v>
      </c>
      <c r="I38" s="94">
        <v>10.500000000000002</v>
      </c>
      <c r="J38" s="97" t="s">
        <v>165</v>
      </c>
      <c r="K38" s="98">
        <v>3.56E-2</v>
      </c>
      <c r="L38" s="98">
        <v>2.5500000000000002E-2</v>
      </c>
      <c r="M38" s="94">
        <v>11298.87</v>
      </c>
      <c r="N38" s="96">
        <v>112.11</v>
      </c>
      <c r="O38" s="94">
        <v>12.667159999999997</v>
      </c>
      <c r="P38" s="95">
        <f t="shared" si="0"/>
        <v>1.7392873346777089E-3</v>
      </c>
      <c r="Q38" s="95">
        <f>O38/'סכום נכסי הקרן'!$C$42</f>
        <v>5.3027843584233743E-5</v>
      </c>
    </row>
    <row r="39" spans="2:17">
      <c r="B39" s="87" t="s">
        <v>1565</v>
      </c>
      <c r="C39" s="97" t="s">
        <v>1495</v>
      </c>
      <c r="D39" s="84" t="s">
        <v>1498</v>
      </c>
      <c r="E39" s="84"/>
      <c r="F39" s="84" t="s">
        <v>521</v>
      </c>
      <c r="G39" s="106">
        <v>43222</v>
      </c>
      <c r="H39" s="84" t="s">
        <v>343</v>
      </c>
      <c r="I39" s="94">
        <v>10.499999999999998</v>
      </c>
      <c r="J39" s="97" t="s">
        <v>165</v>
      </c>
      <c r="K39" s="98">
        <v>3.5200000000000002E-2</v>
      </c>
      <c r="L39" s="98">
        <v>2.5500000000000002E-2</v>
      </c>
      <c r="M39" s="94">
        <v>54020.349999999991</v>
      </c>
      <c r="N39" s="96">
        <v>112.63</v>
      </c>
      <c r="O39" s="94">
        <v>60.843139999999991</v>
      </c>
      <c r="P39" s="95">
        <f t="shared" si="0"/>
        <v>8.3541774797210033E-3</v>
      </c>
      <c r="Q39" s="95">
        <f>O39/'סכום נכסי הקרן'!$C$42</f>
        <v>2.5470433081240277E-4</v>
      </c>
    </row>
    <row r="40" spans="2:17">
      <c r="B40" s="87" t="s">
        <v>1565</v>
      </c>
      <c r="C40" s="97" t="s">
        <v>1495</v>
      </c>
      <c r="D40" s="84" t="s">
        <v>1499</v>
      </c>
      <c r="E40" s="84"/>
      <c r="F40" s="84" t="s">
        <v>521</v>
      </c>
      <c r="G40" s="106">
        <v>43500</v>
      </c>
      <c r="H40" s="84" t="s">
        <v>343</v>
      </c>
      <c r="I40" s="94">
        <v>10.539999999999996</v>
      </c>
      <c r="J40" s="97" t="s">
        <v>165</v>
      </c>
      <c r="K40" s="98">
        <v>3.7499999999999999E-2</v>
      </c>
      <c r="L40" s="98">
        <v>2.2199999999999998E-2</v>
      </c>
      <c r="M40" s="94">
        <v>21236.009999999995</v>
      </c>
      <c r="N40" s="96">
        <v>118.06</v>
      </c>
      <c r="O40" s="94">
        <v>25.071240000000003</v>
      </c>
      <c r="P40" s="95">
        <f t="shared" si="0"/>
        <v>3.4424519937117063E-3</v>
      </c>
      <c r="Q40" s="95">
        <f>O40/'סכום נכסי הקרן'!$C$42</f>
        <v>1.0495436966003309E-4</v>
      </c>
    </row>
    <row r="41" spans="2:17">
      <c r="B41" s="87" t="s">
        <v>1565</v>
      </c>
      <c r="C41" s="97" t="s">
        <v>1495</v>
      </c>
      <c r="D41" s="84" t="s">
        <v>1500</v>
      </c>
      <c r="E41" s="84"/>
      <c r="F41" s="84" t="s">
        <v>521</v>
      </c>
      <c r="G41" s="106">
        <v>43585</v>
      </c>
      <c r="H41" s="84" t="s">
        <v>343</v>
      </c>
      <c r="I41" s="94">
        <v>10.64</v>
      </c>
      <c r="J41" s="97" t="s">
        <v>165</v>
      </c>
      <c r="K41" s="98">
        <v>3.3500000000000002E-2</v>
      </c>
      <c r="L41" s="98">
        <v>2.2400000000000003E-2</v>
      </c>
      <c r="M41" s="94">
        <v>21521.509999999995</v>
      </c>
      <c r="N41" s="96">
        <v>113.36</v>
      </c>
      <c r="O41" s="94">
        <v>24.396799999999995</v>
      </c>
      <c r="P41" s="95">
        <f t="shared" si="0"/>
        <v>3.3498467885986383E-3</v>
      </c>
      <c r="Q41" s="95">
        <f>O41/'סכום נכסי הקרן'!$C$42</f>
        <v>1.0213099813658577E-4</v>
      </c>
    </row>
    <row r="42" spans="2:17">
      <c r="B42" s="87" t="s">
        <v>1565</v>
      </c>
      <c r="C42" s="97" t="s">
        <v>1495</v>
      </c>
      <c r="D42" s="84" t="s">
        <v>1501</v>
      </c>
      <c r="E42" s="84"/>
      <c r="F42" s="84" t="s">
        <v>521</v>
      </c>
      <c r="G42" s="106">
        <v>43677</v>
      </c>
      <c r="H42" s="84" t="s">
        <v>343</v>
      </c>
      <c r="I42" s="94">
        <v>10.569999999999999</v>
      </c>
      <c r="J42" s="97" t="s">
        <v>165</v>
      </c>
      <c r="K42" s="98">
        <v>3.2000000000000001E-2</v>
      </c>
      <c r="L42" s="98">
        <v>2.6099999999999998E-2</v>
      </c>
      <c r="M42" s="94">
        <v>20015.749999999996</v>
      </c>
      <c r="N42" s="96">
        <v>106.63</v>
      </c>
      <c r="O42" s="94">
        <v>21.342790000000001</v>
      </c>
      <c r="P42" s="95">
        <f t="shared" si="0"/>
        <v>2.930510416990554E-3</v>
      </c>
      <c r="Q42" s="95">
        <f>O42/'סכום נכסי הקרן'!$C$42</f>
        <v>8.9346162026148583E-5</v>
      </c>
    </row>
    <row r="43" spans="2:17">
      <c r="B43" s="87" t="s">
        <v>1565</v>
      </c>
      <c r="C43" s="97" t="s">
        <v>1495</v>
      </c>
      <c r="D43" s="84" t="s">
        <v>1502</v>
      </c>
      <c r="E43" s="84"/>
      <c r="F43" s="84" t="s">
        <v>521</v>
      </c>
      <c r="G43" s="106">
        <v>43708</v>
      </c>
      <c r="H43" s="84" t="s">
        <v>343</v>
      </c>
      <c r="I43" s="94">
        <v>10.75</v>
      </c>
      <c r="J43" s="97" t="s">
        <v>165</v>
      </c>
      <c r="K43" s="98">
        <v>2.6800000000000001E-2</v>
      </c>
      <c r="L43" s="98">
        <v>2.4899999999999999E-2</v>
      </c>
      <c r="M43" s="94">
        <v>1430.5599999999997</v>
      </c>
      <c r="N43" s="96">
        <v>102.51</v>
      </c>
      <c r="O43" s="94">
        <v>1.4664699999999997</v>
      </c>
      <c r="P43" s="95">
        <f t="shared" si="0"/>
        <v>2.0135631804483561E-4</v>
      </c>
      <c r="Q43" s="95">
        <f>O43/'סכום נכסי הקרן'!$C$42</f>
        <v>6.1390036741441061E-6</v>
      </c>
    </row>
    <row r="44" spans="2:17">
      <c r="B44" s="87" t="s">
        <v>1565</v>
      </c>
      <c r="C44" s="97" t="s">
        <v>1495</v>
      </c>
      <c r="D44" s="84" t="s">
        <v>1503</v>
      </c>
      <c r="E44" s="84"/>
      <c r="F44" s="84" t="s">
        <v>521</v>
      </c>
      <c r="G44" s="106">
        <v>43708</v>
      </c>
      <c r="H44" s="84" t="s">
        <v>343</v>
      </c>
      <c r="I44" s="94">
        <v>0.01</v>
      </c>
      <c r="J44" s="97" t="s">
        <v>165</v>
      </c>
      <c r="K44" s="98">
        <v>3.2500000000000001E-2</v>
      </c>
      <c r="L44" s="98">
        <v>1.7400000000000002E-2</v>
      </c>
      <c r="M44" s="94">
        <v>21061.45</v>
      </c>
      <c r="N44" s="96">
        <v>100.32</v>
      </c>
      <c r="O44" s="94">
        <v>21.128839999999997</v>
      </c>
      <c r="P44" s="95">
        <f t="shared" si="0"/>
        <v>2.9011336249350102E-3</v>
      </c>
      <c r="Q44" s="95">
        <f>O44/'סכום נכסי הקרן'!$C$42</f>
        <v>8.8450514767027597E-5</v>
      </c>
    </row>
    <row r="45" spans="2:17">
      <c r="B45" s="87" t="s">
        <v>1565</v>
      </c>
      <c r="C45" s="97" t="s">
        <v>1495</v>
      </c>
      <c r="D45" s="84" t="s">
        <v>1504</v>
      </c>
      <c r="E45" s="84"/>
      <c r="F45" s="84" t="s">
        <v>521</v>
      </c>
      <c r="G45" s="106">
        <v>43708</v>
      </c>
      <c r="H45" s="84" t="s">
        <v>343</v>
      </c>
      <c r="I45" s="94">
        <v>0.25999999999999995</v>
      </c>
      <c r="J45" s="97" t="s">
        <v>165</v>
      </c>
      <c r="K45" s="98">
        <v>3.2500000000000001E-2</v>
      </c>
      <c r="L45" s="98">
        <v>3.2900000000000006E-2</v>
      </c>
      <c r="M45" s="94">
        <v>10368.709999999997</v>
      </c>
      <c r="N45" s="96">
        <v>100.31</v>
      </c>
      <c r="O45" s="94">
        <v>10.400859999999998</v>
      </c>
      <c r="P45" s="95">
        <f t="shared" si="0"/>
        <v>1.4281089105810613E-3</v>
      </c>
      <c r="Q45" s="95">
        <f>O45/'סכום נכסי הקרן'!$C$42</f>
        <v>4.3540555043238848E-5</v>
      </c>
    </row>
    <row r="46" spans="2:17">
      <c r="B46" s="87" t="s">
        <v>1566</v>
      </c>
      <c r="C46" s="97" t="s">
        <v>1495</v>
      </c>
      <c r="D46" s="84">
        <v>7127</v>
      </c>
      <c r="E46" s="84"/>
      <c r="F46" s="84" t="s">
        <v>1209</v>
      </c>
      <c r="G46" s="106">
        <v>43708</v>
      </c>
      <c r="H46" s="84" t="s">
        <v>1493</v>
      </c>
      <c r="I46" s="94">
        <v>7.0699999999999994</v>
      </c>
      <c r="J46" s="97" t="s">
        <v>165</v>
      </c>
      <c r="K46" s="98">
        <v>3.1E-2</v>
      </c>
      <c r="L46" s="98">
        <v>1.5599999999999998E-2</v>
      </c>
      <c r="M46" s="94">
        <v>95391.179999999978</v>
      </c>
      <c r="N46" s="96">
        <v>112.08</v>
      </c>
      <c r="O46" s="94">
        <v>106.91443999999998</v>
      </c>
      <c r="P46" s="95">
        <f t="shared" si="0"/>
        <v>1.4680080727342185E-2</v>
      </c>
      <c r="Q46" s="95">
        <f>O46/'סכום נכסי הקרן'!$C$42</f>
        <v>4.475701105232699E-4</v>
      </c>
    </row>
    <row r="47" spans="2:17">
      <c r="B47" s="87" t="s">
        <v>1566</v>
      </c>
      <c r="C47" s="97" t="s">
        <v>1495</v>
      </c>
      <c r="D47" s="84">
        <v>7128</v>
      </c>
      <c r="E47" s="84"/>
      <c r="F47" s="84" t="s">
        <v>1209</v>
      </c>
      <c r="G47" s="106">
        <v>43708</v>
      </c>
      <c r="H47" s="84" t="s">
        <v>1493</v>
      </c>
      <c r="I47" s="94">
        <v>7.1</v>
      </c>
      <c r="J47" s="97" t="s">
        <v>165</v>
      </c>
      <c r="K47" s="98">
        <v>2.4900000000000002E-2</v>
      </c>
      <c r="L47" s="98">
        <v>1.5700000000000006E-2</v>
      </c>
      <c r="M47" s="94">
        <v>40522.919999999991</v>
      </c>
      <c r="N47" s="96">
        <v>109.41</v>
      </c>
      <c r="O47" s="94">
        <v>44.33612999999999</v>
      </c>
      <c r="P47" s="95">
        <f t="shared" si="0"/>
        <v>6.0876525896589612E-3</v>
      </c>
      <c r="Q47" s="95">
        <f>O47/'סכום נכסי הקרן'!$C$42</f>
        <v>1.8560193182767511E-4</v>
      </c>
    </row>
    <row r="48" spans="2:17">
      <c r="B48" s="87" t="s">
        <v>1566</v>
      </c>
      <c r="C48" s="97" t="s">
        <v>1495</v>
      </c>
      <c r="D48" s="84">
        <v>7130</v>
      </c>
      <c r="E48" s="84"/>
      <c r="F48" s="84" t="s">
        <v>1209</v>
      </c>
      <c r="G48" s="106">
        <v>43708</v>
      </c>
      <c r="H48" s="84" t="s">
        <v>1493</v>
      </c>
      <c r="I48" s="94">
        <v>7.47</v>
      </c>
      <c r="J48" s="97" t="s">
        <v>165</v>
      </c>
      <c r="K48" s="98">
        <v>3.6000000000000004E-2</v>
      </c>
      <c r="L48" s="98">
        <v>1.6199999999999999E-2</v>
      </c>
      <c r="M48" s="94">
        <v>25300.719999999994</v>
      </c>
      <c r="N48" s="96">
        <v>116.53</v>
      </c>
      <c r="O48" s="94">
        <v>29.482929999999996</v>
      </c>
      <c r="P48" s="95">
        <f t="shared" si="0"/>
        <v>4.0482070754762293E-3</v>
      </c>
      <c r="Q48" s="95">
        <f>O48/'סכום נכסי הקרן'!$C$42</f>
        <v>1.234227877791796E-4</v>
      </c>
    </row>
    <row r="49" spans="2:17">
      <c r="B49" s="87" t="s">
        <v>1567</v>
      </c>
      <c r="C49" s="97" t="s">
        <v>1494</v>
      </c>
      <c r="D49" s="84" t="s">
        <v>1505</v>
      </c>
      <c r="E49" s="84"/>
      <c r="F49" s="84" t="s">
        <v>1209</v>
      </c>
      <c r="G49" s="106">
        <v>42759</v>
      </c>
      <c r="H49" s="84" t="s">
        <v>1493</v>
      </c>
      <c r="I49" s="94">
        <v>3.83</v>
      </c>
      <c r="J49" s="97" t="s">
        <v>165</v>
      </c>
      <c r="K49" s="98">
        <v>2.5499999999999998E-2</v>
      </c>
      <c r="L49" s="98">
        <v>1.1300000000000001E-2</v>
      </c>
      <c r="M49" s="94">
        <v>50131.3</v>
      </c>
      <c r="N49" s="96">
        <v>105.99</v>
      </c>
      <c r="O49" s="94">
        <v>53.13416999999999</v>
      </c>
      <c r="P49" s="95">
        <f t="shared" si="0"/>
        <v>7.2956833986159708E-3</v>
      </c>
      <c r="Q49" s="95">
        <f>O49/'סכום נכסי הקרן'!$C$42</f>
        <v>2.2243268860092436E-4</v>
      </c>
    </row>
    <row r="50" spans="2:17">
      <c r="B50" s="87" t="s">
        <v>1567</v>
      </c>
      <c r="C50" s="97" t="s">
        <v>1494</v>
      </c>
      <c r="D50" s="84" t="s">
        <v>1506</v>
      </c>
      <c r="E50" s="84"/>
      <c r="F50" s="84" t="s">
        <v>1209</v>
      </c>
      <c r="G50" s="106">
        <v>42759</v>
      </c>
      <c r="H50" s="84" t="s">
        <v>1493</v>
      </c>
      <c r="I50" s="94">
        <v>3.7300000000000009</v>
      </c>
      <c r="J50" s="97" t="s">
        <v>165</v>
      </c>
      <c r="K50" s="98">
        <v>3.8800000000000001E-2</v>
      </c>
      <c r="L50" s="98">
        <v>1.9600000000000003E-2</v>
      </c>
      <c r="M50" s="94">
        <v>50131.3</v>
      </c>
      <c r="N50" s="96">
        <v>108.05</v>
      </c>
      <c r="O50" s="94">
        <v>54.166869999999989</v>
      </c>
      <c r="P50" s="95">
        <f t="shared" si="0"/>
        <v>7.4374801415734819E-3</v>
      </c>
      <c r="Q50" s="95">
        <f>O50/'סכום נכסי הקרן'!$C$42</f>
        <v>2.2675582449479783E-4</v>
      </c>
    </row>
    <row r="51" spans="2:17">
      <c r="B51" s="87" t="s">
        <v>1568</v>
      </c>
      <c r="C51" s="97" t="s">
        <v>1495</v>
      </c>
      <c r="D51" s="84" t="s">
        <v>1507</v>
      </c>
      <c r="E51" s="84"/>
      <c r="F51" s="84" t="s">
        <v>622</v>
      </c>
      <c r="G51" s="106">
        <v>43011</v>
      </c>
      <c r="H51" s="84" t="s">
        <v>161</v>
      </c>
      <c r="I51" s="94">
        <v>8.8099999999999987</v>
      </c>
      <c r="J51" s="97" t="s">
        <v>165</v>
      </c>
      <c r="K51" s="98">
        <v>3.9E-2</v>
      </c>
      <c r="L51" s="98">
        <v>2.46E-2</v>
      </c>
      <c r="M51" s="94">
        <v>9513.7599999999984</v>
      </c>
      <c r="N51" s="96">
        <v>115.61</v>
      </c>
      <c r="O51" s="94">
        <v>10.998849999999999</v>
      </c>
      <c r="P51" s="95">
        <f t="shared" si="0"/>
        <v>1.5102170100496023E-3</v>
      </c>
      <c r="Q51" s="95">
        <f>O51/'סכום נכסי הקרן'!$C$42</f>
        <v>4.6043888085920551E-5</v>
      </c>
    </row>
    <row r="52" spans="2:17">
      <c r="B52" s="87" t="s">
        <v>1568</v>
      </c>
      <c r="C52" s="97" t="s">
        <v>1495</v>
      </c>
      <c r="D52" s="84" t="s">
        <v>1508</v>
      </c>
      <c r="E52" s="84"/>
      <c r="F52" s="84" t="s">
        <v>622</v>
      </c>
      <c r="G52" s="106">
        <v>43104</v>
      </c>
      <c r="H52" s="84" t="s">
        <v>161</v>
      </c>
      <c r="I52" s="94">
        <v>8.81</v>
      </c>
      <c r="J52" s="97" t="s">
        <v>165</v>
      </c>
      <c r="K52" s="98">
        <v>3.8199999999999998E-2</v>
      </c>
      <c r="L52" s="98">
        <v>2.7800000000000005E-2</v>
      </c>
      <c r="M52" s="94">
        <v>16935.069999999996</v>
      </c>
      <c r="N52" s="96">
        <v>109.45</v>
      </c>
      <c r="O52" s="94">
        <v>18.535419999999995</v>
      </c>
      <c r="P52" s="95">
        <f t="shared" si="0"/>
        <v>2.5450393970654745E-3</v>
      </c>
      <c r="Q52" s="95">
        <f>O52/'סכום נכסי הקרן'!$C$42</f>
        <v>7.759382154548278E-5</v>
      </c>
    </row>
    <row r="53" spans="2:17">
      <c r="B53" s="87" t="s">
        <v>1568</v>
      </c>
      <c r="C53" s="97" t="s">
        <v>1495</v>
      </c>
      <c r="D53" s="84" t="s">
        <v>1509</v>
      </c>
      <c r="E53" s="84"/>
      <c r="F53" s="84" t="s">
        <v>622</v>
      </c>
      <c r="G53" s="106">
        <v>43194</v>
      </c>
      <c r="H53" s="84" t="s">
        <v>161</v>
      </c>
      <c r="I53" s="94">
        <v>8.8699999999999992</v>
      </c>
      <c r="J53" s="97" t="s">
        <v>165</v>
      </c>
      <c r="K53" s="98">
        <v>3.7900000000000003E-2</v>
      </c>
      <c r="L53" s="98">
        <v>2.3300000000000005E-2</v>
      </c>
      <c r="M53" s="94">
        <v>10933.77</v>
      </c>
      <c r="N53" s="96">
        <v>113.78</v>
      </c>
      <c r="O53" s="94">
        <v>12.440439999999997</v>
      </c>
      <c r="P53" s="95">
        <f t="shared" si="0"/>
        <v>1.7081571346551205E-3</v>
      </c>
      <c r="Q53" s="95">
        <f>O53/'סכום נכסי הקרן'!$C$42</f>
        <v>5.2078737968024781E-5</v>
      </c>
    </row>
    <row r="54" spans="2:17">
      <c r="B54" s="87" t="s">
        <v>1568</v>
      </c>
      <c r="C54" s="97" t="s">
        <v>1495</v>
      </c>
      <c r="D54" s="84" t="s">
        <v>1510</v>
      </c>
      <c r="E54" s="84"/>
      <c r="F54" s="84" t="s">
        <v>622</v>
      </c>
      <c r="G54" s="106">
        <v>43285</v>
      </c>
      <c r="H54" s="84" t="s">
        <v>161</v>
      </c>
      <c r="I54" s="94">
        <v>8.8400000000000016</v>
      </c>
      <c r="J54" s="97" t="s">
        <v>165</v>
      </c>
      <c r="K54" s="98">
        <v>4.0099999999999997E-2</v>
      </c>
      <c r="L54" s="98">
        <v>2.35E-2</v>
      </c>
      <c r="M54" s="94">
        <v>14515.079999999998</v>
      </c>
      <c r="N54" s="96">
        <v>114.37</v>
      </c>
      <c r="O54" s="94">
        <v>16.600909999999995</v>
      </c>
      <c r="P54" s="95">
        <f t="shared" si="0"/>
        <v>2.2794179995456378E-3</v>
      </c>
      <c r="Q54" s="95">
        <f>O54/'סכום נכסי הקרן'!$C$42</f>
        <v>6.9495487452273571E-5</v>
      </c>
    </row>
    <row r="55" spans="2:17">
      <c r="B55" s="87" t="s">
        <v>1568</v>
      </c>
      <c r="C55" s="97" t="s">
        <v>1495</v>
      </c>
      <c r="D55" s="84" t="s">
        <v>1511</v>
      </c>
      <c r="E55" s="84"/>
      <c r="F55" s="84" t="s">
        <v>622</v>
      </c>
      <c r="G55" s="106">
        <v>43377</v>
      </c>
      <c r="H55" s="84" t="s">
        <v>161</v>
      </c>
      <c r="I55" s="94">
        <v>8.8199999999999985</v>
      </c>
      <c r="J55" s="97" t="s">
        <v>165</v>
      </c>
      <c r="K55" s="98">
        <v>3.9699999999999999E-2</v>
      </c>
      <c r="L55" s="98">
        <v>2.5100000000000001E-2</v>
      </c>
      <c r="M55" s="94">
        <v>29046.189999999995</v>
      </c>
      <c r="N55" s="96">
        <v>112.21</v>
      </c>
      <c r="O55" s="94">
        <v>32.592729999999996</v>
      </c>
      <c r="P55" s="95">
        <f t="shared" si="0"/>
        <v>4.4752037940288276E-3</v>
      </c>
      <c r="Q55" s="95">
        <f>O55/'סכום נכסי הקרן'!$C$42</f>
        <v>1.3644117453503096E-4</v>
      </c>
    </row>
    <row r="56" spans="2:17">
      <c r="B56" s="87" t="s">
        <v>1568</v>
      </c>
      <c r="C56" s="97" t="s">
        <v>1495</v>
      </c>
      <c r="D56" s="84" t="s">
        <v>1512</v>
      </c>
      <c r="E56" s="84"/>
      <c r="F56" s="84" t="s">
        <v>622</v>
      </c>
      <c r="G56" s="106">
        <v>43469</v>
      </c>
      <c r="H56" s="84" t="s">
        <v>161</v>
      </c>
      <c r="I56" s="94">
        <v>10.52</v>
      </c>
      <c r="J56" s="97" t="s">
        <v>165</v>
      </c>
      <c r="K56" s="98">
        <v>4.1700000000000001E-2</v>
      </c>
      <c r="L56" s="98">
        <v>0.02</v>
      </c>
      <c r="M56" s="94">
        <v>20427.239999999998</v>
      </c>
      <c r="N56" s="96">
        <v>122.47</v>
      </c>
      <c r="O56" s="94">
        <v>25.017229999999994</v>
      </c>
      <c r="P56" s="95">
        <f t="shared" si="0"/>
        <v>3.4350360528894574E-3</v>
      </c>
      <c r="Q56" s="95">
        <f>O56/'סכום נכסי הקרן'!$C$42</f>
        <v>1.0472827053189507E-4</v>
      </c>
    </row>
    <row r="57" spans="2:17">
      <c r="B57" s="87" t="s">
        <v>1568</v>
      </c>
      <c r="C57" s="97" t="s">
        <v>1495</v>
      </c>
      <c r="D57" s="84" t="s">
        <v>1513</v>
      </c>
      <c r="E57" s="84"/>
      <c r="F57" s="84" t="s">
        <v>622</v>
      </c>
      <c r="G57" s="106">
        <v>43559</v>
      </c>
      <c r="H57" s="84" t="s">
        <v>161</v>
      </c>
      <c r="I57" s="94">
        <v>10.5</v>
      </c>
      <c r="J57" s="97" t="s">
        <v>165</v>
      </c>
      <c r="K57" s="98">
        <v>3.7200000000000004E-2</v>
      </c>
      <c r="L57" s="98">
        <v>2.3900000000000001E-2</v>
      </c>
      <c r="M57" s="94">
        <v>48993.37999999999</v>
      </c>
      <c r="N57" s="96">
        <v>112.99</v>
      </c>
      <c r="O57" s="94">
        <v>55.35761999999999</v>
      </c>
      <c r="P57" s="95">
        <f t="shared" si="0"/>
        <v>7.6009782258928942E-3</v>
      </c>
      <c r="Q57" s="95">
        <f>O57/'סכום נכסי הקרן'!$C$42</f>
        <v>2.3174059651535542E-4</v>
      </c>
    </row>
    <row r="58" spans="2:17">
      <c r="B58" s="87" t="s">
        <v>1568</v>
      </c>
      <c r="C58" s="97" t="s">
        <v>1495</v>
      </c>
      <c r="D58" s="84" t="s">
        <v>1514</v>
      </c>
      <c r="E58" s="84"/>
      <c r="F58" s="84" t="s">
        <v>622</v>
      </c>
      <c r="G58" s="106">
        <v>42935</v>
      </c>
      <c r="H58" s="84" t="s">
        <v>161</v>
      </c>
      <c r="I58" s="94">
        <v>10.45</v>
      </c>
      <c r="J58" s="97" t="s">
        <v>165</v>
      </c>
      <c r="K58" s="98">
        <v>4.0800000000000003E-2</v>
      </c>
      <c r="L58" s="98">
        <v>2.35E-2</v>
      </c>
      <c r="M58" s="94">
        <v>44384.429999999993</v>
      </c>
      <c r="N58" s="96">
        <v>118.96</v>
      </c>
      <c r="O58" s="94">
        <v>52.799719999999994</v>
      </c>
      <c r="P58" s="95">
        <f t="shared" si="0"/>
        <v>7.2497611359238637E-3</v>
      </c>
      <c r="Q58" s="95">
        <f>O58/'סכום נכסי הקרן'!$C$42</f>
        <v>2.2103259873968107E-4</v>
      </c>
    </row>
    <row r="59" spans="2:17">
      <c r="B59" s="87" t="s">
        <v>1569</v>
      </c>
      <c r="C59" s="97" t="s">
        <v>1495</v>
      </c>
      <c r="D59" s="84" t="s">
        <v>1515</v>
      </c>
      <c r="E59" s="84"/>
      <c r="F59" s="84" t="s">
        <v>942</v>
      </c>
      <c r="G59" s="106">
        <v>42680</v>
      </c>
      <c r="H59" s="84" t="s">
        <v>1493</v>
      </c>
      <c r="I59" s="94">
        <v>3.68</v>
      </c>
      <c r="J59" s="97" t="s">
        <v>165</v>
      </c>
      <c r="K59" s="98">
        <v>2.3E-2</v>
      </c>
      <c r="L59" s="98">
        <v>1.5699999999999999E-2</v>
      </c>
      <c r="M59" s="94">
        <v>17623.629999999997</v>
      </c>
      <c r="N59" s="96">
        <v>105.32</v>
      </c>
      <c r="O59" s="94">
        <v>18.561209999999996</v>
      </c>
      <c r="P59" s="95">
        <f t="shared" si="0"/>
        <v>2.5485805397021302E-3</v>
      </c>
      <c r="Q59" s="95">
        <f>O59/'סכום נכסי הקרן'!$C$42</f>
        <v>7.7701784821073954E-5</v>
      </c>
    </row>
    <row r="60" spans="2:17">
      <c r="B60" s="87" t="s">
        <v>1569</v>
      </c>
      <c r="C60" s="97" t="s">
        <v>1495</v>
      </c>
      <c r="D60" s="84" t="s">
        <v>1516</v>
      </c>
      <c r="E60" s="84"/>
      <c r="F60" s="84" t="s">
        <v>942</v>
      </c>
      <c r="G60" s="106">
        <v>42680</v>
      </c>
      <c r="H60" s="84" t="s">
        <v>1493</v>
      </c>
      <c r="I60" s="94">
        <v>2.4799999999999991</v>
      </c>
      <c r="J60" s="97" t="s">
        <v>165</v>
      </c>
      <c r="K60" s="98">
        <v>2.35E-2</v>
      </c>
      <c r="L60" s="98">
        <v>2.1699999999999994E-2</v>
      </c>
      <c r="M60" s="94">
        <v>35287.709999999992</v>
      </c>
      <c r="N60" s="96">
        <v>100.59</v>
      </c>
      <c r="O60" s="94">
        <v>35.495910000000002</v>
      </c>
      <c r="P60" s="95">
        <f t="shared" si="0"/>
        <v>4.8738301794451046E-3</v>
      </c>
      <c r="Q60" s="95">
        <f>O60/'סכום נכסי הקרן'!$C$42</f>
        <v>1.485945992124548E-4</v>
      </c>
    </row>
    <row r="61" spans="2:17">
      <c r="B61" s="87" t="s">
        <v>1569</v>
      </c>
      <c r="C61" s="97" t="s">
        <v>1495</v>
      </c>
      <c r="D61" s="84" t="s">
        <v>1517</v>
      </c>
      <c r="E61" s="84"/>
      <c r="F61" s="84" t="s">
        <v>942</v>
      </c>
      <c r="G61" s="106">
        <v>42680</v>
      </c>
      <c r="H61" s="84" t="s">
        <v>1493</v>
      </c>
      <c r="I61" s="94">
        <v>3.6300000000000003</v>
      </c>
      <c r="J61" s="97" t="s">
        <v>165</v>
      </c>
      <c r="K61" s="98">
        <v>3.3700000000000001E-2</v>
      </c>
      <c r="L61" s="98">
        <v>2.64E-2</v>
      </c>
      <c r="M61" s="94">
        <v>8991.7599999999984</v>
      </c>
      <c r="N61" s="96">
        <v>102.91</v>
      </c>
      <c r="O61" s="94">
        <v>9.253429999999998</v>
      </c>
      <c r="P61" s="95">
        <f t="shared" si="0"/>
        <v>1.2705589572821968E-3</v>
      </c>
      <c r="Q61" s="95">
        <f>O61/'סכום נכסי הקרן'!$C$42</f>
        <v>3.8737131184705655E-5</v>
      </c>
    </row>
    <row r="62" spans="2:17">
      <c r="B62" s="87" t="s">
        <v>1569</v>
      </c>
      <c r="C62" s="97" t="s">
        <v>1495</v>
      </c>
      <c r="D62" s="84" t="s">
        <v>1518</v>
      </c>
      <c r="E62" s="84"/>
      <c r="F62" s="84" t="s">
        <v>942</v>
      </c>
      <c r="G62" s="106">
        <v>42717</v>
      </c>
      <c r="H62" s="84" t="s">
        <v>1493</v>
      </c>
      <c r="I62" s="94">
        <v>3.34</v>
      </c>
      <c r="J62" s="97" t="s">
        <v>165</v>
      </c>
      <c r="K62" s="98">
        <v>3.85E-2</v>
      </c>
      <c r="L62" s="98">
        <v>3.32E-2</v>
      </c>
      <c r="M62" s="94">
        <v>2367.2299999999996</v>
      </c>
      <c r="N62" s="96">
        <v>102.08</v>
      </c>
      <c r="O62" s="94">
        <v>2.4164599999999994</v>
      </c>
      <c r="P62" s="95">
        <f t="shared" si="0"/>
        <v>3.3179641472558144E-4</v>
      </c>
      <c r="Q62" s="95">
        <f>O62/'סכום נכסי הקרן'!$C$42</f>
        <v>1.011589518941558E-5</v>
      </c>
    </row>
    <row r="63" spans="2:17">
      <c r="B63" s="87" t="s">
        <v>1569</v>
      </c>
      <c r="C63" s="97" t="s">
        <v>1495</v>
      </c>
      <c r="D63" s="84" t="s">
        <v>1519</v>
      </c>
      <c r="E63" s="84"/>
      <c r="F63" s="84" t="s">
        <v>942</v>
      </c>
      <c r="G63" s="106">
        <v>42710</v>
      </c>
      <c r="H63" s="84" t="s">
        <v>1493</v>
      </c>
      <c r="I63" s="94">
        <v>3.34</v>
      </c>
      <c r="J63" s="97" t="s">
        <v>165</v>
      </c>
      <c r="K63" s="98">
        <v>3.8399999999999997E-2</v>
      </c>
      <c r="L63" s="98">
        <v>3.3099999999999997E-2</v>
      </c>
      <c r="M63" s="94">
        <v>7077.369999999999</v>
      </c>
      <c r="N63" s="96">
        <v>102.08</v>
      </c>
      <c r="O63" s="94">
        <v>7.2245799999999987</v>
      </c>
      <c r="P63" s="95">
        <f t="shared" si="0"/>
        <v>9.9198403528224805E-4</v>
      </c>
      <c r="Q63" s="95">
        <f>O63/'סכום נכסי הקרן'!$C$42</f>
        <v>3.0243866675859736E-5</v>
      </c>
    </row>
    <row r="64" spans="2:17">
      <c r="B64" s="87" t="s">
        <v>1569</v>
      </c>
      <c r="C64" s="97" t="s">
        <v>1495</v>
      </c>
      <c r="D64" s="84" t="s">
        <v>1520</v>
      </c>
      <c r="E64" s="84"/>
      <c r="F64" s="84" t="s">
        <v>942</v>
      </c>
      <c r="G64" s="106">
        <v>42680</v>
      </c>
      <c r="H64" s="84" t="s">
        <v>1493</v>
      </c>
      <c r="I64" s="94">
        <v>4.59</v>
      </c>
      <c r="J64" s="97" t="s">
        <v>165</v>
      </c>
      <c r="K64" s="98">
        <v>3.6699999999999997E-2</v>
      </c>
      <c r="L64" s="98">
        <v>2.7300000000000001E-2</v>
      </c>
      <c r="M64" s="94">
        <v>30368.529999999995</v>
      </c>
      <c r="N64" s="96">
        <v>104.69</v>
      </c>
      <c r="O64" s="94">
        <v>31.792809999999996</v>
      </c>
      <c r="P64" s="95">
        <f t="shared" si="0"/>
        <v>4.365369330364092E-3</v>
      </c>
      <c r="Q64" s="95">
        <f>O64/'סכום נכסי הקרן'!$C$42</f>
        <v>1.3309251290607069E-4</v>
      </c>
    </row>
    <row r="65" spans="2:17">
      <c r="B65" s="87" t="s">
        <v>1569</v>
      </c>
      <c r="C65" s="97" t="s">
        <v>1495</v>
      </c>
      <c r="D65" s="84" t="s">
        <v>1521</v>
      </c>
      <c r="E65" s="84"/>
      <c r="F65" s="84" t="s">
        <v>942</v>
      </c>
      <c r="G65" s="106">
        <v>42680</v>
      </c>
      <c r="H65" s="84" t="s">
        <v>1493</v>
      </c>
      <c r="I65" s="94">
        <v>2.4700000000000002</v>
      </c>
      <c r="J65" s="97" t="s">
        <v>165</v>
      </c>
      <c r="K65" s="98">
        <v>3.1800000000000002E-2</v>
      </c>
      <c r="L65" s="98">
        <v>2.7000000000000003E-2</v>
      </c>
      <c r="M65" s="94">
        <v>35962.550000000003</v>
      </c>
      <c r="N65" s="96">
        <v>101.4</v>
      </c>
      <c r="O65" s="94">
        <v>36.466019999999986</v>
      </c>
      <c r="P65" s="95">
        <f t="shared" si="0"/>
        <v>5.0070328891483181E-3</v>
      </c>
      <c r="Q65" s="95">
        <f>O65/'סכום נכסי הקרן'!$C$42</f>
        <v>1.5265571799042083E-4</v>
      </c>
    </row>
    <row r="66" spans="2:17">
      <c r="B66" s="87" t="s">
        <v>1570</v>
      </c>
      <c r="C66" s="97" t="s">
        <v>1494</v>
      </c>
      <c r="D66" s="84" t="s">
        <v>1522</v>
      </c>
      <c r="E66" s="84"/>
      <c r="F66" s="84" t="s">
        <v>942</v>
      </c>
      <c r="G66" s="106">
        <v>42884</v>
      </c>
      <c r="H66" s="84" t="s">
        <v>1493</v>
      </c>
      <c r="I66" s="94">
        <v>0.91</v>
      </c>
      <c r="J66" s="97" t="s">
        <v>165</v>
      </c>
      <c r="K66" s="98">
        <v>2.2099999999999998E-2</v>
      </c>
      <c r="L66" s="98">
        <v>1.67E-2</v>
      </c>
      <c r="M66" s="94">
        <v>22868.889999999996</v>
      </c>
      <c r="N66" s="96">
        <v>100.69</v>
      </c>
      <c r="O66" s="94">
        <v>23.026679999999995</v>
      </c>
      <c r="P66" s="95">
        <f t="shared" si="0"/>
        <v>3.1617199817225413E-3</v>
      </c>
      <c r="Q66" s="95">
        <f>O66/'סכום נכסי הקרן'!$C$42</f>
        <v>9.6395339231856501E-5</v>
      </c>
    </row>
    <row r="67" spans="2:17">
      <c r="B67" s="87" t="s">
        <v>1570</v>
      </c>
      <c r="C67" s="97" t="s">
        <v>1494</v>
      </c>
      <c r="D67" s="84" t="s">
        <v>1523</v>
      </c>
      <c r="E67" s="84"/>
      <c r="F67" s="84" t="s">
        <v>942</v>
      </c>
      <c r="G67" s="106">
        <v>43006</v>
      </c>
      <c r="H67" s="84" t="s">
        <v>1493</v>
      </c>
      <c r="I67" s="94">
        <v>1.1100000000000001</v>
      </c>
      <c r="J67" s="97" t="s">
        <v>165</v>
      </c>
      <c r="K67" s="98">
        <v>2.0799999999999999E-2</v>
      </c>
      <c r="L67" s="98">
        <v>1.8400000000000007E-2</v>
      </c>
      <c r="M67" s="94">
        <v>26135.879999999994</v>
      </c>
      <c r="N67" s="96">
        <v>100.28</v>
      </c>
      <c r="O67" s="94">
        <v>26.209059999999994</v>
      </c>
      <c r="P67" s="95">
        <f t="shared" si="0"/>
        <v>3.5986824285639519E-3</v>
      </c>
      <c r="Q67" s="95">
        <f>O67/'סכום נכסי הקרן'!$C$42</f>
        <v>1.0971756369776629E-4</v>
      </c>
    </row>
    <row r="68" spans="2:17">
      <c r="B68" s="87" t="s">
        <v>1570</v>
      </c>
      <c r="C68" s="97" t="s">
        <v>1494</v>
      </c>
      <c r="D68" s="84" t="s">
        <v>1524</v>
      </c>
      <c r="E68" s="84"/>
      <c r="F68" s="84" t="s">
        <v>942</v>
      </c>
      <c r="G68" s="106">
        <v>43321</v>
      </c>
      <c r="H68" s="84" t="s">
        <v>1493</v>
      </c>
      <c r="I68" s="94">
        <v>1.46</v>
      </c>
      <c r="J68" s="97" t="s">
        <v>165</v>
      </c>
      <c r="K68" s="98">
        <v>2.3980000000000001E-2</v>
      </c>
      <c r="L68" s="98">
        <v>1.61E-2</v>
      </c>
      <c r="M68" s="94">
        <v>45394.87999999999</v>
      </c>
      <c r="N68" s="96">
        <v>101.5</v>
      </c>
      <c r="O68" s="94">
        <v>46.07580999999999</v>
      </c>
      <c r="P68" s="95">
        <f t="shared" si="0"/>
        <v>6.3265225013354629E-3</v>
      </c>
      <c r="Q68" s="95">
        <f>O68/'סכום נכסי הקרן'!$C$42</f>
        <v>1.928846596787972E-4</v>
      </c>
    </row>
    <row r="69" spans="2:17">
      <c r="B69" s="87" t="s">
        <v>1570</v>
      </c>
      <c r="C69" s="97" t="s">
        <v>1494</v>
      </c>
      <c r="D69" s="84" t="s">
        <v>1525</v>
      </c>
      <c r="E69" s="84"/>
      <c r="F69" s="84" t="s">
        <v>942</v>
      </c>
      <c r="G69" s="106">
        <v>43343</v>
      </c>
      <c r="H69" s="84" t="s">
        <v>1493</v>
      </c>
      <c r="I69" s="94">
        <v>1.51</v>
      </c>
      <c r="J69" s="97" t="s">
        <v>165</v>
      </c>
      <c r="K69" s="98">
        <v>2.3789999999999999E-2</v>
      </c>
      <c r="L69" s="98">
        <v>1.7100000000000001E-2</v>
      </c>
      <c r="M69" s="94">
        <v>45394.87999999999</v>
      </c>
      <c r="N69" s="96">
        <v>101.22</v>
      </c>
      <c r="O69" s="94">
        <v>45.948699999999988</v>
      </c>
      <c r="P69" s="95">
        <f t="shared" si="0"/>
        <v>6.3090694326830669E-3</v>
      </c>
      <c r="Q69" s="95">
        <f>O69/'סכום נכסי הקרן'!$C$42</f>
        <v>1.923525459928572E-4</v>
      </c>
    </row>
    <row r="70" spans="2:17">
      <c r="B70" s="87" t="s">
        <v>1570</v>
      </c>
      <c r="C70" s="97" t="s">
        <v>1494</v>
      </c>
      <c r="D70" s="84" t="s">
        <v>1526</v>
      </c>
      <c r="E70" s="84"/>
      <c r="F70" s="84" t="s">
        <v>942</v>
      </c>
      <c r="G70" s="106">
        <v>42828</v>
      </c>
      <c r="H70" s="84" t="s">
        <v>1493</v>
      </c>
      <c r="I70" s="94">
        <v>0.74999999999999978</v>
      </c>
      <c r="J70" s="97" t="s">
        <v>165</v>
      </c>
      <c r="K70" s="98">
        <v>2.2700000000000001E-2</v>
      </c>
      <c r="L70" s="98">
        <v>1.61E-2</v>
      </c>
      <c r="M70" s="94">
        <v>22868.889999999996</v>
      </c>
      <c r="N70" s="96">
        <v>101.06</v>
      </c>
      <c r="O70" s="94">
        <v>23.11131</v>
      </c>
      <c r="P70" s="95">
        <f t="shared" si="0"/>
        <v>3.1733402570750103E-3</v>
      </c>
      <c r="Q70" s="95">
        <f>O70/'סכום נכסי הקרן'!$C$42</f>
        <v>9.6749621202127178E-5</v>
      </c>
    </row>
    <row r="71" spans="2:17">
      <c r="B71" s="87" t="s">
        <v>1570</v>
      </c>
      <c r="C71" s="97" t="s">
        <v>1494</v>
      </c>
      <c r="D71" s="84" t="s">
        <v>1527</v>
      </c>
      <c r="E71" s="84"/>
      <c r="F71" s="84" t="s">
        <v>942</v>
      </c>
      <c r="G71" s="106">
        <v>42859</v>
      </c>
      <c r="H71" s="84" t="s">
        <v>1493</v>
      </c>
      <c r="I71" s="94">
        <v>0.84000000000000008</v>
      </c>
      <c r="J71" s="97" t="s">
        <v>165</v>
      </c>
      <c r="K71" s="98">
        <v>2.2799999999999997E-2</v>
      </c>
      <c r="L71" s="98">
        <v>1.6E-2</v>
      </c>
      <c r="M71" s="94">
        <v>22868.889999999996</v>
      </c>
      <c r="N71" s="96">
        <v>100.93</v>
      </c>
      <c r="O71" s="94">
        <v>23.081569999999996</v>
      </c>
      <c r="P71" s="95">
        <f t="shared" si="0"/>
        <v>3.1692567525378195E-3</v>
      </c>
      <c r="Q71" s="95">
        <f>O71/'סכום נכסי הקרן'!$C$42</f>
        <v>9.6625122256175971E-5</v>
      </c>
    </row>
    <row r="72" spans="2:17">
      <c r="B72" s="87" t="s">
        <v>1570</v>
      </c>
      <c r="C72" s="97" t="s">
        <v>1494</v>
      </c>
      <c r="D72" s="84" t="s">
        <v>1528</v>
      </c>
      <c r="E72" s="84"/>
      <c r="F72" s="84" t="s">
        <v>942</v>
      </c>
      <c r="G72" s="106">
        <v>43614</v>
      </c>
      <c r="H72" s="84" t="s">
        <v>1493</v>
      </c>
      <c r="I72" s="94">
        <v>1.87</v>
      </c>
      <c r="J72" s="97" t="s">
        <v>165</v>
      </c>
      <c r="K72" s="98">
        <v>2.427E-2</v>
      </c>
      <c r="L72" s="98">
        <v>1.8500000000000003E-2</v>
      </c>
      <c r="M72" s="94">
        <v>56743.609999999993</v>
      </c>
      <c r="N72" s="96">
        <v>101.31</v>
      </c>
      <c r="O72" s="94">
        <v>57.486949999999993</v>
      </c>
      <c r="P72" s="95">
        <f t="shared" si="0"/>
        <v>7.8933497361879639E-3</v>
      </c>
      <c r="Q72" s="95">
        <f>O72/'סכום נכסי הקרן'!$C$42</f>
        <v>2.4065449498819516E-4</v>
      </c>
    </row>
    <row r="73" spans="2:17">
      <c r="B73" s="87" t="s">
        <v>1571</v>
      </c>
      <c r="C73" s="97" t="s">
        <v>1495</v>
      </c>
      <c r="D73" s="84" t="s">
        <v>1529</v>
      </c>
      <c r="E73" s="84"/>
      <c r="F73" s="84" t="s">
        <v>948</v>
      </c>
      <c r="G73" s="106">
        <v>43093</v>
      </c>
      <c r="H73" s="84" t="s">
        <v>1493</v>
      </c>
      <c r="I73" s="94">
        <v>3.9200000000000008</v>
      </c>
      <c r="J73" s="97" t="s">
        <v>165</v>
      </c>
      <c r="K73" s="98">
        <v>2.6089999999999999E-2</v>
      </c>
      <c r="L73" s="98">
        <v>2.4800000000000003E-2</v>
      </c>
      <c r="M73" s="94">
        <v>53603.749999999993</v>
      </c>
      <c r="N73" s="96">
        <v>104.22</v>
      </c>
      <c r="O73" s="94">
        <v>55.865829999999988</v>
      </c>
      <c r="P73" s="95">
        <f t="shared" si="0"/>
        <v>7.6707589199361175E-3</v>
      </c>
      <c r="Q73" s="95">
        <f>O73/'סכום נכסי הקרן'!$C$42</f>
        <v>2.338680884226135E-4</v>
      </c>
    </row>
    <row r="74" spans="2:17">
      <c r="B74" s="87" t="s">
        <v>1571</v>
      </c>
      <c r="C74" s="97" t="s">
        <v>1495</v>
      </c>
      <c r="D74" s="84" t="s">
        <v>1530</v>
      </c>
      <c r="E74" s="84"/>
      <c r="F74" s="84" t="s">
        <v>948</v>
      </c>
      <c r="G74" s="106">
        <v>43374</v>
      </c>
      <c r="H74" s="84" t="s">
        <v>1493</v>
      </c>
      <c r="I74" s="94">
        <v>3.9099999999999997</v>
      </c>
      <c r="J74" s="97" t="s">
        <v>165</v>
      </c>
      <c r="K74" s="98">
        <v>2.6849999999999999E-2</v>
      </c>
      <c r="L74" s="98">
        <v>2.4399999999999998E-2</v>
      </c>
      <c r="M74" s="94">
        <v>75045.249999999985</v>
      </c>
      <c r="N74" s="96">
        <v>103.62</v>
      </c>
      <c r="O74" s="94">
        <v>77.76188999999998</v>
      </c>
      <c r="P74" s="95">
        <f t="shared" si="0"/>
        <v>1.0677237075840297E-2</v>
      </c>
      <c r="Q74" s="95">
        <f>O74/'סכום נכסי הקרן'!$C$42</f>
        <v>3.2553037458549428E-4</v>
      </c>
    </row>
    <row r="75" spans="2:17">
      <c r="B75" s="87" t="s">
        <v>1572</v>
      </c>
      <c r="C75" s="97" t="s">
        <v>1495</v>
      </c>
      <c r="D75" s="84" t="s">
        <v>1531</v>
      </c>
      <c r="E75" s="84"/>
      <c r="F75" s="84" t="s">
        <v>657</v>
      </c>
      <c r="G75" s="106">
        <v>43552</v>
      </c>
      <c r="H75" s="84" t="s">
        <v>161</v>
      </c>
      <c r="I75" s="94">
        <v>6.46</v>
      </c>
      <c r="J75" s="97" t="s">
        <v>165</v>
      </c>
      <c r="K75" s="98">
        <v>3.5499999999999997E-2</v>
      </c>
      <c r="L75" s="98">
        <v>3.5400000000000001E-2</v>
      </c>
      <c r="M75" s="94">
        <v>93496.21</v>
      </c>
      <c r="N75" s="96">
        <v>101.23</v>
      </c>
      <c r="O75" s="94">
        <v>94.646219999999985</v>
      </c>
      <c r="P75" s="95">
        <f t="shared" ref="P75:P125" si="1">O75/$O$10</f>
        <v>1.2995570571550376E-2</v>
      </c>
      <c r="Q75" s="95">
        <f>O75/'סכום נכסי הקרן'!$C$42</f>
        <v>3.9621232778294234E-4</v>
      </c>
    </row>
    <row r="76" spans="2:17">
      <c r="B76" s="87" t="s">
        <v>1573</v>
      </c>
      <c r="C76" s="97" t="s">
        <v>1495</v>
      </c>
      <c r="D76" s="84" t="s">
        <v>1532</v>
      </c>
      <c r="E76" s="84"/>
      <c r="F76" s="84" t="s">
        <v>665</v>
      </c>
      <c r="G76" s="106">
        <v>43301</v>
      </c>
      <c r="H76" s="84" t="s">
        <v>343</v>
      </c>
      <c r="I76" s="94">
        <v>1.35</v>
      </c>
      <c r="J76" s="97" t="s">
        <v>164</v>
      </c>
      <c r="K76" s="98">
        <v>6.5111000000000002E-2</v>
      </c>
      <c r="L76" s="98">
        <v>6.6299999999999998E-2</v>
      </c>
      <c r="M76" s="94">
        <v>69310.039999999979</v>
      </c>
      <c r="N76" s="96">
        <v>101.19</v>
      </c>
      <c r="O76" s="94">
        <v>244.20947999999996</v>
      </c>
      <c r="P76" s="95">
        <f t="shared" si="1"/>
        <v>3.3531624734528441E-2</v>
      </c>
      <c r="Q76" s="95">
        <f>O76/'סכום נכסי הקרן'!$C$42</f>
        <v>1.0223208759680196E-3</v>
      </c>
    </row>
    <row r="77" spans="2:17">
      <c r="B77" s="87" t="s">
        <v>1573</v>
      </c>
      <c r="C77" s="97" t="s">
        <v>1495</v>
      </c>
      <c r="D77" s="84" t="s">
        <v>1533</v>
      </c>
      <c r="E77" s="84"/>
      <c r="F77" s="84" t="s">
        <v>665</v>
      </c>
      <c r="G77" s="106">
        <v>43496</v>
      </c>
      <c r="H77" s="84" t="s">
        <v>343</v>
      </c>
      <c r="I77" s="94">
        <v>1.3300000000000003</v>
      </c>
      <c r="J77" s="97" t="s">
        <v>164</v>
      </c>
      <c r="K77" s="98">
        <v>6.5093999999999999E-2</v>
      </c>
      <c r="L77" s="98">
        <v>6.6500000000000017E-2</v>
      </c>
      <c r="M77" s="94">
        <v>30830.249999999996</v>
      </c>
      <c r="N77" s="96">
        <v>101.19</v>
      </c>
      <c r="O77" s="94">
        <v>108.62840999999997</v>
      </c>
      <c r="P77" s="95">
        <f t="shared" si="1"/>
        <v>1.4915420480926851E-2</v>
      </c>
      <c r="Q77" s="95">
        <f>O77/'סכום נכסי הקרן'!$C$42</f>
        <v>4.5474520999845368E-4</v>
      </c>
    </row>
    <row r="78" spans="2:17">
      <c r="B78" s="87" t="s">
        <v>1573</v>
      </c>
      <c r="C78" s="97" t="s">
        <v>1495</v>
      </c>
      <c r="D78" s="84" t="s">
        <v>1534</v>
      </c>
      <c r="E78" s="84"/>
      <c r="F78" s="84" t="s">
        <v>665</v>
      </c>
      <c r="G78" s="106">
        <v>43738</v>
      </c>
      <c r="H78" s="84" t="s">
        <v>343</v>
      </c>
      <c r="I78" s="94">
        <v>1.33</v>
      </c>
      <c r="J78" s="97" t="s">
        <v>164</v>
      </c>
      <c r="K78" s="98">
        <v>6.5093999999999999E-2</v>
      </c>
      <c r="L78" s="98">
        <v>6.7399999999999988E-2</v>
      </c>
      <c r="M78" s="94">
        <v>7054.5699999999988</v>
      </c>
      <c r="N78" s="96">
        <v>101.08</v>
      </c>
      <c r="O78" s="94">
        <v>24.82931</v>
      </c>
      <c r="P78" s="95">
        <f t="shared" si="1"/>
        <v>3.4092333571050333E-3</v>
      </c>
      <c r="Q78" s="95">
        <f>O78/'סכום נכסי הקרן'!$C$42</f>
        <v>1.0394159124732386E-4</v>
      </c>
    </row>
    <row r="79" spans="2:17">
      <c r="B79" s="87" t="s">
        <v>1573</v>
      </c>
      <c r="C79" s="97" t="s">
        <v>1495</v>
      </c>
      <c r="D79" s="84">
        <v>6615</v>
      </c>
      <c r="E79" s="84"/>
      <c r="F79" s="84" t="s">
        <v>665</v>
      </c>
      <c r="G79" s="106">
        <v>43496</v>
      </c>
      <c r="H79" s="84" t="s">
        <v>343</v>
      </c>
      <c r="I79" s="94">
        <v>1.3300000000000003</v>
      </c>
      <c r="J79" s="97" t="s">
        <v>164</v>
      </c>
      <c r="K79" s="98">
        <v>6.5093999999999999E-2</v>
      </c>
      <c r="L79" s="98">
        <v>6.7400000000000015E-2</v>
      </c>
      <c r="M79" s="94">
        <v>4943.119999999999</v>
      </c>
      <c r="N79" s="96">
        <v>101.08</v>
      </c>
      <c r="O79" s="94">
        <v>17.397849999999995</v>
      </c>
      <c r="P79" s="95">
        <f t="shared" si="1"/>
        <v>2.3888432889157926E-3</v>
      </c>
      <c r="Q79" s="95">
        <f>O79/'סכום נכסי הקרן'!$C$42</f>
        <v>7.2831674069164751E-5</v>
      </c>
    </row>
    <row r="80" spans="2:17">
      <c r="B80" s="87" t="s">
        <v>1573</v>
      </c>
      <c r="C80" s="97" t="s">
        <v>1495</v>
      </c>
      <c r="D80" s="84" t="s">
        <v>1535</v>
      </c>
      <c r="E80" s="84"/>
      <c r="F80" s="84" t="s">
        <v>665</v>
      </c>
      <c r="G80" s="106">
        <v>43496</v>
      </c>
      <c r="H80" s="84" t="s">
        <v>343</v>
      </c>
      <c r="I80" s="94">
        <v>1.33</v>
      </c>
      <c r="J80" s="97" t="s">
        <v>164</v>
      </c>
      <c r="K80" s="98">
        <v>6.5093999999999999E-2</v>
      </c>
      <c r="L80" s="98">
        <v>6.7400000000000015E-2</v>
      </c>
      <c r="M80" s="94">
        <v>4270.9399999999987</v>
      </c>
      <c r="N80" s="96">
        <v>101.08</v>
      </c>
      <c r="O80" s="94">
        <v>15.032039999999997</v>
      </c>
      <c r="P80" s="95">
        <f t="shared" si="1"/>
        <v>2.064001464129979E-3</v>
      </c>
      <c r="Q80" s="95">
        <f>O80/'סכום נכסי הקרן'!$C$42</f>
        <v>6.2927812222466993E-5</v>
      </c>
    </row>
    <row r="81" spans="2:17">
      <c r="B81" s="87" t="s">
        <v>1573</v>
      </c>
      <c r="C81" s="97" t="s">
        <v>1495</v>
      </c>
      <c r="D81" s="84">
        <v>6719</v>
      </c>
      <c r="E81" s="84"/>
      <c r="F81" s="84" t="s">
        <v>665</v>
      </c>
      <c r="G81" s="106">
        <v>43487</v>
      </c>
      <c r="H81" s="84" t="s">
        <v>343</v>
      </c>
      <c r="I81" s="94">
        <v>1.3299999999999998</v>
      </c>
      <c r="J81" s="97" t="s">
        <v>164</v>
      </c>
      <c r="K81" s="98">
        <v>6.5093999999999999E-2</v>
      </c>
      <c r="L81" s="98">
        <v>6.7399999999999988E-2</v>
      </c>
      <c r="M81" s="94">
        <v>1978.7699999999998</v>
      </c>
      <c r="N81" s="96">
        <v>101.08</v>
      </c>
      <c r="O81" s="94">
        <v>6.9645200000000003</v>
      </c>
      <c r="P81" s="95">
        <f t="shared" si="1"/>
        <v>9.5627602620552673E-4</v>
      </c>
      <c r="Q81" s="95">
        <f>O81/'סכום נכסי הקרן'!$C$42</f>
        <v>2.9155191629320832E-5</v>
      </c>
    </row>
    <row r="82" spans="2:17">
      <c r="B82" s="87" t="s">
        <v>1573</v>
      </c>
      <c r="C82" s="97" t="s">
        <v>1495</v>
      </c>
      <c r="D82" s="84">
        <v>6735</v>
      </c>
      <c r="E82" s="84"/>
      <c r="F82" s="84" t="s">
        <v>665</v>
      </c>
      <c r="G82" s="106">
        <v>43493</v>
      </c>
      <c r="H82" s="84" t="s">
        <v>343</v>
      </c>
      <c r="I82" s="94">
        <v>1.33</v>
      </c>
      <c r="J82" s="97" t="s">
        <v>164</v>
      </c>
      <c r="K82" s="98">
        <v>6.5093999999999999E-2</v>
      </c>
      <c r="L82" s="98">
        <v>6.7399999999999988E-2</v>
      </c>
      <c r="M82" s="94">
        <v>4875.0999999999995</v>
      </c>
      <c r="N82" s="96">
        <v>101.08</v>
      </c>
      <c r="O82" s="94">
        <v>17.158459999999998</v>
      </c>
      <c r="P82" s="95">
        <f t="shared" si="1"/>
        <v>2.3559734116071862E-3</v>
      </c>
      <c r="Q82" s="95">
        <f>O82/'סכום נכסי הקרן'!$C$42</f>
        <v>7.1829528720433896E-5</v>
      </c>
    </row>
    <row r="83" spans="2:17">
      <c r="B83" s="87" t="s">
        <v>1573</v>
      </c>
      <c r="C83" s="97" t="s">
        <v>1495</v>
      </c>
      <c r="D83" s="84">
        <v>6956</v>
      </c>
      <c r="E83" s="84"/>
      <c r="F83" s="84" t="s">
        <v>665</v>
      </c>
      <c r="G83" s="106">
        <v>43628</v>
      </c>
      <c r="H83" s="84" t="s">
        <v>343</v>
      </c>
      <c r="I83" s="94">
        <v>1.35</v>
      </c>
      <c r="J83" s="97" t="s">
        <v>164</v>
      </c>
      <c r="K83" s="98">
        <v>6.5093999999999999E-2</v>
      </c>
      <c r="L83" s="98">
        <v>6.7900000000000002E-2</v>
      </c>
      <c r="M83" s="94">
        <v>8417.5400000000009</v>
      </c>
      <c r="N83" s="96">
        <v>101.08</v>
      </c>
      <c r="O83" s="94">
        <v>29.626429999999996</v>
      </c>
      <c r="P83" s="95">
        <f t="shared" si="1"/>
        <v>4.067910602748818E-3</v>
      </c>
      <c r="Q83" s="95">
        <f>O83/'סכום נכסי הקרן'!$C$42</f>
        <v>1.2402351403149956E-4</v>
      </c>
    </row>
    <row r="84" spans="2:17">
      <c r="B84" s="87" t="s">
        <v>1573</v>
      </c>
      <c r="C84" s="97" t="s">
        <v>1495</v>
      </c>
      <c r="D84" s="84">
        <v>6829</v>
      </c>
      <c r="E84" s="84"/>
      <c r="F84" s="84" t="s">
        <v>665</v>
      </c>
      <c r="G84" s="106">
        <v>43738</v>
      </c>
      <c r="H84" s="84" t="s">
        <v>343</v>
      </c>
      <c r="I84" s="94">
        <v>1.33</v>
      </c>
      <c r="J84" s="97" t="s">
        <v>164</v>
      </c>
      <c r="K84" s="98">
        <v>6.5093999999999999E-2</v>
      </c>
      <c r="L84" s="98">
        <v>6.7400000000000015E-2</v>
      </c>
      <c r="M84" s="94">
        <v>3414.1699999999996</v>
      </c>
      <c r="N84" s="96">
        <v>101.08</v>
      </c>
      <c r="O84" s="94">
        <v>12.016549999999997</v>
      </c>
      <c r="P84" s="95">
        <f t="shared" si="1"/>
        <v>1.6499541508531842E-3</v>
      </c>
      <c r="Q84" s="95">
        <f>O84/'סכום נכסי הקרן'!$C$42</f>
        <v>5.0304230294882514E-5</v>
      </c>
    </row>
    <row r="85" spans="2:17">
      <c r="B85" s="87" t="s">
        <v>1573</v>
      </c>
      <c r="C85" s="97" t="s">
        <v>1495</v>
      </c>
      <c r="D85" s="84">
        <v>6886</v>
      </c>
      <c r="E85" s="84"/>
      <c r="F85" s="84" t="s">
        <v>665</v>
      </c>
      <c r="G85" s="106">
        <v>43578</v>
      </c>
      <c r="H85" s="84" t="s">
        <v>343</v>
      </c>
      <c r="I85" s="94">
        <v>1.3299999999999998</v>
      </c>
      <c r="J85" s="97" t="s">
        <v>164</v>
      </c>
      <c r="K85" s="98">
        <v>6.5111000000000002E-2</v>
      </c>
      <c r="L85" s="98">
        <v>6.7000000000000004E-2</v>
      </c>
      <c r="M85" s="94">
        <v>2206.8899999999994</v>
      </c>
      <c r="N85" s="96">
        <v>101.08</v>
      </c>
      <c r="O85" s="94">
        <v>7.7673699999999988</v>
      </c>
      <c r="P85" s="95">
        <f t="shared" si="1"/>
        <v>1.0665127988243297E-3</v>
      </c>
      <c r="Q85" s="95">
        <f>O85/'סכום נכסי הקרן'!$C$42</f>
        <v>3.2516118958067136E-5</v>
      </c>
    </row>
    <row r="86" spans="2:17">
      <c r="B86" s="87" t="s">
        <v>1573</v>
      </c>
      <c r="C86" s="97" t="s">
        <v>1495</v>
      </c>
      <c r="D86" s="84">
        <v>6889</v>
      </c>
      <c r="E86" s="84"/>
      <c r="F86" s="84" t="s">
        <v>665</v>
      </c>
      <c r="G86" s="106">
        <v>43584</v>
      </c>
      <c r="H86" s="84" t="s">
        <v>343</v>
      </c>
      <c r="I86" s="94">
        <v>1.3499999999999999</v>
      </c>
      <c r="J86" s="97" t="s">
        <v>164</v>
      </c>
      <c r="K86" s="98">
        <v>6.5111000000000002E-2</v>
      </c>
      <c r="L86" s="98">
        <v>6.7199999999999996E-2</v>
      </c>
      <c r="M86" s="94">
        <v>4218.8500000000004</v>
      </c>
      <c r="N86" s="96">
        <v>101.08</v>
      </c>
      <c r="O86" s="94">
        <v>14.848669999999998</v>
      </c>
      <c r="P86" s="95">
        <f t="shared" si="1"/>
        <v>2.0388235143322464E-3</v>
      </c>
      <c r="Q86" s="95">
        <f>O86/'סכום נכסי הקרן'!$C$42</f>
        <v>6.2160180355652262E-5</v>
      </c>
    </row>
    <row r="87" spans="2:17">
      <c r="B87" s="87" t="s">
        <v>1573</v>
      </c>
      <c r="C87" s="97" t="s">
        <v>1495</v>
      </c>
      <c r="D87" s="84">
        <v>6926</v>
      </c>
      <c r="E87" s="84"/>
      <c r="F87" s="84" t="s">
        <v>665</v>
      </c>
      <c r="G87" s="106">
        <v>43738</v>
      </c>
      <c r="H87" s="84" t="s">
        <v>343</v>
      </c>
      <c r="I87" s="94">
        <v>1.35</v>
      </c>
      <c r="J87" s="97" t="s">
        <v>164</v>
      </c>
      <c r="K87" s="98">
        <v>6.5111000000000002E-2</v>
      </c>
      <c r="L87" s="98">
        <v>6.7199999999999996E-2</v>
      </c>
      <c r="M87" s="94">
        <v>1859.6899999999996</v>
      </c>
      <c r="N87" s="96">
        <v>101.08</v>
      </c>
      <c r="O87" s="94">
        <v>6.5453599999999987</v>
      </c>
      <c r="P87" s="95">
        <f t="shared" si="1"/>
        <v>8.9872250361612929E-4</v>
      </c>
      <c r="Q87" s="95">
        <f>O87/'סכום נכסי הקרן'!$C$42</f>
        <v>2.740048489815398E-5</v>
      </c>
    </row>
    <row r="88" spans="2:17">
      <c r="B88" s="87" t="s">
        <v>1573</v>
      </c>
      <c r="C88" s="97" t="s">
        <v>1495</v>
      </c>
      <c r="D88" s="84" t="s">
        <v>1536</v>
      </c>
      <c r="E88" s="84"/>
      <c r="F88" s="84" t="s">
        <v>665</v>
      </c>
      <c r="G88" s="106">
        <v>43706</v>
      </c>
      <c r="H88" s="84" t="s">
        <v>343</v>
      </c>
      <c r="I88" s="94">
        <v>1.34</v>
      </c>
      <c r="J88" s="97" t="s">
        <v>164</v>
      </c>
      <c r="K88" s="98">
        <v>6.3948000000000005E-2</v>
      </c>
      <c r="L88" s="98">
        <v>6.6400000000000001E-2</v>
      </c>
      <c r="M88" s="94">
        <v>1021.0999999999999</v>
      </c>
      <c r="N88" s="96">
        <v>100.56</v>
      </c>
      <c r="O88" s="94">
        <v>3.5753899999999996</v>
      </c>
      <c r="P88" s="95">
        <f t="shared" si="1"/>
        <v>4.9092539634245833E-4</v>
      </c>
      <c r="Q88" s="95">
        <f>O88/'סכום נכסי הקרן'!$C$42</f>
        <v>1.496746087304759E-5</v>
      </c>
    </row>
    <row r="89" spans="2:17">
      <c r="B89" s="87" t="s">
        <v>1573</v>
      </c>
      <c r="C89" s="97" t="s">
        <v>1495</v>
      </c>
      <c r="D89" s="84">
        <v>7007</v>
      </c>
      <c r="E89" s="84"/>
      <c r="F89" s="84" t="s">
        <v>665</v>
      </c>
      <c r="G89" s="106">
        <v>43738</v>
      </c>
      <c r="H89" s="84" t="s">
        <v>343</v>
      </c>
      <c r="I89" s="94">
        <v>1.3299999999999996</v>
      </c>
      <c r="J89" s="97" t="s">
        <v>164</v>
      </c>
      <c r="K89" s="98">
        <v>6.5093999999999999E-2</v>
      </c>
      <c r="L89" s="98">
        <v>6.7699999999999982E-2</v>
      </c>
      <c r="M89" s="94">
        <v>3340.1099999999992</v>
      </c>
      <c r="N89" s="96">
        <v>101.08</v>
      </c>
      <c r="O89" s="94">
        <v>11.75586</v>
      </c>
      <c r="P89" s="95">
        <f t="shared" si="1"/>
        <v>1.614159638485998E-3</v>
      </c>
      <c r="Q89" s="95">
        <f>O89/'סכום נכסי הקרן'!$C$42</f>
        <v>4.921291791357733E-5</v>
      </c>
    </row>
    <row r="90" spans="2:17">
      <c r="B90" s="87" t="s">
        <v>1573</v>
      </c>
      <c r="C90" s="97" t="s">
        <v>1495</v>
      </c>
      <c r="D90" s="84" t="s">
        <v>1537</v>
      </c>
      <c r="E90" s="84"/>
      <c r="F90" s="84" t="s">
        <v>665</v>
      </c>
      <c r="G90" s="106">
        <v>43669</v>
      </c>
      <c r="H90" s="84" t="s">
        <v>343</v>
      </c>
      <c r="I90" s="94">
        <v>1.33</v>
      </c>
      <c r="J90" s="97" t="s">
        <v>164</v>
      </c>
      <c r="K90" s="98">
        <v>6.5093999999999999E-2</v>
      </c>
      <c r="L90" s="98">
        <v>6.770000000000001E-2</v>
      </c>
      <c r="M90" s="94">
        <v>130.55999999999997</v>
      </c>
      <c r="N90" s="96">
        <v>101.08</v>
      </c>
      <c r="O90" s="94">
        <v>0.45951999999999993</v>
      </c>
      <c r="P90" s="95">
        <f t="shared" si="1"/>
        <v>6.3095225451569324E-5</v>
      </c>
      <c r="Q90" s="95">
        <f>O90/'סכום נכסי הקרן'!$C$42</f>
        <v>1.9236636060353774E-6</v>
      </c>
    </row>
    <row r="91" spans="2:17">
      <c r="B91" s="87" t="s">
        <v>1573</v>
      </c>
      <c r="C91" s="97" t="s">
        <v>1495</v>
      </c>
      <c r="D91" s="84">
        <v>7078</v>
      </c>
      <c r="E91" s="84"/>
      <c r="F91" s="84" t="s">
        <v>665</v>
      </c>
      <c r="G91" s="106">
        <v>43677</v>
      </c>
      <c r="H91" s="84" t="s">
        <v>343</v>
      </c>
      <c r="I91" s="94">
        <v>1.33</v>
      </c>
      <c r="J91" s="97" t="s">
        <v>164</v>
      </c>
      <c r="K91" s="98">
        <v>6.5093999999999999E-2</v>
      </c>
      <c r="L91" s="98">
        <v>6.7699999999999996E-2</v>
      </c>
      <c r="M91" s="94">
        <v>2350.08</v>
      </c>
      <c r="N91" s="96">
        <v>101.08</v>
      </c>
      <c r="O91" s="94">
        <v>8.2713399999999986</v>
      </c>
      <c r="P91" s="95">
        <f t="shared" si="1"/>
        <v>1.1357113119920424E-3</v>
      </c>
      <c r="Q91" s="95">
        <f>O91/'סכום נכסי הקרן'!$C$42</f>
        <v>3.4625861183723577E-5</v>
      </c>
    </row>
    <row r="92" spans="2:17">
      <c r="B92" s="87" t="s">
        <v>1574</v>
      </c>
      <c r="C92" s="97" t="s">
        <v>1495</v>
      </c>
      <c r="D92" s="84" t="s">
        <v>1538</v>
      </c>
      <c r="E92" s="84"/>
      <c r="F92" s="84" t="s">
        <v>948</v>
      </c>
      <c r="G92" s="106">
        <v>42732</v>
      </c>
      <c r="H92" s="84" t="s">
        <v>1493</v>
      </c>
      <c r="I92" s="94">
        <v>3.7699999999999996</v>
      </c>
      <c r="J92" s="97" t="s">
        <v>165</v>
      </c>
      <c r="K92" s="98">
        <v>2.1613000000000004E-2</v>
      </c>
      <c r="L92" s="98">
        <v>7.8000000000000005E-3</v>
      </c>
      <c r="M92" s="94">
        <v>95435.039999999979</v>
      </c>
      <c r="N92" s="96">
        <v>107.42</v>
      </c>
      <c r="O92" s="94">
        <v>102.51630999999999</v>
      </c>
      <c r="P92" s="95">
        <f t="shared" si="1"/>
        <v>1.4076187525924815E-2</v>
      </c>
      <c r="Q92" s="95">
        <f>O92/'סכום נכסי הקרן'!$C$42</f>
        <v>4.2915845789528339E-4</v>
      </c>
    </row>
    <row r="93" spans="2:17">
      <c r="B93" s="87" t="s">
        <v>1575</v>
      </c>
      <c r="C93" s="97" t="s">
        <v>1494</v>
      </c>
      <c r="D93" s="84" t="s">
        <v>1539</v>
      </c>
      <c r="E93" s="84"/>
      <c r="F93" s="84" t="s">
        <v>948</v>
      </c>
      <c r="G93" s="106">
        <v>42978</v>
      </c>
      <c r="H93" s="84" t="s">
        <v>1493</v>
      </c>
      <c r="I93" s="94">
        <v>3.0199999999999996</v>
      </c>
      <c r="J93" s="97" t="s">
        <v>165</v>
      </c>
      <c r="K93" s="98">
        <v>2.4500000000000001E-2</v>
      </c>
      <c r="L93" s="98">
        <v>2.07E-2</v>
      </c>
      <c r="M93" s="94">
        <v>15787.919999999998</v>
      </c>
      <c r="N93" s="96">
        <v>101.36</v>
      </c>
      <c r="O93" s="94">
        <v>16.002649999999999</v>
      </c>
      <c r="P93" s="95">
        <f t="shared" si="1"/>
        <v>2.1972728272383266E-3</v>
      </c>
      <c r="Q93" s="95">
        <f>O93/'סכום נכסי הקרן'!$C$42</f>
        <v>6.6991024123263482E-5</v>
      </c>
    </row>
    <row r="94" spans="2:17">
      <c r="B94" s="87" t="s">
        <v>1575</v>
      </c>
      <c r="C94" s="97" t="s">
        <v>1494</v>
      </c>
      <c r="D94" s="84" t="s">
        <v>1540</v>
      </c>
      <c r="E94" s="84"/>
      <c r="F94" s="84" t="s">
        <v>948</v>
      </c>
      <c r="G94" s="106">
        <v>42978</v>
      </c>
      <c r="H94" s="84" t="s">
        <v>1493</v>
      </c>
      <c r="I94" s="94">
        <v>3.0100000000000002</v>
      </c>
      <c r="J94" s="97" t="s">
        <v>165</v>
      </c>
      <c r="K94" s="98">
        <v>2.76E-2</v>
      </c>
      <c r="L94" s="98">
        <v>2.18E-2</v>
      </c>
      <c r="M94" s="94">
        <v>36838.53</v>
      </c>
      <c r="N94" s="96">
        <v>101.98</v>
      </c>
      <c r="O94" s="94">
        <v>37.56792999999999</v>
      </c>
      <c r="P94" s="95">
        <f t="shared" si="1"/>
        <v>5.1583326364440596E-3</v>
      </c>
      <c r="Q94" s="95">
        <f>O94/'סכום נכסי הקרן'!$C$42</f>
        <v>1.5726858394647596E-4</v>
      </c>
    </row>
    <row r="95" spans="2:17">
      <c r="B95" s="87" t="s">
        <v>1576</v>
      </c>
      <c r="C95" s="97" t="s">
        <v>1495</v>
      </c>
      <c r="D95" s="84" t="s">
        <v>1541</v>
      </c>
      <c r="E95" s="84"/>
      <c r="F95" s="84" t="s">
        <v>657</v>
      </c>
      <c r="G95" s="106">
        <v>43552</v>
      </c>
      <c r="H95" s="84" t="s">
        <v>161</v>
      </c>
      <c r="I95" s="94">
        <v>6.65</v>
      </c>
      <c r="J95" s="97" t="s">
        <v>165</v>
      </c>
      <c r="K95" s="98">
        <v>3.5499999999999997E-2</v>
      </c>
      <c r="L95" s="98">
        <v>3.5400000000000001E-2</v>
      </c>
      <c r="M95" s="94">
        <v>193977.7</v>
      </c>
      <c r="N95" s="96">
        <v>101.25</v>
      </c>
      <c r="O95" s="94">
        <v>196.40242999999995</v>
      </c>
      <c r="P95" s="95">
        <f t="shared" si="1"/>
        <v>2.6967391190995085E-2</v>
      </c>
      <c r="Q95" s="95">
        <f>O95/'סכום נכסי הקרן'!$C$42</f>
        <v>8.2218882035147713E-4</v>
      </c>
    </row>
    <row r="96" spans="2:17">
      <c r="B96" s="87" t="s">
        <v>1577</v>
      </c>
      <c r="C96" s="97" t="s">
        <v>1495</v>
      </c>
      <c r="D96" s="84" t="s">
        <v>1542</v>
      </c>
      <c r="E96" s="84"/>
      <c r="F96" s="84" t="s">
        <v>657</v>
      </c>
      <c r="G96" s="106">
        <v>43227</v>
      </c>
      <c r="H96" s="84" t="s">
        <v>161</v>
      </c>
      <c r="I96" s="94">
        <v>0.10000000000000002</v>
      </c>
      <c r="J96" s="97" t="s">
        <v>165</v>
      </c>
      <c r="K96" s="98">
        <v>2.75E-2</v>
      </c>
      <c r="L96" s="98">
        <v>1.7000000000000003E-3</v>
      </c>
      <c r="M96" s="94">
        <v>269.39999999999992</v>
      </c>
      <c r="N96" s="96">
        <v>100.44</v>
      </c>
      <c r="O96" s="94">
        <v>0.27058999999999994</v>
      </c>
      <c r="P96" s="95">
        <f t="shared" si="1"/>
        <v>3.71538497887799E-5</v>
      </c>
      <c r="Q96" s="95">
        <f>O96/'סכום נכסי הקרן'!$C$42</f>
        <v>1.1327562133467809E-6</v>
      </c>
    </row>
    <row r="97" spans="2:17">
      <c r="B97" s="87" t="s">
        <v>1577</v>
      </c>
      <c r="C97" s="97" t="s">
        <v>1495</v>
      </c>
      <c r="D97" s="84" t="s">
        <v>1543</v>
      </c>
      <c r="E97" s="84"/>
      <c r="F97" s="84" t="s">
        <v>657</v>
      </c>
      <c r="G97" s="106">
        <v>43279</v>
      </c>
      <c r="H97" s="84" t="s">
        <v>161</v>
      </c>
      <c r="I97" s="94">
        <v>7.9999999999999988E-2</v>
      </c>
      <c r="J97" s="97" t="s">
        <v>165</v>
      </c>
      <c r="K97" s="98">
        <v>2.75E-2</v>
      </c>
      <c r="L97" s="98">
        <v>2.6299999999999994E-2</v>
      </c>
      <c r="M97" s="94">
        <v>1164.1099999999997</v>
      </c>
      <c r="N97" s="96">
        <v>100.26</v>
      </c>
      <c r="O97" s="94">
        <v>1.16713</v>
      </c>
      <c r="P97" s="95">
        <f t="shared" si="1"/>
        <v>1.6025489746102479E-4</v>
      </c>
      <c r="Q97" s="95">
        <f>O97/'סכום נכסי הקרן'!$C$42</f>
        <v>4.8858928980502921E-6</v>
      </c>
    </row>
    <row r="98" spans="2:17">
      <c r="B98" s="87" t="s">
        <v>1577</v>
      </c>
      <c r="C98" s="97" t="s">
        <v>1495</v>
      </c>
      <c r="D98" s="84" t="s">
        <v>1544</v>
      </c>
      <c r="E98" s="84"/>
      <c r="F98" s="84" t="s">
        <v>657</v>
      </c>
      <c r="G98" s="106">
        <v>43321</v>
      </c>
      <c r="H98" s="84" t="s">
        <v>161</v>
      </c>
      <c r="I98" s="94">
        <v>0.03</v>
      </c>
      <c r="J98" s="97" t="s">
        <v>165</v>
      </c>
      <c r="K98" s="98">
        <v>2.75E-2</v>
      </c>
      <c r="L98" s="98">
        <v>2.0199999999999999E-2</v>
      </c>
      <c r="M98" s="94">
        <v>5138.9499999999989</v>
      </c>
      <c r="N98" s="96">
        <v>100.41</v>
      </c>
      <c r="O98" s="94">
        <v>5.1600199999999994</v>
      </c>
      <c r="P98" s="95">
        <f t="shared" si="1"/>
        <v>7.0850588708784546E-4</v>
      </c>
      <c r="Q98" s="95">
        <f>O98/'סכום נכסי הקרן'!$C$42</f>
        <v>2.1601111334467855E-5</v>
      </c>
    </row>
    <row r="99" spans="2:17">
      <c r="B99" s="87" t="s">
        <v>1577</v>
      </c>
      <c r="C99" s="97" t="s">
        <v>1495</v>
      </c>
      <c r="D99" s="84" t="s">
        <v>1545</v>
      </c>
      <c r="E99" s="84"/>
      <c r="F99" s="84" t="s">
        <v>657</v>
      </c>
      <c r="G99" s="106">
        <v>43227</v>
      </c>
      <c r="H99" s="84" t="s">
        <v>161</v>
      </c>
      <c r="I99" s="94">
        <v>9.26</v>
      </c>
      <c r="J99" s="97" t="s">
        <v>165</v>
      </c>
      <c r="K99" s="98">
        <v>2.9805999999999999E-2</v>
      </c>
      <c r="L99" s="98">
        <v>1.8299999999999997E-2</v>
      </c>
      <c r="M99" s="94">
        <v>5888.39</v>
      </c>
      <c r="N99" s="96">
        <v>111.41</v>
      </c>
      <c r="O99" s="94">
        <v>6.560249999999999</v>
      </c>
      <c r="P99" s="95">
        <f t="shared" si="1"/>
        <v>9.0076700202092977E-4</v>
      </c>
      <c r="Q99" s="95">
        <f>O99/'סכום נכסי הקרן'!$C$42</f>
        <v>2.7462818096042792E-5</v>
      </c>
    </row>
    <row r="100" spans="2:17">
      <c r="B100" s="87" t="s">
        <v>1577</v>
      </c>
      <c r="C100" s="97" t="s">
        <v>1495</v>
      </c>
      <c r="D100" s="84" t="s">
        <v>1546</v>
      </c>
      <c r="E100" s="84"/>
      <c r="F100" s="84" t="s">
        <v>657</v>
      </c>
      <c r="G100" s="106">
        <v>43279</v>
      </c>
      <c r="H100" s="84" t="s">
        <v>161</v>
      </c>
      <c r="I100" s="94">
        <v>9.2900000000000009</v>
      </c>
      <c r="J100" s="97" t="s">
        <v>165</v>
      </c>
      <c r="K100" s="98">
        <v>2.9796999999999997E-2</v>
      </c>
      <c r="L100" s="98">
        <v>1.7300000000000003E-2</v>
      </c>
      <c r="M100" s="94">
        <v>6886.6399999999985</v>
      </c>
      <c r="N100" s="96">
        <v>111.39</v>
      </c>
      <c r="O100" s="94">
        <v>7.6710199999999986</v>
      </c>
      <c r="P100" s="95">
        <f t="shared" si="1"/>
        <v>1.0532832876555911E-3</v>
      </c>
      <c r="Q100" s="95">
        <f>O100/'סכום נכסי הקרן'!$C$42</f>
        <v>3.2112774188652287E-5</v>
      </c>
    </row>
    <row r="101" spans="2:17">
      <c r="B101" s="87" t="s">
        <v>1577</v>
      </c>
      <c r="C101" s="97" t="s">
        <v>1495</v>
      </c>
      <c r="D101" s="84" t="s">
        <v>1547</v>
      </c>
      <c r="E101" s="84"/>
      <c r="F101" s="84" t="s">
        <v>657</v>
      </c>
      <c r="G101" s="106">
        <v>43321</v>
      </c>
      <c r="H101" s="84" t="s">
        <v>161</v>
      </c>
      <c r="I101" s="94">
        <v>9.2899999999999991</v>
      </c>
      <c r="J101" s="97" t="s">
        <v>165</v>
      </c>
      <c r="K101" s="98">
        <v>3.0529000000000001E-2</v>
      </c>
      <c r="L101" s="98">
        <v>1.67E-2</v>
      </c>
      <c r="M101" s="94">
        <v>38577.999999999993</v>
      </c>
      <c r="N101" s="96">
        <v>112.62</v>
      </c>
      <c r="O101" s="94">
        <v>43.446539999999992</v>
      </c>
      <c r="P101" s="95">
        <f t="shared" si="1"/>
        <v>5.9655058243180369E-3</v>
      </c>
      <c r="Q101" s="95">
        <f>O101/'סכום נכסי הקרן'!$C$42</f>
        <v>1.8187788955031394E-4</v>
      </c>
    </row>
    <row r="102" spans="2:17">
      <c r="B102" s="87" t="s">
        <v>1577</v>
      </c>
      <c r="C102" s="97" t="s">
        <v>1495</v>
      </c>
      <c r="D102" s="84" t="s">
        <v>1548</v>
      </c>
      <c r="E102" s="84"/>
      <c r="F102" s="84" t="s">
        <v>657</v>
      </c>
      <c r="G102" s="106">
        <v>43138</v>
      </c>
      <c r="H102" s="84" t="s">
        <v>161</v>
      </c>
      <c r="I102" s="94">
        <v>9.2200000000000006</v>
      </c>
      <c r="J102" s="97" t="s">
        <v>165</v>
      </c>
      <c r="K102" s="98">
        <v>2.8239999999999998E-2</v>
      </c>
      <c r="L102" s="98">
        <v>2.0799999999999996E-2</v>
      </c>
      <c r="M102" s="94">
        <v>36920.869999999995</v>
      </c>
      <c r="N102" s="96">
        <v>107.32</v>
      </c>
      <c r="O102" s="94">
        <v>39.623479999999994</v>
      </c>
      <c r="P102" s="95">
        <f t="shared" si="1"/>
        <v>5.4405736502780031E-3</v>
      </c>
      <c r="Q102" s="95">
        <f>O102/'סכום נכסי הקרן'!$C$42</f>
        <v>1.6587362121446434E-4</v>
      </c>
    </row>
    <row r="103" spans="2:17">
      <c r="B103" s="87" t="s">
        <v>1577</v>
      </c>
      <c r="C103" s="97" t="s">
        <v>1495</v>
      </c>
      <c r="D103" s="84" t="s">
        <v>1549</v>
      </c>
      <c r="E103" s="84"/>
      <c r="F103" s="84" t="s">
        <v>657</v>
      </c>
      <c r="G103" s="106">
        <v>43417</v>
      </c>
      <c r="H103" s="84" t="s">
        <v>161</v>
      </c>
      <c r="I103" s="94">
        <v>9.2100000000000009</v>
      </c>
      <c r="J103" s="97" t="s">
        <v>165</v>
      </c>
      <c r="K103" s="98">
        <v>3.2797E-2</v>
      </c>
      <c r="L103" s="98">
        <v>1.7899999999999999E-2</v>
      </c>
      <c r="M103" s="94">
        <v>43922.8</v>
      </c>
      <c r="N103" s="96">
        <v>113.34</v>
      </c>
      <c r="O103" s="94">
        <v>49.782099999999993</v>
      </c>
      <c r="P103" s="95">
        <f t="shared" si="1"/>
        <v>6.8354213591412102E-3</v>
      </c>
      <c r="Q103" s="95">
        <f>O103/'סכום נכסי הקרן'!$C$42</f>
        <v>2.0840010010883913E-4</v>
      </c>
    </row>
    <row r="104" spans="2:17">
      <c r="B104" s="87" t="s">
        <v>1577</v>
      </c>
      <c r="C104" s="97" t="s">
        <v>1495</v>
      </c>
      <c r="D104" s="84" t="s">
        <v>1550</v>
      </c>
      <c r="E104" s="84"/>
      <c r="F104" s="84" t="s">
        <v>657</v>
      </c>
      <c r="G104" s="106">
        <v>43496</v>
      </c>
      <c r="H104" s="84" t="s">
        <v>161</v>
      </c>
      <c r="I104" s="94">
        <v>9.3000000000000007</v>
      </c>
      <c r="J104" s="97" t="s">
        <v>165</v>
      </c>
      <c r="K104" s="98">
        <v>3.2190999999999997E-2</v>
      </c>
      <c r="L104" s="98">
        <v>1.52E-2</v>
      </c>
      <c r="M104" s="94">
        <v>55505.169999999991</v>
      </c>
      <c r="N104" s="96">
        <v>115.97</v>
      </c>
      <c r="O104" s="94">
        <v>64.36936</v>
      </c>
      <c r="P104" s="95">
        <f t="shared" si="1"/>
        <v>8.8383515002028821E-3</v>
      </c>
      <c r="Q104" s="95">
        <f>O104/'סכום נכסי הקרן'!$C$42</f>
        <v>2.694659539863105E-4</v>
      </c>
    </row>
    <row r="105" spans="2:17">
      <c r="B105" s="87" t="s">
        <v>1577</v>
      </c>
      <c r="C105" s="97" t="s">
        <v>1495</v>
      </c>
      <c r="D105" s="84" t="s">
        <v>1551</v>
      </c>
      <c r="E105" s="84"/>
      <c r="F105" s="84" t="s">
        <v>657</v>
      </c>
      <c r="G105" s="106">
        <v>43613</v>
      </c>
      <c r="H105" s="84" t="s">
        <v>161</v>
      </c>
      <c r="I105" s="94">
        <v>9.379999999999999</v>
      </c>
      <c r="J105" s="97" t="s">
        <v>165</v>
      </c>
      <c r="K105" s="98">
        <v>2.6495999999999999E-2</v>
      </c>
      <c r="L105" s="98">
        <v>1.6800000000000002E-2</v>
      </c>
      <c r="M105" s="94">
        <v>14646.079999999998</v>
      </c>
      <c r="N105" s="96">
        <v>107.86</v>
      </c>
      <c r="O105" s="94">
        <v>15.797259999999998</v>
      </c>
      <c r="P105" s="95">
        <f t="shared" si="1"/>
        <v>2.1690713814786254E-3</v>
      </c>
      <c r="Q105" s="95">
        <f>O105/'סכום נכסי הקרן'!$C$42</f>
        <v>6.6131211126998663E-5</v>
      </c>
    </row>
    <row r="106" spans="2:17">
      <c r="B106" s="87" t="s">
        <v>1577</v>
      </c>
      <c r="C106" s="97" t="s">
        <v>1495</v>
      </c>
      <c r="D106" s="84" t="s">
        <v>1552</v>
      </c>
      <c r="E106" s="84"/>
      <c r="F106" s="84" t="s">
        <v>657</v>
      </c>
      <c r="G106" s="106">
        <v>43677</v>
      </c>
      <c r="H106" s="84" t="s">
        <v>161</v>
      </c>
      <c r="I106" s="94">
        <v>9.34</v>
      </c>
      <c r="J106" s="97" t="s">
        <v>165</v>
      </c>
      <c r="K106" s="98">
        <v>2.5337000000000002E-2</v>
      </c>
      <c r="L106" s="98">
        <v>1.95E-2</v>
      </c>
      <c r="M106" s="94">
        <v>14447.569999999998</v>
      </c>
      <c r="N106" s="96">
        <v>104.18</v>
      </c>
      <c r="O106" s="94">
        <v>15.051479999999998</v>
      </c>
      <c r="P106" s="95">
        <f t="shared" si="1"/>
        <v>2.0666707085214716E-3</v>
      </c>
      <c r="Q106" s="95">
        <f>O106/'סכום נכסי הקרן'!$C$42</f>
        <v>6.3009192838112292E-5</v>
      </c>
    </row>
    <row r="107" spans="2:17">
      <c r="B107" s="87" t="s">
        <v>1577</v>
      </c>
      <c r="C107" s="97" t="s">
        <v>1495</v>
      </c>
      <c r="D107" s="84" t="s">
        <v>1553</v>
      </c>
      <c r="E107" s="84"/>
      <c r="F107" s="84" t="s">
        <v>657</v>
      </c>
      <c r="G107" s="106">
        <v>43541</v>
      </c>
      <c r="H107" s="84" t="s">
        <v>161</v>
      </c>
      <c r="I107" s="94">
        <v>9.2899999999999974</v>
      </c>
      <c r="J107" s="97" t="s">
        <v>165</v>
      </c>
      <c r="K107" s="98">
        <v>2.9270999999999998E-2</v>
      </c>
      <c r="L107" s="98">
        <v>1.7399999999999999E-2</v>
      </c>
      <c r="M107" s="94">
        <v>4766.4899999999989</v>
      </c>
      <c r="N107" s="96">
        <v>110.81</v>
      </c>
      <c r="O107" s="94">
        <v>5.2817600000000002</v>
      </c>
      <c r="P107" s="95">
        <f t="shared" si="1"/>
        <v>7.2522161816913487E-4</v>
      </c>
      <c r="Q107" s="95">
        <f>O107/'סכום נכסי הקרן'!$C$42</f>
        <v>2.211074488120956E-5</v>
      </c>
    </row>
    <row r="108" spans="2:17">
      <c r="B108" s="87" t="s">
        <v>1578</v>
      </c>
      <c r="C108" s="97" t="s">
        <v>1495</v>
      </c>
      <c r="D108" s="84" t="s">
        <v>1554</v>
      </c>
      <c r="E108" s="84"/>
      <c r="F108" s="84" t="s">
        <v>697</v>
      </c>
      <c r="G108" s="106">
        <v>42825</v>
      </c>
      <c r="H108" s="84" t="s">
        <v>161</v>
      </c>
      <c r="I108" s="94">
        <v>6.7600000000000007</v>
      </c>
      <c r="J108" s="97" t="s">
        <v>165</v>
      </c>
      <c r="K108" s="98">
        <v>2.8999999999999998E-2</v>
      </c>
      <c r="L108" s="98">
        <v>1.46E-2</v>
      </c>
      <c r="M108" s="94">
        <v>206074.36999999997</v>
      </c>
      <c r="N108" s="96">
        <v>113.99</v>
      </c>
      <c r="O108" s="94">
        <v>234.90417999999997</v>
      </c>
      <c r="P108" s="95">
        <f t="shared" si="1"/>
        <v>3.2253943672997956E-2</v>
      </c>
      <c r="Q108" s="95">
        <f>O108/'סכום נכסי הקרן'!$C$42</f>
        <v>9.8336660422088996E-4</v>
      </c>
    </row>
    <row r="109" spans="2:17">
      <c r="B109" s="87" t="s">
        <v>1579</v>
      </c>
      <c r="C109" s="97" t="s">
        <v>1494</v>
      </c>
      <c r="D109" s="84">
        <v>6718</v>
      </c>
      <c r="E109" s="84"/>
      <c r="F109" s="84" t="s">
        <v>1159</v>
      </c>
      <c r="G109" s="106">
        <v>43482</v>
      </c>
      <c r="H109" s="84"/>
      <c r="I109" s="94">
        <v>3.82</v>
      </c>
      <c r="J109" s="97" t="s">
        <v>165</v>
      </c>
      <c r="K109" s="98">
        <v>4.1299999999999996E-2</v>
      </c>
      <c r="L109" s="98">
        <v>2.41E-2</v>
      </c>
      <c r="M109" s="94">
        <v>257354.18999999997</v>
      </c>
      <c r="N109" s="96">
        <v>106.89</v>
      </c>
      <c r="O109" s="94">
        <v>275.08588999999995</v>
      </c>
      <c r="P109" s="95">
        <f t="shared" si="1"/>
        <v>3.7771166103968482E-2</v>
      </c>
      <c r="Q109" s="95">
        <f>O109/'סכום נכסי הקרן'!$C$42</f>
        <v>1.1515771133505639E-3</v>
      </c>
    </row>
    <row r="110" spans="2:17"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94"/>
      <c r="N110" s="96"/>
      <c r="O110" s="84"/>
      <c r="P110" s="95"/>
      <c r="Q110" s="84"/>
    </row>
    <row r="111" spans="2:17">
      <c r="B111" s="81" t="s">
        <v>39</v>
      </c>
      <c r="C111" s="82"/>
      <c r="D111" s="82"/>
      <c r="E111" s="82"/>
      <c r="F111" s="82"/>
      <c r="G111" s="82"/>
      <c r="H111" s="82"/>
      <c r="I111" s="91">
        <v>5.4462047138446055</v>
      </c>
      <c r="J111" s="82"/>
      <c r="K111" s="82"/>
      <c r="L111" s="104">
        <v>3.795153531212269E-2</v>
      </c>
      <c r="M111" s="91"/>
      <c r="N111" s="93"/>
      <c r="O111" s="91">
        <f>O112</f>
        <v>1175.9250599999998</v>
      </c>
      <c r="P111" s="92">
        <f t="shared" si="1"/>
        <v>0.16146251909568718</v>
      </c>
      <c r="Q111" s="92">
        <f>O111/'סכום נכסי הקרן'!$C$42</f>
        <v>4.9227111798114719E-3</v>
      </c>
    </row>
    <row r="112" spans="2:17">
      <c r="B112" s="102" t="s">
        <v>37</v>
      </c>
      <c r="C112" s="82"/>
      <c r="D112" s="82"/>
      <c r="E112" s="82"/>
      <c r="F112" s="82"/>
      <c r="G112" s="82"/>
      <c r="H112" s="82"/>
      <c r="I112" s="91">
        <v>5.4462047138446055</v>
      </c>
      <c r="J112" s="82"/>
      <c r="K112" s="82"/>
      <c r="L112" s="104">
        <v>3.795153531212269E-2</v>
      </c>
      <c r="M112" s="91"/>
      <c r="N112" s="93"/>
      <c r="O112" s="91">
        <f>SUM(O113:O127)</f>
        <v>1175.9250599999998</v>
      </c>
      <c r="P112" s="92">
        <f t="shared" si="1"/>
        <v>0.16146251909568718</v>
      </c>
      <c r="Q112" s="92">
        <f>O112/'סכום נכסי הקרן'!$C$42</f>
        <v>4.9227111798114719E-3</v>
      </c>
    </row>
    <row r="113" spans="2:17">
      <c r="B113" s="87" t="s">
        <v>1580</v>
      </c>
      <c r="C113" s="97" t="s">
        <v>1494</v>
      </c>
      <c r="D113" s="84" t="s">
        <v>1555</v>
      </c>
      <c r="E113" s="84"/>
      <c r="F113" s="84" t="s">
        <v>1209</v>
      </c>
      <c r="G113" s="106">
        <v>43186</v>
      </c>
      <c r="H113" s="84" t="s">
        <v>1493</v>
      </c>
      <c r="I113" s="94">
        <v>5.99</v>
      </c>
      <c r="J113" s="97" t="s">
        <v>164</v>
      </c>
      <c r="K113" s="98">
        <v>4.8000000000000001E-2</v>
      </c>
      <c r="L113" s="98">
        <v>3.1900000000000005E-2</v>
      </c>
      <c r="M113" s="94">
        <v>108178.99999999999</v>
      </c>
      <c r="N113" s="96">
        <v>110.19</v>
      </c>
      <c r="O113" s="94">
        <v>415.06288999999992</v>
      </c>
      <c r="P113" s="95">
        <f t="shared" si="1"/>
        <v>5.6990961484004864E-2</v>
      </c>
      <c r="Q113" s="95">
        <f>O113/'סכום נכסי הקרן'!$C$42</f>
        <v>1.7375552222076626E-3</v>
      </c>
    </row>
    <row r="114" spans="2:17">
      <c r="B114" s="87" t="s">
        <v>1580</v>
      </c>
      <c r="C114" s="97" t="s">
        <v>1494</v>
      </c>
      <c r="D114" s="84">
        <v>6831</v>
      </c>
      <c r="E114" s="84"/>
      <c r="F114" s="84" t="s">
        <v>1209</v>
      </c>
      <c r="G114" s="106">
        <v>43552</v>
      </c>
      <c r="H114" s="84" t="s">
        <v>1493</v>
      </c>
      <c r="I114" s="94">
        <v>5.9799999999999995</v>
      </c>
      <c r="J114" s="97" t="s">
        <v>164</v>
      </c>
      <c r="K114" s="98">
        <v>4.5999999999999999E-2</v>
      </c>
      <c r="L114" s="98">
        <v>3.6599999999999994E-2</v>
      </c>
      <c r="M114" s="94">
        <v>53521.01999999999</v>
      </c>
      <c r="N114" s="96">
        <v>106.04</v>
      </c>
      <c r="O114" s="94">
        <v>197.61634999999998</v>
      </c>
      <c r="P114" s="95">
        <f t="shared" si="1"/>
        <v>2.7134070674108269E-2</v>
      </c>
      <c r="Q114" s="95">
        <f>O114/'סכום נכסי הקרן'!$C$42</f>
        <v>8.2727058768399474E-4</v>
      </c>
    </row>
    <row r="115" spans="2:17">
      <c r="B115" s="87" t="s">
        <v>1581</v>
      </c>
      <c r="C115" s="97" t="s">
        <v>1495</v>
      </c>
      <c r="D115" s="84">
        <v>7030</v>
      </c>
      <c r="E115" s="84"/>
      <c r="F115" s="84" t="s">
        <v>1159</v>
      </c>
      <c r="G115" s="106">
        <v>43649</v>
      </c>
      <c r="H115" s="84"/>
      <c r="I115" s="94">
        <v>1.5699999999999998</v>
      </c>
      <c r="J115" s="97" t="s">
        <v>164</v>
      </c>
      <c r="K115" s="98">
        <v>4.5442000000000003E-2</v>
      </c>
      <c r="L115" s="98">
        <v>4.4999999999999998E-2</v>
      </c>
      <c r="M115" s="94">
        <v>5701.3799999999992</v>
      </c>
      <c r="N115" s="96">
        <v>100.28</v>
      </c>
      <c r="O115" s="94">
        <v>19.907819999999997</v>
      </c>
      <c r="P115" s="95">
        <f t="shared" si="1"/>
        <v>2.7334792634689693E-3</v>
      </c>
      <c r="Q115" s="95">
        <f>O115/'סכום נכסי הקרן'!$C$42</f>
        <v>8.3339025090318613E-5</v>
      </c>
    </row>
    <row r="116" spans="2:17">
      <c r="B116" s="87" t="s">
        <v>1581</v>
      </c>
      <c r="C116" s="97" t="s">
        <v>1495</v>
      </c>
      <c r="D116" s="84">
        <v>7059</v>
      </c>
      <c r="E116" s="84"/>
      <c r="F116" s="84" t="s">
        <v>1159</v>
      </c>
      <c r="G116" s="106">
        <v>43668</v>
      </c>
      <c r="H116" s="84"/>
      <c r="I116" s="94">
        <v>1.5700000000000003</v>
      </c>
      <c r="J116" s="97" t="s">
        <v>164</v>
      </c>
      <c r="K116" s="98">
        <v>4.5442000000000003E-2</v>
      </c>
      <c r="L116" s="98">
        <v>4.4999999999999998E-2</v>
      </c>
      <c r="M116" s="94">
        <v>1277.04</v>
      </c>
      <c r="N116" s="96">
        <v>100.28</v>
      </c>
      <c r="O116" s="94">
        <v>4.4590799999999993</v>
      </c>
      <c r="P116" s="95">
        <f t="shared" si="1"/>
        <v>6.1226205150283718E-4</v>
      </c>
      <c r="Q116" s="95">
        <f>O116/'סכום נכסי הקרן'!$C$42</f>
        <v>1.8666804301010251E-5</v>
      </c>
    </row>
    <row r="117" spans="2:17">
      <c r="B117" s="87" t="s">
        <v>1581</v>
      </c>
      <c r="C117" s="97" t="s">
        <v>1495</v>
      </c>
      <c r="D117" s="84">
        <v>7107</v>
      </c>
      <c r="E117" s="84"/>
      <c r="F117" s="84" t="s">
        <v>1159</v>
      </c>
      <c r="G117" s="106">
        <v>43697</v>
      </c>
      <c r="H117" s="84"/>
      <c r="I117" s="94">
        <v>1.57</v>
      </c>
      <c r="J117" s="97" t="s">
        <v>164</v>
      </c>
      <c r="K117" s="98">
        <v>4.5442000000000003E-2</v>
      </c>
      <c r="L117" s="98">
        <v>4.4999999999999998E-2</v>
      </c>
      <c r="M117" s="94">
        <v>1965.2499999999998</v>
      </c>
      <c r="N117" s="96">
        <v>100.28</v>
      </c>
      <c r="O117" s="94">
        <v>6.8621599999999994</v>
      </c>
      <c r="P117" s="95">
        <f t="shared" si="1"/>
        <v>9.4222130110711388E-4</v>
      </c>
      <c r="Q117" s="95">
        <f>O117/'סכום נכסי הקרן'!$C$42</f>
        <v>2.8726687523484781E-5</v>
      </c>
    </row>
    <row r="118" spans="2:17">
      <c r="B118" s="87" t="s">
        <v>1581</v>
      </c>
      <c r="C118" s="97" t="s">
        <v>1495</v>
      </c>
      <c r="D118" s="84">
        <v>7182</v>
      </c>
      <c r="E118" s="84"/>
      <c r="F118" s="84" t="s">
        <v>1159</v>
      </c>
      <c r="G118" s="106">
        <v>43728</v>
      </c>
      <c r="H118" s="84"/>
      <c r="I118" s="94">
        <v>1.57</v>
      </c>
      <c r="J118" s="97" t="s">
        <v>164</v>
      </c>
      <c r="K118" s="98">
        <v>4.5442000000000003E-2</v>
      </c>
      <c r="L118" s="98">
        <v>4.4999999999999998E-2</v>
      </c>
      <c r="M118" s="94">
        <v>2797.88</v>
      </c>
      <c r="N118" s="96">
        <v>100.28</v>
      </c>
      <c r="O118" s="94">
        <v>9.7695099999999986</v>
      </c>
      <c r="P118" s="95">
        <f t="shared" si="1"/>
        <v>1.3414202559221817E-3</v>
      </c>
      <c r="Q118" s="95">
        <f>O118/'סכום נכסי הקרן'!$C$42</f>
        <v>4.0897568845313977E-5</v>
      </c>
    </row>
    <row r="119" spans="2:17">
      <c r="B119" s="87" t="s">
        <v>1582</v>
      </c>
      <c r="C119" s="97" t="s">
        <v>1495</v>
      </c>
      <c r="D119" s="84">
        <v>7088</v>
      </c>
      <c r="E119" s="84"/>
      <c r="F119" s="84" t="s">
        <v>1159</v>
      </c>
      <c r="G119" s="106">
        <v>43684</v>
      </c>
      <c r="H119" s="84"/>
      <c r="I119" s="94">
        <v>8.76</v>
      </c>
      <c r="J119" s="97" t="s">
        <v>164</v>
      </c>
      <c r="K119" s="98">
        <v>4.3358999999999995E-2</v>
      </c>
      <c r="L119" s="98">
        <v>4.3200000000000002E-2</v>
      </c>
      <c r="M119" s="94">
        <v>66724.389999999985</v>
      </c>
      <c r="N119" s="96">
        <v>100.88</v>
      </c>
      <c r="O119" s="94">
        <v>234.37883999999997</v>
      </c>
      <c r="P119" s="95">
        <f t="shared" si="1"/>
        <v>3.2181810913294945E-2</v>
      </c>
      <c r="Q119" s="95">
        <f>O119/'סכום נכסי הקרן'!$C$42</f>
        <v>9.8116740192546298E-4</v>
      </c>
    </row>
    <row r="120" spans="2:17">
      <c r="B120" s="87" t="s">
        <v>1583</v>
      </c>
      <c r="C120" s="97" t="s">
        <v>1495</v>
      </c>
      <c r="D120" s="84">
        <v>7125</v>
      </c>
      <c r="E120" s="84"/>
      <c r="F120" s="84" t="s">
        <v>1159</v>
      </c>
      <c r="G120" s="106">
        <v>43706</v>
      </c>
      <c r="H120" s="84"/>
      <c r="I120" s="94">
        <v>6.1700000000000008</v>
      </c>
      <c r="J120" s="97" t="s">
        <v>164</v>
      </c>
      <c r="K120" s="98">
        <v>5.9345000000000002E-2</v>
      </c>
      <c r="L120" s="98">
        <v>5.28E-2</v>
      </c>
      <c r="M120" s="94">
        <v>3077.6299999999992</v>
      </c>
      <c r="N120" s="96">
        <v>99.9</v>
      </c>
      <c r="O120" s="94">
        <v>10.705579999999998</v>
      </c>
      <c r="P120" s="95">
        <f t="shared" si="1"/>
        <v>1.4699490418040814E-3</v>
      </c>
      <c r="Q120" s="95">
        <f>O120/'סכום נכסי הקרן'!$C$42</f>
        <v>4.4816187820987583E-5</v>
      </c>
    </row>
    <row r="121" spans="2:17">
      <c r="B121" s="87" t="s">
        <v>1583</v>
      </c>
      <c r="C121" s="97" t="s">
        <v>1495</v>
      </c>
      <c r="D121" s="84">
        <v>7204</v>
      </c>
      <c r="E121" s="84"/>
      <c r="F121" s="84" t="s">
        <v>1159</v>
      </c>
      <c r="G121" s="106">
        <v>43738</v>
      </c>
      <c r="H121" s="84"/>
      <c r="I121" s="94">
        <v>6.1700000000000008</v>
      </c>
      <c r="J121" s="97" t="s">
        <v>164</v>
      </c>
      <c r="K121" s="98">
        <v>5.0435000000000001E-2</v>
      </c>
      <c r="L121" s="98">
        <v>5.2700000000000004E-2</v>
      </c>
      <c r="M121" s="94">
        <v>1515.2099999999998</v>
      </c>
      <c r="N121" s="96">
        <v>100</v>
      </c>
      <c r="O121" s="94">
        <v>5.2759599999999995</v>
      </c>
      <c r="P121" s="95">
        <f t="shared" si="1"/>
        <v>7.2442523866961543E-4</v>
      </c>
      <c r="Q121" s="95">
        <f>O121/'סכום נכסי הקרן'!$C$42</f>
        <v>2.2086464656377111E-5</v>
      </c>
    </row>
    <row r="122" spans="2:17">
      <c r="B122" s="87" t="s">
        <v>1584</v>
      </c>
      <c r="C122" s="97" t="s">
        <v>1495</v>
      </c>
      <c r="D122" s="84">
        <v>6954</v>
      </c>
      <c r="E122" s="84"/>
      <c r="F122" s="84" t="s">
        <v>1159</v>
      </c>
      <c r="G122" s="106">
        <v>43644</v>
      </c>
      <c r="H122" s="84"/>
      <c r="I122" s="94">
        <v>5.82</v>
      </c>
      <c r="J122" s="97" t="s">
        <v>164</v>
      </c>
      <c r="K122" s="98">
        <v>5.1869999999999999E-2</v>
      </c>
      <c r="L122" s="98">
        <v>5.4400000000000004E-2</v>
      </c>
      <c r="M122" s="94">
        <v>5276.18</v>
      </c>
      <c r="N122" s="96">
        <v>99.33</v>
      </c>
      <c r="O122" s="94">
        <v>18.248569999999997</v>
      </c>
      <c r="P122" s="95">
        <f t="shared" si="1"/>
        <v>2.5056529385418355E-3</v>
      </c>
      <c r="Q122" s="95">
        <f>O122/'סכום נכסי הקרן'!$C$42</f>
        <v>7.6392996977691955E-5</v>
      </c>
    </row>
    <row r="123" spans="2:17">
      <c r="B123" s="87" t="s">
        <v>1584</v>
      </c>
      <c r="C123" s="97" t="s">
        <v>1495</v>
      </c>
      <c r="D123" s="84">
        <v>7020</v>
      </c>
      <c r="E123" s="84"/>
      <c r="F123" s="84" t="s">
        <v>1159</v>
      </c>
      <c r="G123" s="106">
        <v>43643</v>
      </c>
      <c r="H123" s="84"/>
      <c r="I123" s="94">
        <v>5.8</v>
      </c>
      <c r="J123" s="97" t="s">
        <v>164</v>
      </c>
      <c r="K123" s="98">
        <v>5.1997000000000002E-2</v>
      </c>
      <c r="L123" s="98">
        <v>5.1299999999999998E-2</v>
      </c>
      <c r="M123" s="94">
        <v>527.61999999999989</v>
      </c>
      <c r="N123" s="96">
        <v>100.76</v>
      </c>
      <c r="O123" s="94">
        <v>1.8511299999999997</v>
      </c>
      <c r="P123" s="95">
        <f t="shared" si="1"/>
        <v>2.5417275568019566E-4</v>
      </c>
      <c r="Q123" s="95">
        <f>O123/'סכום נכסי הקרן'!$C$42</f>
        <v>7.7492849300145104E-6</v>
      </c>
    </row>
    <row r="124" spans="2:17">
      <c r="B124" s="87" t="s">
        <v>1584</v>
      </c>
      <c r="C124" s="97" t="s">
        <v>1495</v>
      </c>
      <c r="D124" s="84">
        <v>7082</v>
      </c>
      <c r="E124" s="84"/>
      <c r="F124" s="84" t="s">
        <v>1159</v>
      </c>
      <c r="G124" s="106">
        <v>43682</v>
      </c>
      <c r="H124" s="84"/>
      <c r="I124" s="94">
        <v>5.83</v>
      </c>
      <c r="J124" s="97" t="s">
        <v>164</v>
      </c>
      <c r="K124" s="98">
        <v>5.2866999999999997E-2</v>
      </c>
      <c r="L124" s="98">
        <v>5.1500000000000004E-2</v>
      </c>
      <c r="M124" s="94">
        <v>351.74999999999994</v>
      </c>
      <c r="N124" s="96">
        <v>100.16</v>
      </c>
      <c r="O124" s="94">
        <v>1.2267699999999997</v>
      </c>
      <c r="P124" s="95">
        <f t="shared" si="1"/>
        <v>1.6844387562504719E-4</v>
      </c>
      <c r="Q124" s="95">
        <f>O124/'סכום נכסי הקרן'!$C$42</f>
        <v>5.1355605892583998E-6</v>
      </c>
    </row>
    <row r="125" spans="2:17">
      <c r="B125" s="87" t="s">
        <v>1584</v>
      </c>
      <c r="C125" s="97" t="s">
        <v>1495</v>
      </c>
      <c r="D125" s="84">
        <v>7144</v>
      </c>
      <c r="E125" s="84"/>
      <c r="F125" s="84" t="s">
        <v>1159</v>
      </c>
      <c r="G125" s="106">
        <v>43738</v>
      </c>
      <c r="H125" s="84"/>
      <c r="I125" s="94">
        <v>5.86</v>
      </c>
      <c r="J125" s="97" t="s">
        <v>164</v>
      </c>
      <c r="K125" s="98">
        <v>5.1299999999999998E-2</v>
      </c>
      <c r="L125" s="98">
        <v>5.1500000000000004E-2</v>
      </c>
      <c r="M125" s="94">
        <v>1213.5199999999998</v>
      </c>
      <c r="N125" s="96">
        <v>99.68</v>
      </c>
      <c r="O125" s="94">
        <v>4.2119599999999995</v>
      </c>
      <c r="P125" s="95">
        <f t="shared" si="1"/>
        <v>5.7833079255090517E-4</v>
      </c>
      <c r="Q125" s="95">
        <f>O125/'סכום נכסי הקרן'!$C$42</f>
        <v>1.7632299273321656E-5</v>
      </c>
    </row>
    <row r="126" spans="2:17">
      <c r="B126" s="87" t="s">
        <v>1584</v>
      </c>
      <c r="C126" s="97" t="s">
        <v>1495</v>
      </c>
      <c r="D126" s="84">
        <v>7196</v>
      </c>
      <c r="E126" s="84"/>
      <c r="F126" s="84" t="s">
        <v>1159</v>
      </c>
      <c r="G126" s="106">
        <v>43735</v>
      </c>
      <c r="H126" s="84"/>
      <c r="I126" s="94">
        <v>5.89</v>
      </c>
      <c r="J126" s="97" t="s">
        <v>164</v>
      </c>
      <c r="K126" s="98">
        <v>5.1077999999999998E-2</v>
      </c>
      <c r="L126" s="98">
        <v>5.0299999999999991E-2</v>
      </c>
      <c r="M126" s="94">
        <v>2004.9499999999998</v>
      </c>
      <c r="N126" s="96">
        <v>100</v>
      </c>
      <c r="O126" s="94">
        <v>6.9812399999999988</v>
      </c>
      <c r="P126" s="95">
        <f t="shared" ref="P126:P127" si="2">O126/$O$10</f>
        <v>9.5857179607310627E-4</v>
      </c>
      <c r="Q126" s="95">
        <f>O126/'סכום נכסי הקרן'!$C$42</f>
        <v>2.9225185656768841E-5</v>
      </c>
    </row>
    <row r="127" spans="2:17">
      <c r="B127" s="87" t="s">
        <v>1585</v>
      </c>
      <c r="C127" s="97" t="s">
        <v>1495</v>
      </c>
      <c r="D127" s="84">
        <v>7056</v>
      </c>
      <c r="E127" s="84"/>
      <c r="F127" s="84" t="s">
        <v>1159</v>
      </c>
      <c r="G127" s="106">
        <v>43664</v>
      </c>
      <c r="H127" s="84"/>
      <c r="I127" s="94">
        <v>1.38</v>
      </c>
      <c r="J127" s="97" t="s">
        <v>164</v>
      </c>
      <c r="K127" s="98">
        <v>4.0759999999999998E-2</v>
      </c>
      <c r="L127" s="98">
        <v>4.0199999999999993E-2</v>
      </c>
      <c r="M127" s="94">
        <v>68497.579999999987</v>
      </c>
      <c r="N127" s="96">
        <v>100.36</v>
      </c>
      <c r="O127" s="94">
        <v>239.36719999999994</v>
      </c>
      <c r="P127" s="95">
        <f t="shared" si="2"/>
        <v>3.2866746713333221E-2</v>
      </c>
      <c r="Q127" s="95">
        <f>O127/'סכום נכסי הקרן'!$C$42</f>
        <v>1.0020499023298036E-3</v>
      </c>
    </row>
    <row r="131" spans="2:2">
      <c r="B131" s="99" t="s">
        <v>250</v>
      </c>
    </row>
    <row r="132" spans="2:2">
      <c r="B132" s="99" t="s">
        <v>113</v>
      </c>
    </row>
    <row r="133" spans="2:2">
      <c r="B133" s="99" t="s">
        <v>232</v>
      </c>
    </row>
    <row r="134" spans="2:2">
      <c r="B134" s="99" t="s">
        <v>240</v>
      </c>
    </row>
  </sheetData>
  <sheetProtection sheet="1" objects="1" scenarios="1"/>
  <mergeCells count="1">
    <mergeCell ref="B6:Q6"/>
  </mergeCells>
  <phoneticPr fontId="5" type="noConversion"/>
  <conditionalFormatting sqref="B58:B127">
    <cfRule type="cellIs" dxfId="8" priority="7" operator="equal">
      <formula>2958465</formula>
    </cfRule>
    <cfRule type="cellIs" dxfId="7" priority="8" operator="equal">
      <formula>"NR3"</formula>
    </cfRule>
    <cfRule type="cellIs" dxfId="6" priority="9" operator="equal">
      <formula>"דירוג פנימי"</formula>
    </cfRule>
  </conditionalFormatting>
  <conditionalFormatting sqref="B58:B127">
    <cfRule type="cellIs" dxfId="5" priority="6" operator="equal">
      <formula>2958465</formula>
    </cfRule>
  </conditionalFormatting>
  <conditionalFormatting sqref="B11:B43">
    <cfRule type="cellIs" dxfId="4" priority="5" operator="equal">
      <formula>"NR3"</formula>
    </cfRule>
  </conditionalFormatting>
  <conditionalFormatting sqref="R12:R21">
    <cfRule type="cellIs" dxfId="3" priority="2" operator="equal">
      <formula>2958465</formula>
    </cfRule>
    <cfRule type="cellIs" dxfId="2" priority="3" operator="equal">
      <formula>"NR3"</formula>
    </cfRule>
    <cfRule type="cellIs" dxfId="1" priority="4" operator="equal">
      <formula>"דירוג פנימי"</formula>
    </cfRule>
  </conditionalFormatting>
  <conditionalFormatting sqref="R12:R21">
    <cfRule type="cellIs" dxfId="0" priority="1" operator="equal">
      <formula>2958465</formula>
    </cfRule>
  </conditionalFormatting>
  <dataValidations count="1">
    <dataValidation allowBlank="1" showInputMessage="1" showErrorMessage="1" sqref="D1:Q9 C5:C9 B1:B9 B128:Q1048576 R53:AF56 AH53:XFD56 S1:XFD52 R1:R11 R22 R33:R52 A1:A1048576 R57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180</v>
      </c>
      <c r="C1" s="78" t="s" vm="1">
        <v>251</v>
      </c>
    </row>
    <row r="2" spans="2:64">
      <c r="B2" s="57" t="s">
        <v>179</v>
      </c>
      <c r="C2" s="78" t="s">
        <v>252</v>
      </c>
    </row>
    <row r="3" spans="2:64">
      <c r="B3" s="57" t="s">
        <v>181</v>
      </c>
      <c r="C3" s="78" t="s">
        <v>253</v>
      </c>
    </row>
    <row r="4" spans="2:64">
      <c r="B4" s="57" t="s">
        <v>182</v>
      </c>
      <c r="C4" s="78">
        <v>2144</v>
      </c>
    </row>
    <row r="6" spans="2:64" ht="26.25" customHeight="1">
      <c r="B6" s="159" t="s">
        <v>213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64" s="3" customFormat="1" ht="78.75">
      <c r="B7" s="60" t="s">
        <v>117</v>
      </c>
      <c r="C7" s="61" t="s">
        <v>44</v>
      </c>
      <c r="D7" s="61" t="s">
        <v>118</v>
      </c>
      <c r="E7" s="61" t="s">
        <v>15</v>
      </c>
      <c r="F7" s="61" t="s">
        <v>64</v>
      </c>
      <c r="G7" s="61" t="s">
        <v>18</v>
      </c>
      <c r="H7" s="61" t="s">
        <v>102</v>
      </c>
      <c r="I7" s="61" t="s">
        <v>50</v>
      </c>
      <c r="J7" s="61" t="s">
        <v>19</v>
      </c>
      <c r="K7" s="61" t="s">
        <v>234</v>
      </c>
      <c r="L7" s="61" t="s">
        <v>233</v>
      </c>
      <c r="M7" s="61" t="s">
        <v>111</v>
      </c>
      <c r="N7" s="61" t="s">
        <v>183</v>
      </c>
      <c r="O7" s="63" t="s">
        <v>185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241</v>
      </c>
      <c r="L8" s="33"/>
      <c r="M8" s="33" t="s">
        <v>237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250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113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232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240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180</v>
      </c>
      <c r="C1" s="78" t="s" vm="1">
        <v>251</v>
      </c>
    </row>
    <row r="2" spans="2:56">
      <c r="B2" s="57" t="s">
        <v>179</v>
      </c>
      <c r="C2" s="78" t="s">
        <v>252</v>
      </c>
    </row>
    <row r="3" spans="2:56">
      <c r="B3" s="57" t="s">
        <v>181</v>
      </c>
      <c r="C3" s="78" t="s">
        <v>253</v>
      </c>
    </row>
    <row r="4" spans="2:56">
      <c r="B4" s="57" t="s">
        <v>182</v>
      </c>
      <c r="C4" s="78">
        <v>2144</v>
      </c>
    </row>
    <row r="6" spans="2:56" ht="26.25" customHeight="1">
      <c r="B6" s="159" t="s">
        <v>214</v>
      </c>
      <c r="C6" s="160"/>
      <c r="D6" s="160"/>
      <c r="E6" s="160"/>
      <c r="F6" s="160"/>
      <c r="G6" s="160"/>
      <c r="H6" s="160"/>
      <c r="I6" s="160"/>
      <c r="J6" s="161"/>
    </row>
    <row r="7" spans="2:56" s="3" customFormat="1" ht="78.75">
      <c r="B7" s="60" t="s">
        <v>117</v>
      </c>
      <c r="C7" s="62" t="s">
        <v>52</v>
      </c>
      <c r="D7" s="62" t="s">
        <v>86</v>
      </c>
      <c r="E7" s="62" t="s">
        <v>53</v>
      </c>
      <c r="F7" s="62" t="s">
        <v>102</v>
      </c>
      <c r="G7" s="62" t="s">
        <v>225</v>
      </c>
      <c r="H7" s="62" t="s">
        <v>183</v>
      </c>
      <c r="I7" s="64" t="s">
        <v>184</v>
      </c>
      <c r="J7" s="77" t="s">
        <v>244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238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6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16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180</v>
      </c>
      <c r="C1" s="78" t="s" vm="1">
        <v>251</v>
      </c>
    </row>
    <row r="2" spans="2:60">
      <c r="B2" s="57" t="s">
        <v>179</v>
      </c>
      <c r="C2" s="78" t="s">
        <v>252</v>
      </c>
    </row>
    <row r="3" spans="2:60">
      <c r="B3" s="57" t="s">
        <v>181</v>
      </c>
      <c r="C3" s="78" t="s">
        <v>253</v>
      </c>
    </row>
    <row r="4" spans="2:60">
      <c r="B4" s="57" t="s">
        <v>182</v>
      </c>
      <c r="C4" s="78">
        <v>2144</v>
      </c>
    </row>
    <row r="6" spans="2:60" ht="26.25" customHeight="1">
      <c r="B6" s="159" t="s">
        <v>215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60" s="3" customFormat="1" ht="66">
      <c r="B7" s="60" t="s">
        <v>117</v>
      </c>
      <c r="C7" s="60" t="s">
        <v>118</v>
      </c>
      <c r="D7" s="60" t="s">
        <v>15</v>
      </c>
      <c r="E7" s="60" t="s">
        <v>16</v>
      </c>
      <c r="F7" s="60" t="s">
        <v>55</v>
      </c>
      <c r="G7" s="60" t="s">
        <v>102</v>
      </c>
      <c r="H7" s="60" t="s">
        <v>51</v>
      </c>
      <c r="I7" s="60" t="s">
        <v>111</v>
      </c>
      <c r="J7" s="60" t="s">
        <v>183</v>
      </c>
      <c r="K7" s="60" t="s">
        <v>184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237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6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6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J11" sqref="J11:J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180</v>
      </c>
      <c r="C1" s="78" t="s" vm="1">
        <v>251</v>
      </c>
    </row>
    <row r="2" spans="2:60">
      <c r="B2" s="57" t="s">
        <v>179</v>
      </c>
      <c r="C2" s="78" t="s">
        <v>252</v>
      </c>
    </row>
    <row r="3" spans="2:60">
      <c r="B3" s="57" t="s">
        <v>181</v>
      </c>
      <c r="C3" s="78" t="s">
        <v>253</v>
      </c>
    </row>
    <row r="4" spans="2:60">
      <c r="B4" s="57" t="s">
        <v>182</v>
      </c>
      <c r="C4" s="78">
        <v>2144</v>
      </c>
    </row>
    <row r="6" spans="2:60" ht="26.25" customHeight="1">
      <c r="B6" s="159" t="s">
        <v>216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60" s="3" customFormat="1" ht="63">
      <c r="B7" s="60" t="s">
        <v>117</v>
      </c>
      <c r="C7" s="62" t="s">
        <v>44</v>
      </c>
      <c r="D7" s="62" t="s">
        <v>15</v>
      </c>
      <c r="E7" s="62" t="s">
        <v>16</v>
      </c>
      <c r="F7" s="62" t="s">
        <v>55</v>
      </c>
      <c r="G7" s="62" t="s">
        <v>102</v>
      </c>
      <c r="H7" s="62" t="s">
        <v>51</v>
      </c>
      <c r="I7" s="62" t="s">
        <v>111</v>
      </c>
      <c r="J7" s="62" t="s">
        <v>183</v>
      </c>
      <c r="K7" s="64" t="s">
        <v>184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237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1" t="s">
        <v>54</v>
      </c>
      <c r="C10" s="122"/>
      <c r="D10" s="122"/>
      <c r="E10" s="122"/>
      <c r="F10" s="122"/>
      <c r="G10" s="122"/>
      <c r="H10" s="124">
        <v>0</v>
      </c>
      <c r="I10" s="123">
        <v>4.998603522999999</v>
      </c>
      <c r="J10" s="124">
        <f>I10/$I$10</f>
        <v>1</v>
      </c>
      <c r="K10" s="124">
        <f>I10/'סכום נכסי הקרן'!$C$42</f>
        <v>2.0925382308050401E-5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5" t="s">
        <v>231</v>
      </c>
      <c r="C11" s="122"/>
      <c r="D11" s="122"/>
      <c r="E11" s="122"/>
      <c r="F11" s="122"/>
      <c r="G11" s="122"/>
      <c r="H11" s="124">
        <v>0</v>
      </c>
      <c r="I11" s="123">
        <v>4.998603522999999</v>
      </c>
      <c r="J11" s="124">
        <f t="shared" ref="J11:J12" si="0">I11/$I$10</f>
        <v>1</v>
      </c>
      <c r="K11" s="124">
        <f>I11/'סכום נכסי הקרן'!$C$42</f>
        <v>2.0925382308050401E-5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1556</v>
      </c>
      <c r="C12" s="84" t="s">
        <v>1557</v>
      </c>
      <c r="D12" s="84" t="s">
        <v>717</v>
      </c>
      <c r="E12" s="84" t="s">
        <v>343</v>
      </c>
      <c r="F12" s="98">
        <v>0</v>
      </c>
      <c r="G12" s="97" t="s">
        <v>165</v>
      </c>
      <c r="H12" s="95">
        <v>0</v>
      </c>
      <c r="I12" s="94">
        <v>4.998603522999999</v>
      </c>
      <c r="J12" s="95">
        <f t="shared" si="0"/>
        <v>1</v>
      </c>
      <c r="K12" s="95">
        <f>I12/'סכום נכסי הקרן'!$C$42</f>
        <v>2.0925382308050401E-5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6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6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31" style="2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180</v>
      </c>
      <c r="C1" s="78" t="s" vm="1">
        <v>251</v>
      </c>
    </row>
    <row r="2" spans="2:47">
      <c r="B2" s="57" t="s">
        <v>179</v>
      </c>
      <c r="C2" s="78" t="s">
        <v>252</v>
      </c>
    </row>
    <row r="3" spans="2:47">
      <c r="B3" s="57" t="s">
        <v>181</v>
      </c>
      <c r="C3" s="78" t="s">
        <v>253</v>
      </c>
    </row>
    <row r="4" spans="2:47">
      <c r="B4" s="57" t="s">
        <v>182</v>
      </c>
      <c r="C4" s="78">
        <v>2144</v>
      </c>
    </row>
    <row r="6" spans="2:47" ht="26.25" customHeight="1">
      <c r="B6" s="159" t="s">
        <v>217</v>
      </c>
      <c r="C6" s="160"/>
      <c r="D6" s="161"/>
    </row>
    <row r="7" spans="2:47" s="3" customFormat="1" ht="31.5">
      <c r="B7" s="60" t="s">
        <v>117</v>
      </c>
      <c r="C7" s="65" t="s">
        <v>108</v>
      </c>
      <c r="D7" s="66" t="s">
        <v>107</v>
      </c>
    </row>
    <row r="8" spans="2:47" s="3" customFormat="1">
      <c r="B8" s="16"/>
      <c r="C8" s="33" t="s">
        <v>237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36" t="s">
        <v>1558</v>
      </c>
      <c r="C10" s="139">
        <f>C11+C19</f>
        <v>1576.9443271365958</v>
      </c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36" t="s">
        <v>1559</v>
      </c>
      <c r="C11" s="139">
        <f>SUM(C12:C18)</f>
        <v>888.68471713659585</v>
      </c>
      <c r="D11" s="101"/>
    </row>
    <row r="12" spans="2:47">
      <c r="B12" s="140" t="s">
        <v>1586</v>
      </c>
      <c r="C12" s="141">
        <v>173.52698026266614</v>
      </c>
      <c r="D12" s="142">
        <v>44255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40" t="s">
        <v>1587</v>
      </c>
      <c r="C13" s="141">
        <v>42.569050000000004</v>
      </c>
      <c r="D13" s="142">
        <v>44246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40" t="s">
        <v>1588</v>
      </c>
      <c r="C14" s="141">
        <v>376.33145239816639</v>
      </c>
      <c r="D14" s="142">
        <v>46100</v>
      </c>
    </row>
    <row r="15" spans="2:47">
      <c r="B15" s="140" t="s">
        <v>1589</v>
      </c>
      <c r="C15" s="141">
        <v>116.71786</v>
      </c>
      <c r="D15" s="142">
        <v>43800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40" t="s">
        <v>1590</v>
      </c>
      <c r="C16" s="141">
        <v>86.095154475763408</v>
      </c>
      <c r="D16" s="142">
        <v>43799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40" t="s">
        <v>1591</v>
      </c>
      <c r="C17" s="141">
        <v>93.444220000000001</v>
      </c>
      <c r="D17" s="142">
        <v>44739</v>
      </c>
    </row>
    <row r="18" spans="2:4">
      <c r="B18" s="101"/>
      <c r="C18" s="101"/>
      <c r="D18" s="101"/>
    </row>
    <row r="19" spans="2:4">
      <c r="B19" s="136" t="s">
        <v>1560</v>
      </c>
      <c r="C19" s="123">
        <f>SUM(C20:C143)</f>
        <v>688.25960999999995</v>
      </c>
      <c r="D19" s="101"/>
    </row>
    <row r="20" spans="2:4">
      <c r="B20" s="140" t="s">
        <v>1592</v>
      </c>
      <c r="C20" s="141">
        <v>131.23204999999999</v>
      </c>
      <c r="D20" s="142">
        <v>44332</v>
      </c>
    </row>
    <row r="21" spans="2:4">
      <c r="B21" s="140" t="s">
        <v>1593</v>
      </c>
      <c r="C21" s="141">
        <v>289.99228000000005</v>
      </c>
      <c r="D21" s="142">
        <v>46626</v>
      </c>
    </row>
    <row r="22" spans="2:4">
      <c r="B22" s="140" t="s">
        <v>1594</v>
      </c>
      <c r="C22" s="141">
        <v>235.09610999999998</v>
      </c>
      <c r="D22" s="142">
        <v>44819</v>
      </c>
    </row>
    <row r="23" spans="2:4">
      <c r="B23" s="140" t="s">
        <v>1595</v>
      </c>
      <c r="C23" s="141">
        <v>31.939169999999997</v>
      </c>
      <c r="D23" s="142">
        <v>44256</v>
      </c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AH28:XFD29 D1:XFD27 D30:XFD1048576 D28:AF29 A1:A1048576 B1:B9 C5:C9 B10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180</v>
      </c>
      <c r="C1" s="78" t="s" vm="1">
        <v>251</v>
      </c>
    </row>
    <row r="2" spans="2:18">
      <c r="B2" s="57" t="s">
        <v>179</v>
      </c>
      <c r="C2" s="78" t="s">
        <v>252</v>
      </c>
    </row>
    <row r="3" spans="2:18">
      <c r="B3" s="57" t="s">
        <v>181</v>
      </c>
      <c r="C3" s="78" t="s">
        <v>253</v>
      </c>
    </row>
    <row r="4" spans="2:18">
      <c r="B4" s="57" t="s">
        <v>182</v>
      </c>
      <c r="C4" s="78">
        <v>2144</v>
      </c>
    </row>
    <row r="6" spans="2:18" ht="26.25" customHeight="1">
      <c r="B6" s="159" t="s">
        <v>220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8" s="3" customFormat="1" ht="78.75">
      <c r="B7" s="23" t="s">
        <v>117</v>
      </c>
      <c r="C7" s="31" t="s">
        <v>44</v>
      </c>
      <c r="D7" s="31" t="s">
        <v>63</v>
      </c>
      <c r="E7" s="31" t="s">
        <v>15</v>
      </c>
      <c r="F7" s="31" t="s">
        <v>64</v>
      </c>
      <c r="G7" s="31" t="s">
        <v>103</v>
      </c>
      <c r="H7" s="31" t="s">
        <v>18</v>
      </c>
      <c r="I7" s="31" t="s">
        <v>102</v>
      </c>
      <c r="J7" s="31" t="s">
        <v>17</v>
      </c>
      <c r="K7" s="31" t="s">
        <v>218</v>
      </c>
      <c r="L7" s="31" t="s">
        <v>239</v>
      </c>
      <c r="M7" s="31" t="s">
        <v>219</v>
      </c>
      <c r="N7" s="31" t="s">
        <v>57</v>
      </c>
      <c r="O7" s="31" t="s">
        <v>183</v>
      </c>
      <c r="P7" s="32" t="s">
        <v>185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241</v>
      </c>
      <c r="M8" s="33" t="s">
        <v>237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J17" sqref="J1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180</v>
      </c>
      <c r="C1" s="78" t="s" vm="1">
        <v>251</v>
      </c>
    </row>
    <row r="2" spans="2:13">
      <c r="B2" s="57" t="s">
        <v>179</v>
      </c>
      <c r="C2" s="78" t="s">
        <v>252</v>
      </c>
    </row>
    <row r="3" spans="2:13">
      <c r="B3" s="57" t="s">
        <v>181</v>
      </c>
      <c r="C3" s="78" t="s">
        <v>253</v>
      </c>
    </row>
    <row r="4" spans="2:13">
      <c r="B4" s="57" t="s">
        <v>182</v>
      </c>
      <c r="C4" s="78">
        <v>2144</v>
      </c>
    </row>
    <row r="6" spans="2:13" ht="26.25" customHeight="1">
      <c r="B6" s="148" t="s">
        <v>209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3" s="3" customFormat="1" ht="63">
      <c r="B7" s="13" t="s">
        <v>116</v>
      </c>
      <c r="C7" s="14" t="s">
        <v>44</v>
      </c>
      <c r="D7" s="14" t="s">
        <v>118</v>
      </c>
      <c r="E7" s="14" t="s">
        <v>15</v>
      </c>
      <c r="F7" s="14" t="s">
        <v>64</v>
      </c>
      <c r="G7" s="14" t="s">
        <v>102</v>
      </c>
      <c r="H7" s="14" t="s">
        <v>17</v>
      </c>
      <c r="I7" s="14" t="s">
        <v>19</v>
      </c>
      <c r="J7" s="14" t="s">
        <v>60</v>
      </c>
      <c r="K7" s="14" t="s">
        <v>183</v>
      </c>
      <c r="L7" s="14" t="s">
        <v>184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237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21" t="s">
        <v>43</v>
      </c>
      <c r="C10" s="122"/>
      <c r="D10" s="122"/>
      <c r="E10" s="122"/>
      <c r="F10" s="122"/>
      <c r="G10" s="122"/>
      <c r="H10" s="122"/>
      <c r="I10" s="122"/>
      <c r="J10" s="123">
        <f>J11</f>
        <v>7610.3147440779994</v>
      </c>
      <c r="K10" s="124">
        <f>J10/$J$10</f>
        <v>1</v>
      </c>
      <c r="L10" s="124">
        <f>J10/'סכום נכסי הקרן'!$C$42</f>
        <v>3.1858647074463106E-2</v>
      </c>
    </row>
    <row r="11" spans="2:13" s="100" customFormat="1">
      <c r="B11" s="125" t="s">
        <v>231</v>
      </c>
      <c r="C11" s="122"/>
      <c r="D11" s="122"/>
      <c r="E11" s="122"/>
      <c r="F11" s="122"/>
      <c r="G11" s="122"/>
      <c r="H11" s="122"/>
      <c r="I11" s="122"/>
      <c r="J11" s="123">
        <f>J12+J20</f>
        <v>7610.3147440779994</v>
      </c>
      <c r="K11" s="124">
        <f t="shared" ref="K11:K18" si="0">J11/$J$10</f>
        <v>1</v>
      </c>
      <c r="L11" s="124">
        <f>J11/'סכום נכסי הקרן'!$C$42</f>
        <v>3.1858647074463106E-2</v>
      </c>
    </row>
    <row r="12" spans="2:13">
      <c r="B12" s="102" t="s">
        <v>41</v>
      </c>
      <c r="C12" s="82"/>
      <c r="D12" s="82"/>
      <c r="E12" s="82"/>
      <c r="F12" s="82"/>
      <c r="G12" s="82"/>
      <c r="H12" s="82"/>
      <c r="I12" s="82"/>
      <c r="J12" s="91">
        <f>SUM(J13:J18)</f>
        <v>4513.7808217909997</v>
      </c>
      <c r="K12" s="92">
        <f t="shared" si="0"/>
        <v>0.59311355358901796</v>
      </c>
      <c r="L12" s="92">
        <f>J12/'סכום נכסי הקרן'!$C$42</f>
        <v>1.8895795378873183E-2</v>
      </c>
    </row>
    <row r="13" spans="2:13">
      <c r="B13" s="87" t="s">
        <v>1471</v>
      </c>
      <c r="C13" s="84" t="s">
        <v>1472</v>
      </c>
      <c r="D13" s="84">
        <v>11</v>
      </c>
      <c r="E13" s="84" t="s">
        <v>342</v>
      </c>
      <c r="F13" s="84" t="s">
        <v>343</v>
      </c>
      <c r="G13" s="97" t="s">
        <v>165</v>
      </c>
      <c r="H13" s="98">
        <v>0</v>
      </c>
      <c r="I13" s="98">
        <v>0</v>
      </c>
      <c r="J13" s="94">
        <v>5.6214243279999989</v>
      </c>
      <c r="K13" s="95">
        <f t="shared" si="0"/>
        <v>7.3865858601634515E-4</v>
      </c>
      <c r="L13" s="95">
        <f>J13/'סכום נכסי הקרן'!$C$42</f>
        <v>2.3532663200416691E-5</v>
      </c>
    </row>
    <row r="14" spans="2:13">
      <c r="B14" s="87" t="s">
        <v>1473</v>
      </c>
      <c r="C14" s="84" t="s">
        <v>1474</v>
      </c>
      <c r="D14" s="84">
        <v>12</v>
      </c>
      <c r="E14" s="84" t="s">
        <v>342</v>
      </c>
      <c r="F14" s="84" t="s">
        <v>343</v>
      </c>
      <c r="G14" s="97" t="s">
        <v>165</v>
      </c>
      <c r="H14" s="98">
        <v>0</v>
      </c>
      <c r="I14" s="98">
        <v>0</v>
      </c>
      <c r="J14" s="94">
        <v>698.66541642199979</v>
      </c>
      <c r="K14" s="95">
        <f t="shared" si="0"/>
        <v>9.1805061934615698E-2</v>
      </c>
      <c r="L14" s="95">
        <f>J14/'סכום נכסי הקרן'!$C$42</f>
        <v>2.9247850678241487E-3</v>
      </c>
    </row>
    <row r="15" spans="2:13">
      <c r="B15" s="87" t="s">
        <v>1475</v>
      </c>
      <c r="C15" s="84" t="s">
        <v>1476</v>
      </c>
      <c r="D15" s="84">
        <v>10</v>
      </c>
      <c r="E15" s="84" t="s">
        <v>342</v>
      </c>
      <c r="F15" s="84" t="s">
        <v>343</v>
      </c>
      <c r="G15" s="97" t="s">
        <v>165</v>
      </c>
      <c r="H15" s="98">
        <v>0</v>
      </c>
      <c r="I15" s="98">
        <v>0</v>
      </c>
      <c r="J15" s="94">
        <v>501.62319802699989</v>
      </c>
      <c r="K15" s="95">
        <f t="shared" si="0"/>
        <v>6.59135942330559E-2</v>
      </c>
      <c r="L15" s="95">
        <f>J15/'סכום נכסי הקרן'!$C$42</f>
        <v>2.0999179360802946E-3</v>
      </c>
    </row>
    <row r="16" spans="2:13">
      <c r="B16" s="87" t="s">
        <v>1475</v>
      </c>
      <c r="C16" s="84" t="s">
        <v>1477</v>
      </c>
      <c r="D16" s="84">
        <v>10</v>
      </c>
      <c r="E16" s="84" t="s">
        <v>342</v>
      </c>
      <c r="F16" s="84" t="s">
        <v>343</v>
      </c>
      <c r="G16" s="97" t="s">
        <v>165</v>
      </c>
      <c r="H16" s="98">
        <v>0</v>
      </c>
      <c r="I16" s="98">
        <v>0</v>
      </c>
      <c r="J16" s="94">
        <v>2514.2199999999998</v>
      </c>
      <c r="K16" s="95">
        <f t="shared" si="0"/>
        <v>0.3303700417852562</v>
      </c>
      <c r="L16" s="95">
        <f>J16/'סכום נכסי הקרן'!$C$42</f>
        <v>1.0525142565212106E-2</v>
      </c>
    </row>
    <row r="17" spans="2:12">
      <c r="B17" s="87" t="s">
        <v>1478</v>
      </c>
      <c r="C17" s="84" t="s">
        <v>1479</v>
      </c>
      <c r="D17" s="84">
        <v>20</v>
      </c>
      <c r="E17" s="84" t="s">
        <v>342</v>
      </c>
      <c r="F17" s="84" t="s">
        <v>343</v>
      </c>
      <c r="G17" s="97" t="s">
        <v>165</v>
      </c>
      <c r="H17" s="98">
        <v>0</v>
      </c>
      <c r="I17" s="98">
        <v>0</v>
      </c>
      <c r="J17" s="94">
        <v>769.46717301399997</v>
      </c>
      <c r="K17" s="95">
        <f t="shared" si="0"/>
        <v>0.10110845594300345</v>
      </c>
      <c r="L17" s="95">
        <f>J17/'סכום נכסי הקרן'!$C$42</f>
        <v>3.2211786141320489E-3</v>
      </c>
    </row>
    <row r="18" spans="2:12">
      <c r="B18" s="87" t="s">
        <v>1480</v>
      </c>
      <c r="C18" s="84" t="s">
        <v>1481</v>
      </c>
      <c r="D18" s="84">
        <v>26</v>
      </c>
      <c r="E18" s="84" t="s">
        <v>342</v>
      </c>
      <c r="F18" s="84" t="s">
        <v>343</v>
      </c>
      <c r="G18" s="97" t="s">
        <v>165</v>
      </c>
      <c r="H18" s="98">
        <v>0</v>
      </c>
      <c r="I18" s="98">
        <v>0</v>
      </c>
      <c r="J18" s="94">
        <v>24.183609999999998</v>
      </c>
      <c r="K18" s="95">
        <f t="shared" si="0"/>
        <v>3.1777411070703196E-3</v>
      </c>
      <c r="L18" s="95">
        <f>J18/'סכום נכסי הקרן'!$C$42</f>
        <v>1.0123853242416699E-4</v>
      </c>
    </row>
    <row r="19" spans="2:12">
      <c r="B19" s="83"/>
      <c r="C19" s="84"/>
      <c r="D19" s="84"/>
      <c r="E19" s="84"/>
      <c r="F19" s="84"/>
      <c r="G19" s="84"/>
      <c r="H19" s="84"/>
      <c r="I19" s="84"/>
      <c r="J19" s="84"/>
      <c r="K19" s="95"/>
      <c r="L19" s="84"/>
    </row>
    <row r="20" spans="2:12">
      <c r="B20" s="102" t="s">
        <v>42</v>
      </c>
      <c r="C20" s="82"/>
      <c r="D20" s="82"/>
      <c r="E20" s="82"/>
      <c r="F20" s="82"/>
      <c r="G20" s="82"/>
      <c r="H20" s="82"/>
      <c r="I20" s="82"/>
      <c r="J20" s="91">
        <f>SUM(J21:J30)</f>
        <v>3096.5339222869998</v>
      </c>
      <c r="K20" s="92">
        <f t="shared" ref="K20:K30" si="1">J20/$J$10</f>
        <v>0.40688644641098209</v>
      </c>
      <c r="L20" s="92">
        <f>J20/'סכום נכסי הקרן'!$C$42</f>
        <v>1.2962851695589923E-2</v>
      </c>
    </row>
    <row r="21" spans="2:12">
      <c r="B21" s="87" t="s">
        <v>1473</v>
      </c>
      <c r="C21" s="84" t="s">
        <v>1482</v>
      </c>
      <c r="D21" s="84">
        <v>12</v>
      </c>
      <c r="E21" s="84" t="s">
        <v>342</v>
      </c>
      <c r="F21" s="84" t="s">
        <v>343</v>
      </c>
      <c r="G21" s="97" t="s">
        <v>164</v>
      </c>
      <c r="H21" s="98">
        <v>0</v>
      </c>
      <c r="I21" s="98">
        <v>0</v>
      </c>
      <c r="J21" s="94">
        <v>0.16008501799999997</v>
      </c>
      <c r="K21" s="95">
        <f t="shared" si="1"/>
        <v>2.1035269024132128E-5</v>
      </c>
      <c r="L21" s="95">
        <f>J21/'סכום נכסי הקרן'!$C$42</f>
        <v>6.7015521195621148E-7</v>
      </c>
    </row>
    <row r="22" spans="2:12">
      <c r="B22" s="87" t="s">
        <v>1473</v>
      </c>
      <c r="C22" s="84" t="s">
        <v>1483</v>
      </c>
      <c r="D22" s="84">
        <v>12</v>
      </c>
      <c r="E22" s="84" t="s">
        <v>342</v>
      </c>
      <c r="F22" s="84" t="s">
        <v>343</v>
      </c>
      <c r="G22" s="97" t="s">
        <v>166</v>
      </c>
      <c r="H22" s="98">
        <v>0</v>
      </c>
      <c r="I22" s="98">
        <v>0</v>
      </c>
      <c r="J22" s="94">
        <v>164.63565614299998</v>
      </c>
      <c r="K22" s="95">
        <f t="shared" si="1"/>
        <v>2.1633225652212606E-2</v>
      </c>
      <c r="L22" s="95">
        <f>J22/'סכום נכסי הקרן'!$C$42</f>
        <v>6.8920530113606327E-4</v>
      </c>
    </row>
    <row r="23" spans="2:12">
      <c r="B23" s="87" t="s">
        <v>1475</v>
      </c>
      <c r="C23" s="84" t="s">
        <v>1484</v>
      </c>
      <c r="D23" s="84">
        <v>10</v>
      </c>
      <c r="E23" s="84" t="s">
        <v>342</v>
      </c>
      <c r="F23" s="84" t="s">
        <v>343</v>
      </c>
      <c r="G23" s="97" t="s">
        <v>166</v>
      </c>
      <c r="H23" s="98">
        <v>0</v>
      </c>
      <c r="I23" s="98">
        <v>0</v>
      </c>
      <c r="J23" s="94">
        <v>6.1979999999999986E-2</v>
      </c>
      <c r="K23" s="95">
        <f t="shared" si="1"/>
        <v>8.1442098105377318E-6</v>
      </c>
      <c r="L23" s="95">
        <f>J23/'סכום נכסי הקרן'!$C$42</f>
        <v>2.5946350605430162E-7</v>
      </c>
    </row>
    <row r="24" spans="2:12">
      <c r="B24" s="87" t="s">
        <v>1475</v>
      </c>
      <c r="C24" s="84" t="s">
        <v>1485</v>
      </c>
      <c r="D24" s="84">
        <v>10</v>
      </c>
      <c r="E24" s="84" t="s">
        <v>342</v>
      </c>
      <c r="F24" s="84" t="s">
        <v>343</v>
      </c>
      <c r="G24" s="97" t="s">
        <v>166</v>
      </c>
      <c r="H24" s="98">
        <v>0</v>
      </c>
      <c r="I24" s="98">
        <v>0</v>
      </c>
      <c r="J24" s="94">
        <v>16.139024736999996</v>
      </c>
      <c r="K24" s="95">
        <f t="shared" si="1"/>
        <v>2.1206776959597695E-3</v>
      </c>
      <c r="L24" s="95">
        <f>J24/'סכום נכסי הקרן'!$C$42</f>
        <v>6.7561922274267874E-5</v>
      </c>
    </row>
    <row r="25" spans="2:12">
      <c r="B25" s="87" t="s">
        <v>1475</v>
      </c>
      <c r="C25" s="84" t="s">
        <v>1486</v>
      </c>
      <c r="D25" s="84">
        <v>10</v>
      </c>
      <c r="E25" s="84" t="s">
        <v>342</v>
      </c>
      <c r="F25" s="84" t="s">
        <v>343</v>
      </c>
      <c r="G25" s="97" t="s">
        <v>167</v>
      </c>
      <c r="H25" s="98">
        <v>0</v>
      </c>
      <c r="I25" s="98">
        <v>0</v>
      </c>
      <c r="J25" s="94">
        <v>4.6449297579999991</v>
      </c>
      <c r="K25" s="95">
        <f t="shared" si="1"/>
        <v>6.1034660381352457E-4</v>
      </c>
      <c r="L25" s="95">
        <f>J25/'סכום נכסי הקרן'!$C$42</f>
        <v>1.9444817043992235E-5</v>
      </c>
    </row>
    <row r="26" spans="2:12">
      <c r="B26" s="87" t="s">
        <v>1475</v>
      </c>
      <c r="C26" s="84" t="s">
        <v>1487</v>
      </c>
      <c r="D26" s="84">
        <v>10</v>
      </c>
      <c r="E26" s="84" t="s">
        <v>342</v>
      </c>
      <c r="F26" s="84" t="s">
        <v>343</v>
      </c>
      <c r="G26" s="97" t="s">
        <v>167</v>
      </c>
      <c r="H26" s="98">
        <v>0</v>
      </c>
      <c r="I26" s="98">
        <v>0</v>
      </c>
      <c r="J26" s="94">
        <v>3.8499999999999997E-3</v>
      </c>
      <c r="K26" s="95">
        <f t="shared" si="1"/>
        <v>5.0589234867005916E-7</v>
      </c>
      <c r="L26" s="95">
        <f>J26/'סכום נכסי הקרן'!$C$42</f>
        <v>1.6117045793950652E-8</v>
      </c>
    </row>
    <row r="27" spans="2:12">
      <c r="B27" s="87" t="s">
        <v>1475</v>
      </c>
      <c r="C27" s="84" t="s">
        <v>1488</v>
      </c>
      <c r="D27" s="84">
        <v>10</v>
      </c>
      <c r="E27" s="84" t="s">
        <v>342</v>
      </c>
      <c r="F27" s="84" t="s">
        <v>343</v>
      </c>
      <c r="G27" s="97" t="s">
        <v>164</v>
      </c>
      <c r="H27" s="98">
        <v>0</v>
      </c>
      <c r="I27" s="98">
        <v>0</v>
      </c>
      <c r="J27" s="94">
        <f>2909.030752555+1.605438179</f>
        <v>2910.6361907340001</v>
      </c>
      <c r="K27" s="95">
        <f t="shared" si="1"/>
        <v>0.38245937107909034</v>
      </c>
      <c r="L27" s="95">
        <f>J27/'סכום נכסי הקרן'!$C$42</f>
        <v>1.2184638123529861E-2</v>
      </c>
    </row>
    <row r="28" spans="2:12">
      <c r="B28" s="87" t="s">
        <v>1478</v>
      </c>
      <c r="C28" s="84" t="s">
        <v>1489</v>
      </c>
      <c r="D28" s="84">
        <v>20</v>
      </c>
      <c r="E28" s="84" t="s">
        <v>342</v>
      </c>
      <c r="F28" s="84" t="s">
        <v>343</v>
      </c>
      <c r="G28" s="97" t="s">
        <v>166</v>
      </c>
      <c r="H28" s="98">
        <v>0</v>
      </c>
      <c r="I28" s="98">
        <v>0</v>
      </c>
      <c r="J28" s="94">
        <v>1.0936097999999998E-2</v>
      </c>
      <c r="K28" s="95">
        <f t="shared" si="1"/>
        <v>1.4370099487028407E-6</v>
      </c>
      <c r="L28" s="95">
        <f>J28/'סכום נכסי הקרן'!$C$42</f>
        <v>4.5781192798216135E-8</v>
      </c>
    </row>
    <row r="29" spans="2:12">
      <c r="B29" s="87" t="s">
        <v>1478</v>
      </c>
      <c r="C29" s="84" t="s">
        <v>1490</v>
      </c>
      <c r="D29" s="84">
        <v>20</v>
      </c>
      <c r="E29" s="84" t="s">
        <v>342</v>
      </c>
      <c r="F29" s="84" t="s">
        <v>343</v>
      </c>
      <c r="G29" s="97" t="s">
        <v>164</v>
      </c>
      <c r="H29" s="98">
        <v>0</v>
      </c>
      <c r="I29" s="98">
        <v>0</v>
      </c>
      <c r="J29" s="94">
        <v>5.4589397989999986</v>
      </c>
      <c r="K29" s="95">
        <f t="shared" si="1"/>
        <v>7.1730801978300526E-4</v>
      </c>
      <c r="L29" s="95">
        <f>J29/'סכום נכסי הקרן'!$C$42</f>
        <v>2.2852463045948767E-5</v>
      </c>
    </row>
    <row r="30" spans="2:12">
      <c r="B30" s="87" t="s">
        <v>1480</v>
      </c>
      <c r="C30" s="84" t="s">
        <v>1491</v>
      </c>
      <c r="D30" s="84">
        <v>26</v>
      </c>
      <c r="E30" s="84" t="s">
        <v>342</v>
      </c>
      <c r="F30" s="84" t="s">
        <v>343</v>
      </c>
      <c r="G30" s="97" t="s">
        <v>164</v>
      </c>
      <c r="H30" s="98">
        <v>0</v>
      </c>
      <c r="I30" s="98">
        <v>0</v>
      </c>
      <c r="J30" s="94">
        <v>-5.2176699999999991</v>
      </c>
      <c r="K30" s="95">
        <f t="shared" si="1"/>
        <v>-6.856050210091708E-4</v>
      </c>
      <c r="L30" s="95">
        <f>J30/'סכום נכסי הקרן'!$C$42</f>
        <v>-2.1842448396811037E-5</v>
      </c>
    </row>
    <row r="31" spans="2:12">
      <c r="B31" s="83"/>
      <c r="C31" s="84"/>
      <c r="D31" s="84"/>
      <c r="E31" s="84"/>
      <c r="F31" s="84"/>
      <c r="G31" s="84"/>
      <c r="H31" s="84"/>
      <c r="I31" s="84"/>
      <c r="J31" s="84"/>
      <c r="K31" s="95"/>
      <c r="L31" s="84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99" t="s">
        <v>250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180</v>
      </c>
      <c r="C1" s="78" t="s" vm="1">
        <v>251</v>
      </c>
    </row>
    <row r="2" spans="2:18">
      <c r="B2" s="57" t="s">
        <v>179</v>
      </c>
      <c r="C2" s="78" t="s">
        <v>252</v>
      </c>
    </row>
    <row r="3" spans="2:18">
      <c r="B3" s="57" t="s">
        <v>181</v>
      </c>
      <c r="C3" s="78" t="s">
        <v>253</v>
      </c>
    </row>
    <row r="4" spans="2:18">
      <c r="B4" s="57" t="s">
        <v>182</v>
      </c>
      <c r="C4" s="78">
        <v>2144</v>
      </c>
    </row>
    <row r="6" spans="2:18" ht="26.25" customHeight="1">
      <c r="B6" s="159" t="s">
        <v>221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8" s="3" customFormat="1" ht="78.75">
      <c r="B7" s="23" t="s">
        <v>117</v>
      </c>
      <c r="C7" s="31" t="s">
        <v>44</v>
      </c>
      <c r="D7" s="31" t="s">
        <v>63</v>
      </c>
      <c r="E7" s="31" t="s">
        <v>15</v>
      </c>
      <c r="F7" s="31" t="s">
        <v>64</v>
      </c>
      <c r="G7" s="31" t="s">
        <v>103</v>
      </c>
      <c r="H7" s="31" t="s">
        <v>18</v>
      </c>
      <c r="I7" s="31" t="s">
        <v>102</v>
      </c>
      <c r="J7" s="31" t="s">
        <v>17</v>
      </c>
      <c r="K7" s="31" t="s">
        <v>218</v>
      </c>
      <c r="L7" s="31" t="s">
        <v>234</v>
      </c>
      <c r="M7" s="31" t="s">
        <v>219</v>
      </c>
      <c r="N7" s="31" t="s">
        <v>57</v>
      </c>
      <c r="O7" s="31" t="s">
        <v>183</v>
      </c>
      <c r="P7" s="32" t="s">
        <v>185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241</v>
      </c>
      <c r="M8" s="33" t="s">
        <v>237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180</v>
      </c>
      <c r="C1" s="78" t="s" vm="1">
        <v>251</v>
      </c>
    </row>
    <row r="2" spans="2:18">
      <c r="B2" s="57" t="s">
        <v>179</v>
      </c>
      <c r="C2" s="78" t="s">
        <v>252</v>
      </c>
    </row>
    <row r="3" spans="2:18">
      <c r="B3" s="57" t="s">
        <v>181</v>
      </c>
      <c r="C3" s="78" t="s">
        <v>253</v>
      </c>
    </row>
    <row r="4" spans="2:18">
      <c r="B4" s="57" t="s">
        <v>182</v>
      </c>
      <c r="C4" s="78">
        <v>2144</v>
      </c>
    </row>
    <row r="6" spans="2:18" ht="26.25" customHeight="1">
      <c r="B6" s="159" t="s">
        <v>223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8" s="3" customFormat="1" ht="78.75">
      <c r="B7" s="23" t="s">
        <v>117</v>
      </c>
      <c r="C7" s="31" t="s">
        <v>44</v>
      </c>
      <c r="D7" s="31" t="s">
        <v>63</v>
      </c>
      <c r="E7" s="31" t="s">
        <v>15</v>
      </c>
      <c r="F7" s="31" t="s">
        <v>64</v>
      </c>
      <c r="G7" s="31" t="s">
        <v>103</v>
      </c>
      <c r="H7" s="31" t="s">
        <v>18</v>
      </c>
      <c r="I7" s="31" t="s">
        <v>102</v>
      </c>
      <c r="J7" s="31" t="s">
        <v>17</v>
      </c>
      <c r="K7" s="31" t="s">
        <v>218</v>
      </c>
      <c r="L7" s="31" t="s">
        <v>234</v>
      </c>
      <c r="M7" s="31" t="s">
        <v>219</v>
      </c>
      <c r="N7" s="31" t="s">
        <v>57</v>
      </c>
      <c r="O7" s="31" t="s">
        <v>183</v>
      </c>
      <c r="P7" s="32" t="s">
        <v>185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241</v>
      </c>
      <c r="M8" s="33" t="s">
        <v>237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5" workbookViewId="0">
      <selection activeCell="Q61" activeCellId="3" sqref="Q12:Q26 Q28:Q41 Q43:Q59 Q61:Q62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180</v>
      </c>
      <c r="C1" s="78" t="s" vm="1">
        <v>251</v>
      </c>
    </row>
    <row r="2" spans="2:53">
      <c r="B2" s="57" t="s">
        <v>179</v>
      </c>
      <c r="C2" s="78" t="s">
        <v>252</v>
      </c>
    </row>
    <row r="3" spans="2:53">
      <c r="B3" s="57" t="s">
        <v>181</v>
      </c>
      <c r="C3" s="78" t="s">
        <v>253</v>
      </c>
    </row>
    <row r="4" spans="2:53">
      <c r="B4" s="57" t="s">
        <v>182</v>
      </c>
      <c r="C4" s="78">
        <v>2144</v>
      </c>
    </row>
    <row r="6" spans="2:53" ht="21.75" customHeight="1">
      <c r="B6" s="150" t="s">
        <v>210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53" ht="27.75" customHeight="1">
      <c r="B7" s="153" t="s">
        <v>87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AU7" s="3"/>
      <c r="AV7" s="3"/>
    </row>
    <row r="8" spans="2:53" s="3" customFormat="1" ht="66" customHeight="1">
      <c r="B8" s="23" t="s">
        <v>116</v>
      </c>
      <c r="C8" s="31" t="s">
        <v>44</v>
      </c>
      <c r="D8" s="31" t="s">
        <v>120</v>
      </c>
      <c r="E8" s="31" t="s">
        <v>15</v>
      </c>
      <c r="F8" s="31" t="s">
        <v>64</v>
      </c>
      <c r="G8" s="31" t="s">
        <v>103</v>
      </c>
      <c r="H8" s="31" t="s">
        <v>18</v>
      </c>
      <c r="I8" s="31" t="s">
        <v>102</v>
      </c>
      <c r="J8" s="31" t="s">
        <v>17</v>
      </c>
      <c r="K8" s="31" t="s">
        <v>19</v>
      </c>
      <c r="L8" s="31" t="s">
        <v>234</v>
      </c>
      <c r="M8" s="31" t="s">
        <v>233</v>
      </c>
      <c r="N8" s="31" t="s">
        <v>249</v>
      </c>
      <c r="O8" s="31" t="s">
        <v>60</v>
      </c>
      <c r="P8" s="31" t="s">
        <v>236</v>
      </c>
      <c r="Q8" s="31" t="s">
        <v>183</v>
      </c>
      <c r="R8" s="72" t="s">
        <v>185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241</v>
      </c>
      <c r="M9" s="33"/>
      <c r="N9" s="17" t="s">
        <v>237</v>
      </c>
      <c r="O9" s="33" t="s">
        <v>242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114</v>
      </c>
      <c r="R10" s="21" t="s">
        <v>115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28</v>
      </c>
      <c r="C11" s="80"/>
      <c r="D11" s="80"/>
      <c r="E11" s="80"/>
      <c r="F11" s="80"/>
      <c r="G11" s="80"/>
      <c r="H11" s="88">
        <v>6.3254793531748508</v>
      </c>
      <c r="I11" s="80"/>
      <c r="J11" s="80"/>
      <c r="K11" s="89">
        <v>2.6611113580574542E-3</v>
      </c>
      <c r="L11" s="88"/>
      <c r="M11" s="90"/>
      <c r="N11" s="88"/>
      <c r="O11" s="88">
        <v>71369.819075712017</v>
      </c>
      <c r="P11" s="80"/>
      <c r="Q11" s="89">
        <f>O11/$O$11</f>
        <v>1</v>
      </c>
      <c r="R11" s="89">
        <f>O11/'סכום נכסי הקרן'!$C$42</f>
        <v>0.29877159541538273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231</v>
      </c>
      <c r="C12" s="82"/>
      <c r="D12" s="82"/>
      <c r="E12" s="82"/>
      <c r="F12" s="82"/>
      <c r="G12" s="82"/>
      <c r="H12" s="91">
        <v>6.3254793531748534</v>
      </c>
      <c r="I12" s="82"/>
      <c r="J12" s="82"/>
      <c r="K12" s="92">
        <v>2.6611113580574542E-3</v>
      </c>
      <c r="L12" s="91"/>
      <c r="M12" s="93"/>
      <c r="N12" s="91"/>
      <c r="O12" s="91">
        <v>71369.819075711974</v>
      </c>
      <c r="P12" s="82"/>
      <c r="Q12" s="92">
        <f t="shared" ref="Q12:Q26" si="0">O12/$O$11</f>
        <v>0.99999999999999933</v>
      </c>
      <c r="R12" s="92">
        <f>O12/'סכום נכסי הקרן'!$C$42</f>
        <v>0.29877159541538251</v>
      </c>
      <c r="AW12" s="4"/>
    </row>
    <row r="13" spans="2:53" s="100" customFormat="1">
      <c r="B13" s="126" t="s">
        <v>27</v>
      </c>
      <c r="C13" s="122"/>
      <c r="D13" s="122"/>
      <c r="E13" s="122"/>
      <c r="F13" s="122"/>
      <c r="G13" s="122"/>
      <c r="H13" s="123">
        <v>6.660358358192501</v>
      </c>
      <c r="I13" s="122"/>
      <c r="J13" s="122"/>
      <c r="K13" s="124">
        <v>-5.9820273389424297E-3</v>
      </c>
      <c r="L13" s="123"/>
      <c r="M13" s="127"/>
      <c r="N13" s="123"/>
      <c r="O13" s="123">
        <v>23875.582432200998</v>
      </c>
      <c r="P13" s="122"/>
      <c r="Q13" s="124">
        <f t="shared" si="0"/>
        <v>0.33453331872500341</v>
      </c>
      <c r="R13" s="124">
        <f>O13/'סכום נכסי הקרן'!$C$42</f>
        <v>9.9949053355071996E-2</v>
      </c>
    </row>
    <row r="14" spans="2:53">
      <c r="B14" s="85" t="s">
        <v>26</v>
      </c>
      <c r="C14" s="82"/>
      <c r="D14" s="82"/>
      <c r="E14" s="82"/>
      <c r="F14" s="82"/>
      <c r="G14" s="82"/>
      <c r="H14" s="91">
        <v>6.660358358192501</v>
      </c>
      <c r="I14" s="82"/>
      <c r="J14" s="82"/>
      <c r="K14" s="92">
        <v>-5.9820273389424297E-3</v>
      </c>
      <c r="L14" s="91"/>
      <c r="M14" s="93"/>
      <c r="N14" s="91"/>
      <c r="O14" s="91">
        <v>23875.582432200998</v>
      </c>
      <c r="P14" s="82"/>
      <c r="Q14" s="92">
        <f t="shared" si="0"/>
        <v>0.33453331872500341</v>
      </c>
      <c r="R14" s="92">
        <f>O14/'סכום נכסי הקרן'!$C$42</f>
        <v>9.9949053355071996E-2</v>
      </c>
    </row>
    <row r="15" spans="2:53">
      <c r="B15" s="86" t="s">
        <v>254</v>
      </c>
      <c r="C15" s="84" t="s">
        <v>255</v>
      </c>
      <c r="D15" s="97" t="s">
        <v>121</v>
      </c>
      <c r="E15" s="84" t="s">
        <v>256</v>
      </c>
      <c r="F15" s="84"/>
      <c r="G15" s="84"/>
      <c r="H15" s="94">
        <v>1.8000000000001133</v>
      </c>
      <c r="I15" s="97" t="s">
        <v>165</v>
      </c>
      <c r="J15" s="98">
        <v>0.04</v>
      </c>
      <c r="K15" s="95">
        <v>-9.1999999999993216E-3</v>
      </c>
      <c r="L15" s="94">
        <v>2446639.4075769996</v>
      </c>
      <c r="M15" s="96">
        <v>144.5</v>
      </c>
      <c r="N15" s="84"/>
      <c r="O15" s="94">
        <v>3535.3938203469988</v>
      </c>
      <c r="P15" s="95">
        <v>1.5736234747299087E-4</v>
      </c>
      <c r="Q15" s="95">
        <f t="shared" si="0"/>
        <v>4.9536258689355912E-2</v>
      </c>
      <c r="R15" s="95">
        <f>O15/'סכום נכסי הקרן'!$C$42</f>
        <v>1.4800027039527982E-2</v>
      </c>
    </row>
    <row r="16" spans="2:53" ht="20.25">
      <c r="B16" s="86" t="s">
        <v>257</v>
      </c>
      <c r="C16" s="84" t="s">
        <v>258</v>
      </c>
      <c r="D16" s="97" t="s">
        <v>121</v>
      </c>
      <c r="E16" s="84" t="s">
        <v>256</v>
      </c>
      <c r="F16" s="84"/>
      <c r="G16" s="84"/>
      <c r="H16" s="94">
        <v>4.5199999999996621</v>
      </c>
      <c r="I16" s="97" t="s">
        <v>165</v>
      </c>
      <c r="J16" s="98">
        <v>0.04</v>
      </c>
      <c r="K16" s="95">
        <v>-9.3000000000012604E-3</v>
      </c>
      <c r="L16" s="94">
        <v>1523931.7853889999</v>
      </c>
      <c r="M16" s="96">
        <v>155.94999999999999</v>
      </c>
      <c r="N16" s="84"/>
      <c r="O16" s="94">
        <v>2376.57156209</v>
      </c>
      <c r="P16" s="95">
        <v>1.3117108706526328E-4</v>
      </c>
      <c r="Q16" s="95">
        <f t="shared" si="0"/>
        <v>3.3299391715829289E-2</v>
      </c>
      <c r="R16" s="95">
        <f>O16/'סכום נכסי הקרן'!$C$42</f>
        <v>9.9489123893000964E-3</v>
      </c>
      <c r="AU16" s="4"/>
    </row>
    <row r="17" spans="2:48" ht="20.25">
      <c r="B17" s="86" t="s">
        <v>259</v>
      </c>
      <c r="C17" s="84" t="s">
        <v>260</v>
      </c>
      <c r="D17" s="97" t="s">
        <v>121</v>
      </c>
      <c r="E17" s="84" t="s">
        <v>256</v>
      </c>
      <c r="F17" s="84"/>
      <c r="G17" s="84"/>
      <c r="H17" s="94">
        <v>7.489999999997119</v>
      </c>
      <c r="I17" s="97" t="s">
        <v>165</v>
      </c>
      <c r="J17" s="98">
        <v>7.4999999999999997E-3</v>
      </c>
      <c r="K17" s="95">
        <v>-7.0999999999973792E-3</v>
      </c>
      <c r="L17" s="94">
        <v>837249.60785999987</v>
      </c>
      <c r="M17" s="96">
        <v>113.96</v>
      </c>
      <c r="N17" s="84"/>
      <c r="O17" s="94">
        <v>954.12967097499973</v>
      </c>
      <c r="P17" s="95">
        <v>6.0756343447975991E-5</v>
      </c>
      <c r="Q17" s="95">
        <f t="shared" si="0"/>
        <v>1.3368811681627216E-2</v>
      </c>
      <c r="R17" s="95">
        <f>O17/'סכום נכסי הקרן'!$C$42</f>
        <v>3.9942211949275689E-3</v>
      </c>
      <c r="AV17" s="4"/>
    </row>
    <row r="18" spans="2:48">
      <c r="B18" s="86" t="s">
        <v>261</v>
      </c>
      <c r="C18" s="84" t="s">
        <v>262</v>
      </c>
      <c r="D18" s="97" t="s">
        <v>121</v>
      </c>
      <c r="E18" s="84" t="s">
        <v>256</v>
      </c>
      <c r="F18" s="84"/>
      <c r="G18" s="84"/>
      <c r="H18" s="94">
        <v>13.419999999998135</v>
      </c>
      <c r="I18" s="97" t="s">
        <v>165</v>
      </c>
      <c r="J18" s="98">
        <v>0.04</v>
      </c>
      <c r="K18" s="95">
        <v>9.9999999999931502E-4</v>
      </c>
      <c r="L18" s="94">
        <v>1468917.9757670001</v>
      </c>
      <c r="M18" s="96">
        <v>198.8</v>
      </c>
      <c r="N18" s="84"/>
      <c r="O18" s="94">
        <v>2920.2088663320001</v>
      </c>
      <c r="P18" s="95">
        <v>9.055319475929723E-5</v>
      </c>
      <c r="Q18" s="95">
        <f t="shared" si="0"/>
        <v>4.0916579362967463E-2</v>
      </c>
      <c r="R18" s="95">
        <f>O18/'סכום נכסי הקרן'!$C$42</f>
        <v>1.2224711695213913E-2</v>
      </c>
      <c r="AU18" s="3"/>
    </row>
    <row r="19" spans="2:48">
      <c r="B19" s="86" t="s">
        <v>263</v>
      </c>
      <c r="C19" s="84" t="s">
        <v>264</v>
      </c>
      <c r="D19" s="97" t="s">
        <v>121</v>
      </c>
      <c r="E19" s="84" t="s">
        <v>256</v>
      </c>
      <c r="F19" s="84"/>
      <c r="G19" s="84"/>
      <c r="H19" s="94">
        <v>17.75000000000054</v>
      </c>
      <c r="I19" s="97" t="s">
        <v>165</v>
      </c>
      <c r="J19" s="98">
        <v>2.75E-2</v>
      </c>
      <c r="K19" s="95">
        <v>5.3999999999989265E-3</v>
      </c>
      <c r="L19" s="94">
        <v>1181748.4526919997</v>
      </c>
      <c r="M19" s="96">
        <v>157.5</v>
      </c>
      <c r="N19" s="84"/>
      <c r="O19" s="94">
        <v>1861.2537778799995</v>
      </c>
      <c r="P19" s="95">
        <v>6.6859630726831174E-5</v>
      </c>
      <c r="Q19" s="95">
        <f t="shared" si="0"/>
        <v>2.607900372993107E-2</v>
      </c>
      <c r="R19" s="95">
        <f>O19/'סכום נכסי הקרן'!$C$42</f>
        <v>7.791665551235223E-3</v>
      </c>
      <c r="AV19" s="3"/>
    </row>
    <row r="20" spans="2:48">
      <c r="B20" s="86" t="s">
        <v>265</v>
      </c>
      <c r="C20" s="84" t="s">
        <v>266</v>
      </c>
      <c r="D20" s="97" t="s">
        <v>121</v>
      </c>
      <c r="E20" s="84" t="s">
        <v>256</v>
      </c>
      <c r="F20" s="84"/>
      <c r="G20" s="84"/>
      <c r="H20" s="94">
        <v>3.9099999999996227</v>
      </c>
      <c r="I20" s="97" t="s">
        <v>165</v>
      </c>
      <c r="J20" s="98">
        <v>1.7500000000000002E-2</v>
      </c>
      <c r="K20" s="95">
        <v>-9.6000000000002837E-3</v>
      </c>
      <c r="L20" s="94">
        <v>2481960.6201169994</v>
      </c>
      <c r="M20" s="96">
        <v>114</v>
      </c>
      <c r="N20" s="94"/>
      <c r="O20" s="94">
        <v>2829.4350688769996</v>
      </c>
      <c r="P20" s="95">
        <v>1.5154946645846293E-4</v>
      </c>
      <c r="Q20" s="95">
        <f t="shared" si="0"/>
        <v>3.9644700035955244E-2</v>
      </c>
      <c r="R20" s="95">
        <f>O20/'סכום נכסי הקרן'!$C$42</f>
        <v>1.1844710279506629E-2</v>
      </c>
    </row>
    <row r="21" spans="2:48">
      <c r="B21" s="86" t="s">
        <v>267</v>
      </c>
      <c r="C21" s="84" t="s">
        <v>268</v>
      </c>
      <c r="D21" s="97" t="s">
        <v>121</v>
      </c>
      <c r="E21" s="84" t="s">
        <v>256</v>
      </c>
      <c r="F21" s="84"/>
      <c r="G21" s="84"/>
      <c r="H21" s="94">
        <v>9.0000000043124431E-2</v>
      </c>
      <c r="I21" s="97" t="s">
        <v>165</v>
      </c>
      <c r="J21" s="98">
        <v>0.03</v>
      </c>
      <c r="K21" s="95">
        <v>2.050000000023958E-2</v>
      </c>
      <c r="L21" s="94">
        <v>1827.4826269999999</v>
      </c>
      <c r="M21" s="96">
        <v>114.2</v>
      </c>
      <c r="N21" s="84"/>
      <c r="O21" s="94">
        <v>2.0869849989999993</v>
      </c>
      <c r="P21" s="95">
        <v>2.0474184436941278E-7</v>
      </c>
      <c r="Q21" s="95">
        <f t="shared" si="0"/>
        <v>2.9241842364572067E-5</v>
      </c>
      <c r="R21" s="95">
        <f>O21/'סכום נכסי הקרן'!$C$42</f>
        <v>8.7366318961483239E-6</v>
      </c>
    </row>
    <row r="22" spans="2:48">
      <c r="B22" s="86" t="s">
        <v>269</v>
      </c>
      <c r="C22" s="84" t="s">
        <v>270</v>
      </c>
      <c r="D22" s="97" t="s">
        <v>121</v>
      </c>
      <c r="E22" s="84" t="s">
        <v>256</v>
      </c>
      <c r="F22" s="84"/>
      <c r="G22" s="84"/>
      <c r="H22" s="94">
        <v>1.0900000000000831</v>
      </c>
      <c r="I22" s="97" t="s">
        <v>165</v>
      </c>
      <c r="J22" s="98">
        <v>1E-3</v>
      </c>
      <c r="K22" s="95">
        <v>-6.7000000000012163E-3</v>
      </c>
      <c r="L22" s="94">
        <v>1523151.7862279997</v>
      </c>
      <c r="M22" s="96">
        <v>102.66</v>
      </c>
      <c r="N22" s="84"/>
      <c r="O22" s="94">
        <v>1563.6675742429998</v>
      </c>
      <c r="P22" s="95">
        <v>1.0050199048856319E-4</v>
      </c>
      <c r="Q22" s="95">
        <f t="shared" si="0"/>
        <v>2.1909367215632105E-2</v>
      </c>
      <c r="R22" s="95">
        <f>O22/'סכום נכסי הקרן'!$C$42</f>
        <v>6.5458965975558857E-3</v>
      </c>
    </row>
    <row r="23" spans="2:48">
      <c r="B23" s="86" t="s">
        <v>271</v>
      </c>
      <c r="C23" s="84" t="s">
        <v>272</v>
      </c>
      <c r="D23" s="97" t="s">
        <v>121</v>
      </c>
      <c r="E23" s="84" t="s">
        <v>256</v>
      </c>
      <c r="F23" s="84"/>
      <c r="G23" s="84"/>
      <c r="H23" s="94">
        <v>5.9500000000006033</v>
      </c>
      <c r="I23" s="97" t="s">
        <v>165</v>
      </c>
      <c r="J23" s="98">
        <v>7.4999999999999997E-3</v>
      </c>
      <c r="K23" s="95">
        <v>-8.3000000000019482E-3</v>
      </c>
      <c r="L23" s="94">
        <v>1923672.7443739998</v>
      </c>
      <c r="M23" s="96">
        <v>112.05</v>
      </c>
      <c r="N23" s="84"/>
      <c r="O23" s="94">
        <v>2155.4754177259997</v>
      </c>
      <c r="P23" s="95">
        <v>1.4077196119585117E-4</v>
      </c>
      <c r="Q23" s="95">
        <f t="shared" si="0"/>
        <v>3.0201497574757524E-2</v>
      </c>
      <c r="R23" s="95">
        <f>O23/'סכום נכסי הקרן'!$C$42</f>
        <v>9.0233496143441172E-3</v>
      </c>
    </row>
    <row r="24" spans="2:48">
      <c r="B24" s="86" t="s">
        <v>273</v>
      </c>
      <c r="C24" s="84" t="s">
        <v>274</v>
      </c>
      <c r="D24" s="97" t="s">
        <v>121</v>
      </c>
      <c r="E24" s="84" t="s">
        <v>256</v>
      </c>
      <c r="F24" s="84"/>
      <c r="G24" s="84"/>
      <c r="H24" s="94">
        <v>9.4700000000009794</v>
      </c>
      <c r="I24" s="97" t="s">
        <v>165</v>
      </c>
      <c r="J24" s="98">
        <v>5.0000000000000001E-3</v>
      </c>
      <c r="K24" s="95">
        <v>-5.0000000000000001E-3</v>
      </c>
      <c r="L24" s="94">
        <v>569735.26645499992</v>
      </c>
      <c r="M24" s="96">
        <v>111.1</v>
      </c>
      <c r="N24" s="84"/>
      <c r="O24" s="94">
        <v>632.97591135399989</v>
      </c>
      <c r="P24" s="95">
        <v>8.0200508067697015E-5</v>
      </c>
      <c r="Q24" s="95">
        <f t="shared" si="0"/>
        <v>8.8689577688646406E-3</v>
      </c>
      <c r="R24" s="95">
        <f>O24/'סכום נכסי הקרן'!$C$42</f>
        <v>2.6497926622753415E-3</v>
      </c>
    </row>
    <row r="25" spans="2:48">
      <c r="B25" s="86" t="s">
        <v>275</v>
      </c>
      <c r="C25" s="84" t="s">
        <v>276</v>
      </c>
      <c r="D25" s="97" t="s">
        <v>121</v>
      </c>
      <c r="E25" s="84" t="s">
        <v>256</v>
      </c>
      <c r="F25" s="84"/>
      <c r="G25" s="84"/>
      <c r="H25" s="94">
        <v>22.790000000004785</v>
      </c>
      <c r="I25" s="97" t="s">
        <v>165</v>
      </c>
      <c r="J25" s="98">
        <v>0.01</v>
      </c>
      <c r="K25" s="95">
        <v>8.0999999999964295E-3</v>
      </c>
      <c r="L25" s="94">
        <v>763275.23092899984</v>
      </c>
      <c r="M25" s="96">
        <v>106.42</v>
      </c>
      <c r="N25" s="84"/>
      <c r="O25" s="94">
        <v>812.27749960899996</v>
      </c>
      <c r="P25" s="95">
        <v>5.6537465336364748E-5</v>
      </c>
      <c r="Q25" s="95">
        <f t="shared" si="0"/>
        <v>1.1381246444625324E-2</v>
      </c>
      <c r="R25" s="95">
        <f>O25/'סכום נכסי הקרן'!$C$42</f>
        <v>3.40039315807636E-3</v>
      </c>
    </row>
    <row r="26" spans="2:48">
      <c r="B26" s="86" t="s">
        <v>277</v>
      </c>
      <c r="C26" s="84" t="s">
        <v>278</v>
      </c>
      <c r="D26" s="97" t="s">
        <v>121</v>
      </c>
      <c r="E26" s="84" t="s">
        <v>256</v>
      </c>
      <c r="F26" s="84"/>
      <c r="G26" s="84"/>
      <c r="H26" s="94">
        <v>2.9400000000002686</v>
      </c>
      <c r="I26" s="97" t="s">
        <v>165</v>
      </c>
      <c r="J26" s="98">
        <v>2.75E-2</v>
      </c>
      <c r="K26" s="95">
        <v>-0.01</v>
      </c>
      <c r="L26" s="94">
        <v>3631773.927796999</v>
      </c>
      <c r="M26" s="96">
        <v>116.53</v>
      </c>
      <c r="N26" s="84"/>
      <c r="O26" s="94">
        <v>4232.1062777690004</v>
      </c>
      <c r="P26" s="95">
        <v>2.1902909117755965E-4</v>
      </c>
      <c r="Q26" s="95">
        <f t="shared" si="0"/>
        <v>5.9298262663093057E-2</v>
      </c>
      <c r="R26" s="95">
        <f>O26/'סכום נכסי הקרן'!$C$42</f>
        <v>1.7716636541212732E-2</v>
      </c>
    </row>
    <row r="27" spans="2:48">
      <c r="B27" s="87"/>
      <c r="C27" s="84"/>
      <c r="D27" s="84"/>
      <c r="E27" s="84"/>
      <c r="F27" s="84"/>
      <c r="G27" s="84"/>
      <c r="H27" s="84"/>
      <c r="I27" s="84"/>
      <c r="J27" s="84"/>
      <c r="K27" s="95"/>
      <c r="L27" s="94"/>
      <c r="M27" s="96"/>
      <c r="N27" s="84"/>
      <c r="O27" s="84"/>
      <c r="P27" s="84"/>
      <c r="Q27" s="95"/>
      <c r="R27" s="84"/>
    </row>
    <row r="28" spans="2:48" s="100" customFormat="1">
      <c r="B28" s="126" t="s">
        <v>45</v>
      </c>
      <c r="C28" s="122"/>
      <c r="D28" s="122"/>
      <c r="E28" s="122"/>
      <c r="F28" s="122"/>
      <c r="G28" s="122"/>
      <c r="H28" s="123">
        <v>6.1571340579524962</v>
      </c>
      <c r="I28" s="122"/>
      <c r="J28" s="122"/>
      <c r="K28" s="124">
        <v>7.0170214616866846E-3</v>
      </c>
      <c r="L28" s="123"/>
      <c r="M28" s="127"/>
      <c r="N28" s="122"/>
      <c r="O28" s="123">
        <v>47494.236643510987</v>
      </c>
      <c r="P28" s="122"/>
      <c r="Q28" s="124">
        <f t="shared" ref="Q28:Q41" si="1">O28/$O$11</f>
        <v>0.66546668127499609</v>
      </c>
      <c r="R28" s="124">
        <f>O28/'סכום נכסי הקרן'!$C$42</f>
        <v>0.19882254206031058</v>
      </c>
    </row>
    <row r="29" spans="2:48">
      <c r="B29" s="85" t="s">
        <v>23</v>
      </c>
      <c r="C29" s="82"/>
      <c r="D29" s="82"/>
      <c r="E29" s="82"/>
      <c r="F29" s="82"/>
      <c r="G29" s="82"/>
      <c r="H29" s="91">
        <v>0.56043976997515155</v>
      </c>
      <c r="I29" s="82"/>
      <c r="J29" s="82"/>
      <c r="K29" s="92">
        <v>1.6640419770897245E-3</v>
      </c>
      <c r="L29" s="91"/>
      <c r="M29" s="93"/>
      <c r="N29" s="82"/>
      <c r="O29" s="91">
        <v>1156.952915634</v>
      </c>
      <c r="P29" s="82"/>
      <c r="Q29" s="92">
        <f t="shared" si="1"/>
        <v>1.6210674632741565E-2</v>
      </c>
      <c r="R29" s="92">
        <f>O29/'סכום נכסי הקרן'!$C$42</f>
        <v>4.8432891227838714E-3</v>
      </c>
    </row>
    <row r="30" spans="2:48">
      <c r="B30" s="86" t="s">
        <v>279</v>
      </c>
      <c r="C30" s="84" t="s">
        <v>280</v>
      </c>
      <c r="D30" s="97" t="s">
        <v>121</v>
      </c>
      <c r="E30" s="84" t="s">
        <v>256</v>
      </c>
      <c r="F30" s="84"/>
      <c r="G30" s="84"/>
      <c r="H30" s="94">
        <v>2.0000000001338596E-2</v>
      </c>
      <c r="I30" s="97" t="s">
        <v>165</v>
      </c>
      <c r="J30" s="98">
        <v>0</v>
      </c>
      <c r="K30" s="98">
        <v>0</v>
      </c>
      <c r="L30" s="94">
        <v>119528.36814199999</v>
      </c>
      <c r="M30" s="96">
        <v>100</v>
      </c>
      <c r="N30" s="84"/>
      <c r="O30" s="94">
        <v>119.52836814199999</v>
      </c>
      <c r="P30" s="95">
        <v>9.9606973451666658E-6</v>
      </c>
      <c r="Q30" s="95">
        <f t="shared" si="1"/>
        <v>1.6747747113552217E-3</v>
      </c>
      <c r="R30" s="95">
        <f>O30/'סכום נכסי הקרן'!$C$42</f>
        <v>5.0037511247293662E-4</v>
      </c>
    </row>
    <row r="31" spans="2:48">
      <c r="B31" s="86" t="s">
        <v>281</v>
      </c>
      <c r="C31" s="84" t="s">
        <v>282</v>
      </c>
      <c r="D31" s="97" t="s">
        <v>121</v>
      </c>
      <c r="E31" s="84" t="s">
        <v>256</v>
      </c>
      <c r="F31" s="84"/>
      <c r="G31" s="84"/>
      <c r="H31" s="94">
        <v>0.11000000005294039</v>
      </c>
      <c r="I31" s="97" t="s">
        <v>165</v>
      </c>
      <c r="J31" s="98">
        <v>0</v>
      </c>
      <c r="K31" s="95">
        <v>8.9999999682357666E-4</v>
      </c>
      <c r="L31" s="94">
        <v>1511.2846999999997</v>
      </c>
      <c r="M31" s="96">
        <v>99.99</v>
      </c>
      <c r="N31" s="84"/>
      <c r="O31" s="94">
        <v>1.5111335719999996</v>
      </c>
      <c r="P31" s="95">
        <v>1.2594039166666664E-7</v>
      </c>
      <c r="Q31" s="95">
        <f t="shared" si="1"/>
        <v>2.1173285732964062E-5</v>
      </c>
      <c r="R31" s="95">
        <f>O31/'סכום נכסי הקרן'!$C$42</f>
        <v>6.3259763586234341E-6</v>
      </c>
    </row>
    <row r="32" spans="2:48">
      <c r="B32" s="86" t="s">
        <v>283</v>
      </c>
      <c r="C32" s="84" t="s">
        <v>284</v>
      </c>
      <c r="D32" s="97" t="s">
        <v>121</v>
      </c>
      <c r="E32" s="84" t="s">
        <v>256</v>
      </c>
      <c r="F32" s="84"/>
      <c r="G32" s="84"/>
      <c r="H32" s="94">
        <v>0.28000000005559794</v>
      </c>
      <c r="I32" s="97" t="s">
        <v>165</v>
      </c>
      <c r="J32" s="98">
        <v>0</v>
      </c>
      <c r="K32" s="95">
        <v>1.4000000002779896E-3</v>
      </c>
      <c r="L32" s="94">
        <v>7197.392276999999</v>
      </c>
      <c r="M32" s="96">
        <v>99.96</v>
      </c>
      <c r="N32" s="84"/>
      <c r="O32" s="94">
        <v>7.1945133199999995</v>
      </c>
      <c r="P32" s="95">
        <v>7.1973922769999995E-7</v>
      </c>
      <c r="Q32" s="95">
        <f t="shared" si="1"/>
        <v>1.0080610282012577E-4</v>
      </c>
      <c r="R32" s="95">
        <f>O32/'סכום נכסי הקרן'!$C$42</f>
        <v>3.0118000167176089E-5</v>
      </c>
    </row>
    <row r="33" spans="2:18">
      <c r="B33" s="86" t="s">
        <v>285</v>
      </c>
      <c r="C33" s="84" t="s">
        <v>286</v>
      </c>
      <c r="D33" s="97" t="s">
        <v>121</v>
      </c>
      <c r="E33" s="84" t="s">
        <v>256</v>
      </c>
      <c r="F33" s="84"/>
      <c r="G33" s="84"/>
      <c r="H33" s="94">
        <v>0.18999999999635328</v>
      </c>
      <c r="I33" s="97" t="s">
        <v>165</v>
      </c>
      <c r="J33" s="98">
        <v>0</v>
      </c>
      <c r="K33" s="95">
        <v>1.5999999994894625E-3</v>
      </c>
      <c r="L33" s="94">
        <v>10972.124452999999</v>
      </c>
      <c r="M33" s="96">
        <v>99.97</v>
      </c>
      <c r="N33" s="84"/>
      <c r="O33" s="94">
        <v>10.968832815999999</v>
      </c>
      <c r="P33" s="95">
        <v>9.1434370441666653E-7</v>
      </c>
      <c r="Q33" s="95">
        <f t="shared" si="1"/>
        <v>1.5369007457289213E-4</v>
      </c>
      <c r="R33" s="95">
        <f>O33/'סכום נכסי הקרן'!$C$42</f>
        <v>4.5918228779652127E-5</v>
      </c>
    </row>
    <row r="34" spans="2:18">
      <c r="B34" s="86" t="s">
        <v>287</v>
      </c>
      <c r="C34" s="84" t="s">
        <v>288</v>
      </c>
      <c r="D34" s="97" t="s">
        <v>121</v>
      </c>
      <c r="E34" s="84" t="s">
        <v>256</v>
      </c>
      <c r="F34" s="84"/>
      <c r="G34" s="84"/>
      <c r="H34" s="94">
        <v>0.3600000000008351</v>
      </c>
      <c r="I34" s="97" t="s">
        <v>165</v>
      </c>
      <c r="J34" s="98">
        <v>0</v>
      </c>
      <c r="K34" s="95">
        <v>1.7000000000097425E-3</v>
      </c>
      <c r="L34" s="94">
        <v>143784.90349999996</v>
      </c>
      <c r="M34" s="96">
        <v>99.94</v>
      </c>
      <c r="N34" s="84"/>
      <c r="O34" s="94">
        <v>143.69863255799999</v>
      </c>
      <c r="P34" s="95">
        <v>1.4378490349999996E-5</v>
      </c>
      <c r="Q34" s="95">
        <f t="shared" si="1"/>
        <v>2.0134369740458305E-3</v>
      </c>
      <c r="R34" s="95">
        <f>O34/'סכום נכסי הקרן'!$C$42</f>
        <v>6.0155777700399322E-4</v>
      </c>
    </row>
    <row r="35" spans="2:18">
      <c r="B35" s="86" t="s">
        <v>289</v>
      </c>
      <c r="C35" s="84" t="s">
        <v>290</v>
      </c>
      <c r="D35" s="97" t="s">
        <v>121</v>
      </c>
      <c r="E35" s="84" t="s">
        <v>256</v>
      </c>
      <c r="F35" s="84"/>
      <c r="G35" s="84"/>
      <c r="H35" s="94">
        <v>0.4399999999981965</v>
      </c>
      <c r="I35" s="97" t="s">
        <v>165</v>
      </c>
      <c r="J35" s="98">
        <v>0</v>
      </c>
      <c r="K35" s="95">
        <v>1.7999999999896948E-3</v>
      </c>
      <c r="L35" s="94">
        <v>155385.60999999996</v>
      </c>
      <c r="M35" s="96">
        <v>99.92</v>
      </c>
      <c r="N35" s="84"/>
      <c r="O35" s="94">
        <v>155.26130151199999</v>
      </c>
      <c r="P35" s="95">
        <v>1.5538560999999997E-5</v>
      </c>
      <c r="Q35" s="95">
        <f t="shared" si="1"/>
        <v>2.1754475984770601E-3</v>
      </c>
      <c r="R35" s="95">
        <f>O35/'סכום נכסי הקרן'!$C$42</f>
        <v>6.4996194973955415E-4</v>
      </c>
    </row>
    <row r="36" spans="2:18">
      <c r="B36" s="86" t="s">
        <v>291</v>
      </c>
      <c r="C36" s="84" t="s">
        <v>292</v>
      </c>
      <c r="D36" s="97" t="s">
        <v>121</v>
      </c>
      <c r="E36" s="84" t="s">
        <v>256</v>
      </c>
      <c r="F36" s="84"/>
      <c r="G36" s="84"/>
      <c r="H36" s="94">
        <v>0.52999999998932557</v>
      </c>
      <c r="I36" s="97" t="s">
        <v>165</v>
      </c>
      <c r="J36" s="98">
        <v>0</v>
      </c>
      <c r="K36" s="95">
        <v>1.6999999999881396E-3</v>
      </c>
      <c r="L36" s="94">
        <v>59072.457782999991</v>
      </c>
      <c r="M36" s="96">
        <v>99.91</v>
      </c>
      <c r="N36" s="84"/>
      <c r="O36" s="94">
        <v>59.019292570999994</v>
      </c>
      <c r="P36" s="95">
        <v>6.5636064203333322E-6</v>
      </c>
      <c r="Q36" s="95">
        <f t="shared" si="1"/>
        <v>8.2695028984716798E-4</v>
      </c>
      <c r="R36" s="95">
        <f>O36/'סכום נכסי הקרן'!$C$42</f>
        <v>2.4706925742685153E-4</v>
      </c>
    </row>
    <row r="37" spans="2:18">
      <c r="B37" s="86" t="s">
        <v>293</v>
      </c>
      <c r="C37" s="84" t="s">
        <v>294</v>
      </c>
      <c r="D37" s="97" t="s">
        <v>121</v>
      </c>
      <c r="E37" s="84" t="s">
        <v>256</v>
      </c>
      <c r="F37" s="84"/>
      <c r="G37" s="84"/>
      <c r="H37" s="94">
        <v>0.60999999999980414</v>
      </c>
      <c r="I37" s="97" t="s">
        <v>165</v>
      </c>
      <c r="J37" s="98">
        <v>0</v>
      </c>
      <c r="K37" s="95">
        <v>1.6000000000078302E-3</v>
      </c>
      <c r="L37" s="94">
        <v>255676.27197699997</v>
      </c>
      <c r="M37" s="96">
        <v>99.9</v>
      </c>
      <c r="N37" s="84"/>
      <c r="O37" s="94">
        <v>255.42059570499998</v>
      </c>
      <c r="P37" s="95">
        <v>2.8408474664111107E-5</v>
      </c>
      <c r="Q37" s="95">
        <f t="shared" si="1"/>
        <v>3.5788320471155937E-3</v>
      </c>
      <c r="R37" s="95">
        <f>O37/'סכום נכסי הקרן'!$C$42</f>
        <v>1.069253360440426E-3</v>
      </c>
    </row>
    <row r="38" spans="2:18">
      <c r="B38" s="86" t="s">
        <v>295</v>
      </c>
      <c r="C38" s="84" t="s">
        <v>296</v>
      </c>
      <c r="D38" s="97" t="s">
        <v>121</v>
      </c>
      <c r="E38" s="84" t="s">
        <v>256</v>
      </c>
      <c r="F38" s="84"/>
      <c r="G38" s="84"/>
      <c r="H38" s="94">
        <v>0.6800000000022699</v>
      </c>
      <c r="I38" s="97" t="s">
        <v>165</v>
      </c>
      <c r="J38" s="98">
        <v>0</v>
      </c>
      <c r="K38" s="95">
        <v>1.5999999999886504E-3</v>
      </c>
      <c r="L38" s="94">
        <v>105847.88996099998</v>
      </c>
      <c r="M38" s="96">
        <v>99.89</v>
      </c>
      <c r="N38" s="84"/>
      <c r="O38" s="94">
        <v>105.73145728199998</v>
      </c>
      <c r="P38" s="95">
        <v>1.1760876662333331E-5</v>
      </c>
      <c r="Q38" s="95">
        <f t="shared" si="1"/>
        <v>1.4814589507342836E-3</v>
      </c>
      <c r="R38" s="95">
        <f>O38/'סכום נכסי הקרן'!$C$42</f>
        <v>4.4261785425328076E-4</v>
      </c>
    </row>
    <row r="39" spans="2:18">
      <c r="B39" s="86" t="s">
        <v>297</v>
      </c>
      <c r="C39" s="84" t="s">
        <v>298</v>
      </c>
      <c r="D39" s="97" t="s">
        <v>121</v>
      </c>
      <c r="E39" s="84" t="s">
        <v>256</v>
      </c>
      <c r="F39" s="84"/>
      <c r="G39" s="84"/>
      <c r="H39" s="94">
        <v>0.78000000000940717</v>
      </c>
      <c r="I39" s="97" t="s">
        <v>165</v>
      </c>
      <c r="J39" s="98">
        <v>0</v>
      </c>
      <c r="K39" s="95">
        <v>1.499999999882409E-3</v>
      </c>
      <c r="L39" s="94">
        <v>34057.120000000003</v>
      </c>
      <c r="M39" s="96">
        <v>99.88</v>
      </c>
      <c r="N39" s="84"/>
      <c r="O39" s="94">
        <v>34.016251455999999</v>
      </c>
      <c r="P39" s="95">
        <v>3.7841244444444446E-6</v>
      </c>
      <c r="Q39" s="95">
        <f t="shared" si="1"/>
        <v>4.7661955566840057E-4</v>
      </c>
      <c r="R39" s="95">
        <f>O39/'סכום נכסי הקרן'!$C$42</f>
        <v>1.4240038505321885E-4</v>
      </c>
    </row>
    <row r="40" spans="2:18">
      <c r="B40" s="86" t="s">
        <v>299</v>
      </c>
      <c r="C40" s="84" t="s">
        <v>300</v>
      </c>
      <c r="D40" s="97" t="s">
        <v>121</v>
      </c>
      <c r="E40" s="84" t="s">
        <v>256</v>
      </c>
      <c r="F40" s="84"/>
      <c r="G40" s="84"/>
      <c r="H40" s="94">
        <v>0.85999999999971699</v>
      </c>
      <c r="I40" s="97" t="s">
        <v>165</v>
      </c>
      <c r="J40" s="98">
        <v>0</v>
      </c>
      <c r="K40" s="95">
        <v>1.4000000000028293E-3</v>
      </c>
      <c r="L40" s="94">
        <v>141549.90499999997</v>
      </c>
      <c r="M40" s="96">
        <v>99.88</v>
      </c>
      <c r="N40" s="84"/>
      <c r="O40" s="94">
        <v>141.38004511399998</v>
      </c>
      <c r="P40" s="95">
        <v>1.5727767222222219E-5</v>
      </c>
      <c r="Q40" s="95">
        <f t="shared" si="1"/>
        <v>1.9809500282467894E-3</v>
      </c>
      <c r="R40" s="95">
        <f>O40/'סכום נכסי הקרן'!$C$42</f>
        <v>5.9185160037744081E-4</v>
      </c>
    </row>
    <row r="41" spans="2:18">
      <c r="B41" s="86" t="s">
        <v>301</v>
      </c>
      <c r="C41" s="84" t="s">
        <v>302</v>
      </c>
      <c r="D41" s="97" t="s">
        <v>121</v>
      </c>
      <c r="E41" s="84" t="s">
        <v>256</v>
      </c>
      <c r="F41" s="84"/>
      <c r="G41" s="84"/>
      <c r="H41" s="94">
        <v>0.93000000000016225</v>
      </c>
      <c r="I41" s="97" t="s">
        <v>165</v>
      </c>
      <c r="J41" s="98">
        <v>0</v>
      </c>
      <c r="K41" s="95">
        <v>1.9999999999837695E-3</v>
      </c>
      <c r="L41" s="94">
        <v>123457.05999999998</v>
      </c>
      <c r="M41" s="96">
        <v>99.81</v>
      </c>
      <c r="N41" s="84"/>
      <c r="O41" s="94">
        <v>123.22249158599999</v>
      </c>
      <c r="P41" s="95">
        <v>1.3717451111111108E-5</v>
      </c>
      <c r="Q41" s="95">
        <f t="shared" si="1"/>
        <v>1.7265350141252361E-3</v>
      </c>
      <c r="R41" s="95">
        <f>O41/'סכום נכסי הקרן'!$C$42</f>
        <v>5.1583962071071712E-4</v>
      </c>
    </row>
    <row r="42" spans="2:18">
      <c r="B42" s="87"/>
      <c r="C42" s="84"/>
      <c r="D42" s="84"/>
      <c r="E42" s="84"/>
      <c r="F42" s="84"/>
      <c r="G42" s="84"/>
      <c r="H42" s="84"/>
      <c r="I42" s="84"/>
      <c r="J42" s="84"/>
      <c r="K42" s="95"/>
      <c r="L42" s="94"/>
      <c r="M42" s="96"/>
      <c r="N42" s="84"/>
      <c r="O42" s="84"/>
      <c r="P42" s="84"/>
      <c r="Q42" s="95"/>
      <c r="R42" s="84"/>
    </row>
    <row r="43" spans="2:18">
      <c r="B43" s="85" t="s">
        <v>24</v>
      </c>
      <c r="C43" s="82"/>
      <c r="D43" s="82"/>
      <c r="E43" s="82"/>
      <c r="F43" s="82"/>
      <c r="G43" s="82"/>
      <c r="H43" s="91">
        <v>6.297845882863867</v>
      </c>
      <c r="I43" s="82"/>
      <c r="J43" s="82"/>
      <c r="K43" s="92">
        <v>7.1376875691075824E-3</v>
      </c>
      <c r="L43" s="91"/>
      <c r="M43" s="93"/>
      <c r="N43" s="82"/>
      <c r="O43" s="91">
        <v>46329.257167281001</v>
      </c>
      <c r="P43" s="82"/>
      <c r="Q43" s="92">
        <f t="shared" ref="Q43:Q59" si="2">O43/$O$11</f>
        <v>0.64914354228827498</v>
      </c>
      <c r="R43" s="92">
        <f>O43/'סכום נכסי הקרן'!$C$42</f>
        <v>0.19394565178306089</v>
      </c>
    </row>
    <row r="44" spans="2:18">
      <c r="B44" s="86" t="s">
        <v>303</v>
      </c>
      <c r="C44" s="84" t="s">
        <v>304</v>
      </c>
      <c r="D44" s="97" t="s">
        <v>121</v>
      </c>
      <c r="E44" s="84" t="s">
        <v>256</v>
      </c>
      <c r="F44" s="84"/>
      <c r="G44" s="84"/>
      <c r="H44" s="94">
        <v>0.17000000011135846</v>
      </c>
      <c r="I44" s="97" t="s">
        <v>165</v>
      </c>
      <c r="J44" s="98">
        <v>0</v>
      </c>
      <c r="K44" s="95">
        <v>1.1999999995950606E-3</v>
      </c>
      <c r="L44" s="94">
        <v>2963.9964629999995</v>
      </c>
      <c r="M44" s="96">
        <v>99.98</v>
      </c>
      <c r="N44" s="84"/>
      <c r="O44" s="94">
        <v>2.9634036509999993</v>
      </c>
      <c r="P44" s="95">
        <v>8.7622960169641078E-7</v>
      </c>
      <c r="Q44" s="95">
        <f t="shared" si="2"/>
        <v>4.1521804165655789E-5</v>
      </c>
      <c r="R44" s="95">
        <f>O44/'סכום נכסי הקרן'!$C$42</f>
        <v>1.2405535675098064E-5</v>
      </c>
    </row>
    <row r="45" spans="2:18">
      <c r="B45" s="86" t="s">
        <v>305</v>
      </c>
      <c r="C45" s="84" t="s">
        <v>306</v>
      </c>
      <c r="D45" s="97" t="s">
        <v>121</v>
      </c>
      <c r="E45" s="84" t="s">
        <v>256</v>
      </c>
      <c r="F45" s="84"/>
      <c r="G45" s="84"/>
      <c r="H45" s="94">
        <v>5.9000000000027484</v>
      </c>
      <c r="I45" s="97" t="s">
        <v>165</v>
      </c>
      <c r="J45" s="98">
        <v>6.25E-2</v>
      </c>
      <c r="K45" s="95">
        <v>6.799999999998264E-3</v>
      </c>
      <c r="L45" s="94">
        <v>479627.00170099991</v>
      </c>
      <c r="M45" s="96">
        <v>144.12</v>
      </c>
      <c r="N45" s="84"/>
      <c r="O45" s="94">
        <v>691.23844140899985</v>
      </c>
      <c r="P45" s="95">
        <v>2.8275907798792785E-5</v>
      </c>
      <c r="Q45" s="95">
        <f t="shared" si="2"/>
        <v>9.6853046618446074E-3</v>
      </c>
      <c r="R45" s="95">
        <f>O45/'סכום נכסי הקרן'!$C$42</f>
        <v>2.8936939259033572E-3</v>
      </c>
    </row>
    <row r="46" spans="2:18">
      <c r="B46" s="86" t="s">
        <v>307</v>
      </c>
      <c r="C46" s="84" t="s">
        <v>308</v>
      </c>
      <c r="D46" s="97" t="s">
        <v>121</v>
      </c>
      <c r="E46" s="84" t="s">
        <v>256</v>
      </c>
      <c r="F46" s="84"/>
      <c r="G46" s="84"/>
      <c r="H46" s="94">
        <v>4.1899999999994018</v>
      </c>
      <c r="I46" s="97" t="s">
        <v>165</v>
      </c>
      <c r="J46" s="98">
        <v>3.7499999999999999E-2</v>
      </c>
      <c r="K46" s="95">
        <v>3.9999999999962583E-3</v>
      </c>
      <c r="L46" s="94">
        <v>915011.10921499983</v>
      </c>
      <c r="M46" s="96">
        <v>116.81</v>
      </c>
      <c r="N46" s="84"/>
      <c r="O46" s="94">
        <v>1068.8244490559998</v>
      </c>
      <c r="P46" s="95">
        <v>5.6388235573445363E-5</v>
      </c>
      <c r="Q46" s="95">
        <f t="shared" si="2"/>
        <v>1.4975860425289115E-2</v>
      </c>
      <c r="R46" s="95">
        <f>O46/'סכום נכסי הקרן'!$C$42</f>
        <v>4.4743617119817206E-3</v>
      </c>
    </row>
    <row r="47" spans="2:18">
      <c r="B47" s="86" t="s">
        <v>309</v>
      </c>
      <c r="C47" s="84" t="s">
        <v>310</v>
      </c>
      <c r="D47" s="97" t="s">
        <v>121</v>
      </c>
      <c r="E47" s="84" t="s">
        <v>256</v>
      </c>
      <c r="F47" s="84"/>
      <c r="G47" s="84"/>
      <c r="H47" s="94">
        <v>18.830000000000148</v>
      </c>
      <c r="I47" s="97" t="s">
        <v>165</v>
      </c>
      <c r="J47" s="98">
        <v>3.7499999999999999E-2</v>
      </c>
      <c r="K47" s="95">
        <v>2.1000000000000001E-2</v>
      </c>
      <c r="L47" s="94">
        <v>4550672.8570029996</v>
      </c>
      <c r="M47" s="96">
        <v>136</v>
      </c>
      <c r="N47" s="84"/>
      <c r="O47" s="94">
        <v>6188.9149483699985</v>
      </c>
      <c r="P47" s="95">
        <v>3.3579441801839598E-4</v>
      </c>
      <c r="Q47" s="95">
        <f t="shared" si="2"/>
        <v>8.671613615560024E-2</v>
      </c>
      <c r="R47" s="95">
        <f>O47/'סכום נכסי הקרן'!$C$42</f>
        <v>2.5908318347466236E-2</v>
      </c>
    </row>
    <row r="48" spans="2:18">
      <c r="B48" s="86" t="s">
        <v>311</v>
      </c>
      <c r="C48" s="84" t="s">
        <v>312</v>
      </c>
      <c r="D48" s="97" t="s">
        <v>121</v>
      </c>
      <c r="E48" s="84" t="s">
        <v>256</v>
      </c>
      <c r="F48" s="84"/>
      <c r="G48" s="84"/>
      <c r="H48" s="94">
        <v>3.109999999999753</v>
      </c>
      <c r="I48" s="97" t="s">
        <v>165</v>
      </c>
      <c r="J48" s="98">
        <v>1.2500000000000001E-2</v>
      </c>
      <c r="K48" s="95">
        <v>3.0999999999982465E-3</v>
      </c>
      <c r="L48" s="94">
        <v>2686806.3297649999</v>
      </c>
      <c r="M48" s="96">
        <v>104</v>
      </c>
      <c r="N48" s="84"/>
      <c r="O48" s="94">
        <v>2794.2784725789998</v>
      </c>
      <c r="P48" s="95">
        <v>2.3125796315506589E-4</v>
      </c>
      <c r="Q48" s="95">
        <f t="shared" si="2"/>
        <v>3.9152102510092046E-2</v>
      </c>
      <c r="R48" s="95">
        <f>O48/'סכום נכסי הקרן'!$C$42</f>
        <v>1.1697536130806811E-2</v>
      </c>
    </row>
    <row r="49" spans="2:18">
      <c r="B49" s="86" t="s">
        <v>313</v>
      </c>
      <c r="C49" s="84" t="s">
        <v>314</v>
      </c>
      <c r="D49" s="97" t="s">
        <v>121</v>
      </c>
      <c r="E49" s="84" t="s">
        <v>256</v>
      </c>
      <c r="F49" s="84"/>
      <c r="G49" s="84"/>
      <c r="H49" s="94">
        <v>4.0399999999996954</v>
      </c>
      <c r="I49" s="97" t="s">
        <v>165</v>
      </c>
      <c r="J49" s="98">
        <v>1.4999999999999999E-2</v>
      </c>
      <c r="K49" s="95">
        <v>3.6999999999997456E-3</v>
      </c>
      <c r="L49" s="94">
        <v>1858503.6442879995</v>
      </c>
      <c r="M49" s="96">
        <v>105.9</v>
      </c>
      <c r="N49" s="84"/>
      <c r="O49" s="94">
        <v>1968.1552676649997</v>
      </c>
      <c r="P49" s="95">
        <v>1.3119288827145639E-4</v>
      </c>
      <c r="Q49" s="95">
        <f t="shared" si="2"/>
        <v>2.7576856620262696E-2</v>
      </c>
      <c r="R49" s="95">
        <f>O49/'סכום נכסי הקרן'!$C$42</f>
        <v>8.2391814489771436E-3</v>
      </c>
    </row>
    <row r="50" spans="2:18">
      <c r="B50" s="86" t="s">
        <v>315</v>
      </c>
      <c r="C50" s="84" t="s">
        <v>316</v>
      </c>
      <c r="D50" s="97" t="s">
        <v>121</v>
      </c>
      <c r="E50" s="84" t="s">
        <v>256</v>
      </c>
      <c r="F50" s="84"/>
      <c r="G50" s="84"/>
      <c r="H50" s="94">
        <v>1.3400000000000272</v>
      </c>
      <c r="I50" s="97" t="s">
        <v>165</v>
      </c>
      <c r="J50" s="98">
        <v>5.0000000000000001E-3</v>
      </c>
      <c r="K50" s="95">
        <v>2.000000000000386E-3</v>
      </c>
      <c r="L50" s="94">
        <v>5144091.757331999</v>
      </c>
      <c r="M50" s="96">
        <v>100.73</v>
      </c>
      <c r="N50" s="84"/>
      <c r="O50" s="94">
        <v>5181.6434651289992</v>
      </c>
      <c r="P50" s="95">
        <v>3.2882568224243858E-4</v>
      </c>
      <c r="Q50" s="95">
        <f t="shared" si="2"/>
        <v>7.2602726646008447E-2</v>
      </c>
      <c r="R50" s="95">
        <f>O50/'סכום נכסי הקרן'!$C$42</f>
        <v>2.1691632471534862E-2</v>
      </c>
    </row>
    <row r="51" spans="2:18">
      <c r="B51" s="86" t="s">
        <v>317</v>
      </c>
      <c r="C51" s="84" t="s">
        <v>318</v>
      </c>
      <c r="D51" s="97" t="s">
        <v>121</v>
      </c>
      <c r="E51" s="84" t="s">
        <v>256</v>
      </c>
      <c r="F51" s="84"/>
      <c r="G51" s="84"/>
      <c r="H51" s="94">
        <v>2.2100000000001745</v>
      </c>
      <c r="I51" s="97" t="s">
        <v>165</v>
      </c>
      <c r="J51" s="98">
        <v>5.5E-2</v>
      </c>
      <c r="K51" s="95">
        <v>2.5000000000004498E-3</v>
      </c>
      <c r="L51" s="94">
        <v>4800059.9661179995</v>
      </c>
      <c r="M51" s="96">
        <v>115.87</v>
      </c>
      <c r="N51" s="84"/>
      <c r="O51" s="94">
        <v>5561.829259142999</v>
      </c>
      <c r="P51" s="95">
        <v>2.7086026664894397E-4</v>
      </c>
      <c r="Q51" s="95">
        <f t="shared" si="2"/>
        <v>7.7929709380974946E-2</v>
      </c>
      <c r="R51" s="95">
        <f>O51/'סכום נכסי הקרן'!$C$42</f>
        <v>2.3283183602010999E-2</v>
      </c>
    </row>
    <row r="52" spans="2:18">
      <c r="B52" s="86" t="s">
        <v>319</v>
      </c>
      <c r="C52" s="84" t="s">
        <v>320</v>
      </c>
      <c r="D52" s="97" t="s">
        <v>121</v>
      </c>
      <c r="E52" s="84" t="s">
        <v>256</v>
      </c>
      <c r="F52" s="84"/>
      <c r="G52" s="84"/>
      <c r="H52" s="94">
        <v>15.17000000000016</v>
      </c>
      <c r="I52" s="97" t="s">
        <v>165</v>
      </c>
      <c r="J52" s="98">
        <v>5.5E-2</v>
      </c>
      <c r="K52" s="95">
        <v>1.8399999999999406E-2</v>
      </c>
      <c r="L52" s="94">
        <v>2359511.6642169994</v>
      </c>
      <c r="M52" s="96">
        <v>170.12</v>
      </c>
      <c r="N52" s="84"/>
      <c r="O52" s="94">
        <v>4014.0013336609986</v>
      </c>
      <c r="P52" s="95">
        <v>1.2905053211091714E-4</v>
      </c>
      <c r="Q52" s="95">
        <f t="shared" si="2"/>
        <v>5.6242279799011148E-2</v>
      </c>
      <c r="R52" s="95">
        <f>O52/'סכום נכסי הקרן'!$C$42</f>
        <v>1.6803595665348912E-2</v>
      </c>
    </row>
    <row r="53" spans="2:18">
      <c r="B53" s="86" t="s">
        <v>321</v>
      </c>
      <c r="C53" s="84" t="s">
        <v>322</v>
      </c>
      <c r="D53" s="97" t="s">
        <v>121</v>
      </c>
      <c r="E53" s="84" t="s">
        <v>256</v>
      </c>
      <c r="F53" s="84"/>
      <c r="G53" s="84"/>
      <c r="H53" s="94">
        <v>3.2899999999998384</v>
      </c>
      <c r="I53" s="97" t="s">
        <v>165</v>
      </c>
      <c r="J53" s="98">
        <v>4.2500000000000003E-2</v>
      </c>
      <c r="K53" s="95">
        <v>3.2999999999989739E-3</v>
      </c>
      <c r="L53" s="94">
        <v>2944396.6099359994</v>
      </c>
      <c r="M53" s="96">
        <v>115.75</v>
      </c>
      <c r="N53" s="84"/>
      <c r="O53" s="94">
        <v>3408.1391324949996</v>
      </c>
      <c r="P53" s="95">
        <v>1.7400649366553636E-4</v>
      </c>
      <c r="Q53" s="95">
        <f t="shared" si="2"/>
        <v>4.7753226456683409E-2</v>
      </c>
      <c r="R53" s="95">
        <f>O53/'סכום נכסי הקרן'!$C$42</f>
        <v>1.4267307654695366E-2</v>
      </c>
    </row>
    <row r="54" spans="2:18">
      <c r="B54" s="86" t="s">
        <v>323</v>
      </c>
      <c r="C54" s="84" t="s">
        <v>324</v>
      </c>
      <c r="D54" s="97" t="s">
        <v>121</v>
      </c>
      <c r="E54" s="84" t="s">
        <v>256</v>
      </c>
      <c r="F54" s="84"/>
      <c r="G54" s="84"/>
      <c r="H54" s="94">
        <v>7.0099999999994633</v>
      </c>
      <c r="I54" s="97" t="s">
        <v>165</v>
      </c>
      <c r="J54" s="98">
        <v>0.02</v>
      </c>
      <c r="K54" s="95">
        <v>7.4999999999999989E-3</v>
      </c>
      <c r="L54" s="94">
        <v>1219099.9831399999</v>
      </c>
      <c r="M54" s="96">
        <v>110.1</v>
      </c>
      <c r="N54" s="84"/>
      <c r="O54" s="94">
        <v>1342.2290780719998</v>
      </c>
      <c r="P54" s="95">
        <v>7.4907351239193539E-5</v>
      </c>
      <c r="Q54" s="95">
        <f t="shared" si="2"/>
        <v>1.8806676203678034E-2</v>
      </c>
      <c r="R54" s="95">
        <f>O54/'סכום נכסי הקרן'!$C$42</f>
        <v>5.6189006538333993E-3</v>
      </c>
    </row>
    <row r="55" spans="2:18">
      <c r="B55" s="86" t="s">
        <v>325</v>
      </c>
      <c r="C55" s="84" t="s">
        <v>326</v>
      </c>
      <c r="D55" s="97" t="s">
        <v>121</v>
      </c>
      <c r="E55" s="84" t="s">
        <v>256</v>
      </c>
      <c r="F55" s="84"/>
      <c r="G55" s="84"/>
      <c r="H55" s="94">
        <v>1.5799999999998784</v>
      </c>
      <c r="I55" s="97" t="s">
        <v>165</v>
      </c>
      <c r="J55" s="98">
        <v>0.01</v>
      </c>
      <c r="K55" s="95">
        <v>2.1000000000006088E-3</v>
      </c>
      <c r="L55" s="94">
        <v>3395172.969204999</v>
      </c>
      <c r="M55" s="96">
        <v>101.67</v>
      </c>
      <c r="N55" s="84"/>
      <c r="O55" s="94">
        <v>3451.8725086989994</v>
      </c>
      <c r="P55" s="95">
        <v>2.3312726728440752E-4</v>
      </c>
      <c r="Q55" s="95">
        <f t="shared" si="2"/>
        <v>4.8365997748111317E-2</v>
      </c>
      <c r="R55" s="95">
        <f>O55/'סכום נכסי הקרן'!$C$42</f>
        <v>1.4450386311060026E-2</v>
      </c>
    </row>
    <row r="56" spans="2:18">
      <c r="B56" s="86" t="s">
        <v>327</v>
      </c>
      <c r="C56" s="84" t="s">
        <v>328</v>
      </c>
      <c r="D56" s="97" t="s">
        <v>121</v>
      </c>
      <c r="E56" s="84" t="s">
        <v>256</v>
      </c>
      <c r="F56" s="84"/>
      <c r="G56" s="84"/>
      <c r="H56" s="94">
        <v>2.8200000000002805</v>
      </c>
      <c r="I56" s="97" t="s">
        <v>165</v>
      </c>
      <c r="J56" s="98">
        <v>7.4999999999999997E-3</v>
      </c>
      <c r="K56" s="95">
        <v>2.8000000000009077E-3</v>
      </c>
      <c r="L56" s="94">
        <v>4776823.6297499994</v>
      </c>
      <c r="M56" s="96">
        <v>101.44</v>
      </c>
      <c r="N56" s="84"/>
      <c r="O56" s="94">
        <v>4845.610007801999</v>
      </c>
      <c r="P56" s="95">
        <v>8.37936181839742E-4</v>
      </c>
      <c r="Q56" s="95">
        <f t="shared" si="2"/>
        <v>6.7894385477726624E-2</v>
      </c>
      <c r="R56" s="95">
        <f>O56/'סכום נכסי הקרן'!$C$42</f>
        <v>2.0284913868927376E-2</v>
      </c>
    </row>
    <row r="57" spans="2:18">
      <c r="B57" s="86" t="s">
        <v>329</v>
      </c>
      <c r="C57" s="84" t="s">
        <v>330</v>
      </c>
      <c r="D57" s="97" t="s">
        <v>121</v>
      </c>
      <c r="E57" s="84" t="s">
        <v>256</v>
      </c>
      <c r="F57" s="84"/>
      <c r="G57" s="84"/>
      <c r="H57" s="94">
        <v>5.6899999999995021</v>
      </c>
      <c r="I57" s="97" t="s">
        <v>165</v>
      </c>
      <c r="J57" s="98">
        <v>1.7500000000000002E-2</v>
      </c>
      <c r="K57" s="95">
        <v>5.6999999999958872E-3</v>
      </c>
      <c r="L57" s="94">
        <v>863657.53483899985</v>
      </c>
      <c r="M57" s="96">
        <v>106.99</v>
      </c>
      <c r="N57" s="84"/>
      <c r="O57" s="94">
        <v>924.02723673399976</v>
      </c>
      <c r="P57" s="95">
        <v>4.6975525664899267E-5</v>
      </c>
      <c r="Q57" s="95">
        <f t="shared" si="2"/>
        <v>1.2947030673480535E-2</v>
      </c>
      <c r="R57" s="95">
        <f>O57/'סכום נכסי הקרן'!$C$42</f>
        <v>3.8682050102076767E-3</v>
      </c>
    </row>
    <row r="58" spans="2:18">
      <c r="B58" s="86" t="s">
        <v>331</v>
      </c>
      <c r="C58" s="84" t="s">
        <v>332</v>
      </c>
      <c r="D58" s="97" t="s">
        <v>121</v>
      </c>
      <c r="E58" s="84" t="s">
        <v>256</v>
      </c>
      <c r="F58" s="84"/>
      <c r="G58" s="84"/>
      <c r="H58" s="94">
        <v>8.3099999999992082</v>
      </c>
      <c r="I58" s="97" t="s">
        <v>165</v>
      </c>
      <c r="J58" s="98">
        <v>2.2499999999999999E-2</v>
      </c>
      <c r="K58" s="95">
        <v>9.1000000000003075E-3</v>
      </c>
      <c r="L58" s="94">
        <v>2612668.4918869995</v>
      </c>
      <c r="M58" s="96">
        <v>111.57</v>
      </c>
      <c r="N58" s="84"/>
      <c r="O58" s="94">
        <v>2914.9543509009995</v>
      </c>
      <c r="P58" s="95">
        <v>1.7393660300766753E-4</v>
      </c>
      <c r="Q58" s="95">
        <f t="shared" si="2"/>
        <v>4.0842955588954163E-2</v>
      </c>
      <c r="R58" s="95">
        <f>O58/'סכום נכסי הקרן'!$C$42</f>
        <v>1.2202715002791457E-2</v>
      </c>
    </row>
    <row r="59" spans="2:18">
      <c r="B59" s="86" t="s">
        <v>333</v>
      </c>
      <c r="C59" s="84" t="s">
        <v>334</v>
      </c>
      <c r="D59" s="97" t="s">
        <v>121</v>
      </c>
      <c r="E59" s="84" t="s">
        <v>256</v>
      </c>
      <c r="F59" s="84"/>
      <c r="G59" s="84"/>
      <c r="H59" s="94">
        <v>0.34999999999987319</v>
      </c>
      <c r="I59" s="97" t="s">
        <v>165</v>
      </c>
      <c r="J59" s="98">
        <v>0.05</v>
      </c>
      <c r="K59" s="95">
        <v>1.9000000000007615E-3</v>
      </c>
      <c r="L59" s="94">
        <v>1877990.8893329995</v>
      </c>
      <c r="M59" s="96">
        <v>104.93</v>
      </c>
      <c r="N59" s="84"/>
      <c r="O59" s="94">
        <v>1970.5758119149998</v>
      </c>
      <c r="P59" s="95">
        <v>1.1390123274028739E-4</v>
      </c>
      <c r="Q59" s="95">
        <f t="shared" si="2"/>
        <v>2.761077213639189E-2</v>
      </c>
      <c r="R59" s="95">
        <f>O59/'סכום נכסי הקרן'!$C$42</f>
        <v>8.2493144418404E-3</v>
      </c>
    </row>
    <row r="60" spans="2:18">
      <c r="B60" s="87"/>
      <c r="C60" s="84"/>
      <c r="D60" s="84"/>
      <c r="E60" s="84"/>
      <c r="F60" s="84"/>
      <c r="G60" s="84"/>
      <c r="H60" s="84"/>
      <c r="I60" s="84"/>
      <c r="J60" s="84"/>
      <c r="K60" s="95"/>
      <c r="L60" s="94"/>
      <c r="M60" s="96"/>
      <c r="N60" s="84"/>
      <c r="O60" s="84"/>
      <c r="P60" s="84"/>
      <c r="Q60" s="95"/>
      <c r="R60" s="84"/>
    </row>
    <row r="61" spans="2:18">
      <c r="B61" s="85" t="s">
        <v>25</v>
      </c>
      <c r="C61" s="82"/>
      <c r="D61" s="82"/>
      <c r="E61" s="82"/>
      <c r="F61" s="82"/>
      <c r="G61" s="82"/>
      <c r="H61" s="91">
        <v>0.67999999996511584</v>
      </c>
      <c r="I61" s="82"/>
      <c r="J61" s="82"/>
      <c r="K61" s="92">
        <v>2.3999999999501651E-3</v>
      </c>
      <c r="L61" s="91"/>
      <c r="M61" s="93"/>
      <c r="N61" s="82"/>
      <c r="O61" s="91">
        <v>8.0265605959999995</v>
      </c>
      <c r="P61" s="82"/>
      <c r="Q61" s="92">
        <f t="shared" ref="Q61:Q62" si="3">O61/$O$11</f>
        <v>1.124643539797277E-4</v>
      </c>
      <c r="R61" s="92">
        <f>O61/'סכום נכסי הקרן'!$C$42</f>
        <v>3.3601154465883591E-5</v>
      </c>
    </row>
    <row r="62" spans="2:18">
      <c r="B62" s="86" t="s">
        <v>335</v>
      </c>
      <c r="C62" s="84" t="s">
        <v>336</v>
      </c>
      <c r="D62" s="97" t="s">
        <v>121</v>
      </c>
      <c r="E62" s="84" t="s">
        <v>256</v>
      </c>
      <c r="F62" s="84"/>
      <c r="G62" s="84"/>
      <c r="H62" s="94">
        <v>0.67999999996511584</v>
      </c>
      <c r="I62" s="97" t="s">
        <v>165</v>
      </c>
      <c r="J62" s="98">
        <v>1.6000000000000001E-3</v>
      </c>
      <c r="K62" s="95">
        <v>2.3999999999501651E-3</v>
      </c>
      <c r="L62" s="94">
        <v>8028.1665489999987</v>
      </c>
      <c r="M62" s="96">
        <v>99.98</v>
      </c>
      <c r="N62" s="84"/>
      <c r="O62" s="94">
        <v>8.0265605959999995</v>
      </c>
      <c r="P62" s="95">
        <v>4.3575035786291078E-7</v>
      </c>
      <c r="Q62" s="95">
        <f t="shared" si="3"/>
        <v>1.124643539797277E-4</v>
      </c>
      <c r="R62" s="95">
        <f>O62/'סכום נכסי הקרן'!$C$42</f>
        <v>3.3601154465883591E-5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9" t="s">
        <v>113</v>
      </c>
      <c r="C66" s="100"/>
      <c r="D66" s="100"/>
    </row>
    <row r="67" spans="2:4">
      <c r="B67" s="99" t="s">
        <v>232</v>
      </c>
      <c r="C67" s="100"/>
      <c r="D67" s="100"/>
    </row>
    <row r="68" spans="2:4">
      <c r="B68" s="156" t="s">
        <v>240</v>
      </c>
      <c r="C68" s="156"/>
      <c r="D68" s="156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8:D68"/>
  </mergeCells>
  <phoneticPr fontId="5" type="noConversion"/>
  <dataValidations count="1">
    <dataValidation allowBlank="1" showInputMessage="1" showErrorMessage="1" sqref="N10:Q10 N9 N1:N7 N32:N1048576 C5:C29 O1:Q9 O11:Q1048576 C69:D1048576 E1:I30 D1:D29 R1:AF1048576 AJ1:XFD1048576 AG1:AI27 AG31:AI1048576 A1:B1048576 E32:I1048576 C32:D67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180</v>
      </c>
      <c r="C1" s="78" t="s" vm="1">
        <v>251</v>
      </c>
    </row>
    <row r="2" spans="2:67">
      <c r="B2" s="57" t="s">
        <v>179</v>
      </c>
      <c r="C2" s="78" t="s">
        <v>252</v>
      </c>
    </row>
    <row r="3" spans="2:67">
      <c r="B3" s="57" t="s">
        <v>181</v>
      </c>
      <c r="C3" s="78" t="s">
        <v>253</v>
      </c>
    </row>
    <row r="4" spans="2:67">
      <c r="B4" s="57" t="s">
        <v>182</v>
      </c>
      <c r="C4" s="78">
        <v>2144</v>
      </c>
    </row>
    <row r="6" spans="2:67" ht="26.25" customHeight="1">
      <c r="B6" s="153" t="s">
        <v>210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BO6" s="3"/>
    </row>
    <row r="7" spans="2:67" ht="26.25" customHeight="1">
      <c r="B7" s="153" t="s">
        <v>88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AZ7" s="44"/>
      <c r="BJ7" s="3"/>
      <c r="BO7" s="3"/>
    </row>
    <row r="8" spans="2:67" s="3" customFormat="1" ht="78.75">
      <c r="B8" s="38" t="s">
        <v>116</v>
      </c>
      <c r="C8" s="14" t="s">
        <v>44</v>
      </c>
      <c r="D8" s="14" t="s">
        <v>120</v>
      </c>
      <c r="E8" s="14" t="s">
        <v>226</v>
      </c>
      <c r="F8" s="14" t="s">
        <v>118</v>
      </c>
      <c r="G8" s="14" t="s">
        <v>63</v>
      </c>
      <c r="H8" s="14" t="s">
        <v>15</v>
      </c>
      <c r="I8" s="14" t="s">
        <v>64</v>
      </c>
      <c r="J8" s="14" t="s">
        <v>103</v>
      </c>
      <c r="K8" s="14" t="s">
        <v>18</v>
      </c>
      <c r="L8" s="14" t="s">
        <v>102</v>
      </c>
      <c r="M8" s="14" t="s">
        <v>17</v>
      </c>
      <c r="N8" s="14" t="s">
        <v>19</v>
      </c>
      <c r="O8" s="14" t="s">
        <v>234</v>
      </c>
      <c r="P8" s="14" t="s">
        <v>233</v>
      </c>
      <c r="Q8" s="14" t="s">
        <v>60</v>
      </c>
      <c r="R8" s="14" t="s">
        <v>57</v>
      </c>
      <c r="S8" s="14" t="s">
        <v>183</v>
      </c>
      <c r="T8" s="39" t="s">
        <v>185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241</v>
      </c>
      <c r="P9" s="17"/>
      <c r="Q9" s="17" t="s">
        <v>237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114</v>
      </c>
      <c r="R10" s="20" t="s">
        <v>115</v>
      </c>
      <c r="S10" s="46" t="s">
        <v>186</v>
      </c>
      <c r="T10" s="73" t="s">
        <v>227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80" zoomScaleNormal="80" workbookViewId="0">
      <selection activeCell="F36" sqref="F36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3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9.140625" style="1" bestFit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180</v>
      </c>
      <c r="C1" s="78" t="s" vm="1">
        <v>251</v>
      </c>
    </row>
    <row r="2" spans="2:66">
      <c r="B2" s="57" t="s">
        <v>179</v>
      </c>
      <c r="C2" s="78" t="s">
        <v>252</v>
      </c>
    </row>
    <row r="3" spans="2:66">
      <c r="B3" s="57" t="s">
        <v>181</v>
      </c>
      <c r="C3" s="78" t="s">
        <v>253</v>
      </c>
    </row>
    <row r="4" spans="2:66">
      <c r="B4" s="57" t="s">
        <v>182</v>
      </c>
      <c r="C4" s="78">
        <v>2144</v>
      </c>
    </row>
    <row r="6" spans="2:66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/>
    </row>
    <row r="7" spans="2:66" ht="26.25" customHeight="1">
      <c r="B7" s="159" t="s">
        <v>89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BN7" s="3"/>
    </row>
    <row r="8" spans="2:66" s="3" customFormat="1" ht="78.75">
      <c r="B8" s="23" t="s">
        <v>116</v>
      </c>
      <c r="C8" s="31" t="s">
        <v>44</v>
      </c>
      <c r="D8" s="31" t="s">
        <v>120</v>
      </c>
      <c r="E8" s="31" t="s">
        <v>226</v>
      </c>
      <c r="F8" s="31" t="s">
        <v>118</v>
      </c>
      <c r="G8" s="31" t="s">
        <v>63</v>
      </c>
      <c r="H8" s="31" t="s">
        <v>15</v>
      </c>
      <c r="I8" s="31" t="s">
        <v>64</v>
      </c>
      <c r="J8" s="31" t="s">
        <v>103</v>
      </c>
      <c r="K8" s="31" t="s">
        <v>18</v>
      </c>
      <c r="L8" s="31" t="s">
        <v>102</v>
      </c>
      <c r="M8" s="31" t="s">
        <v>17</v>
      </c>
      <c r="N8" s="31" t="s">
        <v>19</v>
      </c>
      <c r="O8" s="14" t="s">
        <v>234</v>
      </c>
      <c r="P8" s="31" t="s">
        <v>233</v>
      </c>
      <c r="Q8" s="31" t="s">
        <v>249</v>
      </c>
      <c r="R8" s="31" t="s">
        <v>60</v>
      </c>
      <c r="S8" s="14" t="s">
        <v>57</v>
      </c>
      <c r="T8" s="31" t="s">
        <v>183</v>
      </c>
      <c r="U8" s="15" t="s">
        <v>185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241</v>
      </c>
      <c r="P9" s="33"/>
      <c r="Q9" s="17" t="s">
        <v>237</v>
      </c>
      <c r="R9" s="33" t="s">
        <v>237</v>
      </c>
      <c r="S9" s="17" t="s">
        <v>20</v>
      </c>
      <c r="T9" s="33" t="s">
        <v>237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114</v>
      </c>
      <c r="R10" s="20" t="s">
        <v>115</v>
      </c>
      <c r="S10" s="20" t="s">
        <v>186</v>
      </c>
      <c r="T10" s="21" t="s">
        <v>227</v>
      </c>
      <c r="U10" s="21" t="s">
        <v>243</v>
      </c>
      <c r="V10" s="5"/>
      <c r="BI10" s="1"/>
      <c r="BJ10" s="3"/>
      <c r="BK10" s="1"/>
    </row>
    <row r="11" spans="2:66" s="130" customFormat="1" ht="18" customHeight="1">
      <c r="B11" s="79" t="s">
        <v>33</v>
      </c>
      <c r="C11" s="80"/>
      <c r="D11" s="80"/>
      <c r="E11" s="80"/>
      <c r="F11" s="80"/>
      <c r="G11" s="80"/>
      <c r="H11" s="80"/>
      <c r="I11" s="80"/>
      <c r="J11" s="80"/>
      <c r="K11" s="88">
        <v>4.5085394360058864</v>
      </c>
      <c r="L11" s="80"/>
      <c r="M11" s="80"/>
      <c r="N11" s="103">
        <v>1.48593091554258E-2</v>
      </c>
      <c r="O11" s="88"/>
      <c r="P11" s="90"/>
      <c r="Q11" s="88">
        <f>Q12</f>
        <v>319.45350397252474</v>
      </c>
      <c r="R11" s="88">
        <v>69629.706394610999</v>
      </c>
      <c r="S11" s="80"/>
      <c r="T11" s="89">
        <f>R11/$R$11</f>
        <v>1</v>
      </c>
      <c r="U11" s="89">
        <f>R11/'סכום נכסי הקרן'!$C$42</f>
        <v>0.29148705625487897</v>
      </c>
      <c r="V11" s="129"/>
      <c r="BI11" s="131"/>
      <c r="BJ11" s="132"/>
      <c r="BK11" s="131"/>
      <c r="BN11" s="131"/>
    </row>
    <row r="12" spans="2:66" s="131" customFormat="1">
      <c r="B12" s="81" t="s">
        <v>231</v>
      </c>
      <c r="C12" s="82"/>
      <c r="D12" s="82"/>
      <c r="E12" s="82"/>
      <c r="F12" s="82"/>
      <c r="G12" s="82"/>
      <c r="H12" s="82"/>
      <c r="I12" s="82"/>
      <c r="J12" s="82"/>
      <c r="K12" s="91">
        <v>4.204303232504663</v>
      </c>
      <c r="L12" s="82"/>
      <c r="M12" s="82"/>
      <c r="N12" s="104">
        <v>1.0710617349702009E-2</v>
      </c>
      <c r="O12" s="91"/>
      <c r="P12" s="93"/>
      <c r="Q12" s="91">
        <f>Q13+Q166</f>
        <v>319.45350397252474</v>
      </c>
      <c r="R12" s="91">
        <v>58684.156856765985</v>
      </c>
      <c r="S12" s="82"/>
      <c r="T12" s="92">
        <f t="shared" ref="T12:T75" si="0">R12/$R$11</f>
        <v>0.84280345121931832</v>
      </c>
      <c r="U12" s="92">
        <f>R12/'סכום נכסי הקרן'!$C$42</f>
        <v>0.24566629699737158</v>
      </c>
      <c r="BJ12" s="132"/>
    </row>
    <row r="13" spans="2:66" s="131" customFormat="1" ht="20.25">
      <c r="B13" s="102" t="s">
        <v>32</v>
      </c>
      <c r="C13" s="82"/>
      <c r="D13" s="82"/>
      <c r="E13" s="82"/>
      <c r="F13" s="82"/>
      <c r="G13" s="82"/>
      <c r="H13" s="82"/>
      <c r="I13" s="82"/>
      <c r="J13" s="82"/>
      <c r="K13" s="91">
        <v>4.1793306033455897</v>
      </c>
      <c r="L13" s="82"/>
      <c r="M13" s="82"/>
      <c r="N13" s="104">
        <v>6.7962904419707083E-3</v>
      </c>
      <c r="O13" s="91"/>
      <c r="P13" s="93"/>
      <c r="Q13" s="91">
        <f>SUM(Q14:Q165)</f>
        <v>283.20237072452477</v>
      </c>
      <c r="R13" s="91">
        <v>46554.103816209972</v>
      </c>
      <c r="S13" s="82"/>
      <c r="T13" s="92">
        <f t="shared" si="0"/>
        <v>0.66859543471826322</v>
      </c>
      <c r="U13" s="92">
        <f>R13/'סכום נכסי הקרן'!$C$42</f>
        <v>0.19488691509147765</v>
      </c>
      <c r="BJ13" s="130"/>
    </row>
    <row r="14" spans="2:66" s="131" customFormat="1">
      <c r="B14" s="87" t="s">
        <v>337</v>
      </c>
      <c r="C14" s="84" t="s">
        <v>338</v>
      </c>
      <c r="D14" s="97" t="s">
        <v>121</v>
      </c>
      <c r="E14" s="97" t="s">
        <v>339</v>
      </c>
      <c r="F14" s="84" t="s">
        <v>340</v>
      </c>
      <c r="G14" s="97" t="s">
        <v>341</v>
      </c>
      <c r="H14" s="84" t="s">
        <v>342</v>
      </c>
      <c r="I14" s="84" t="s">
        <v>343</v>
      </c>
      <c r="J14" s="84"/>
      <c r="K14" s="94">
        <v>3.0600000000000578</v>
      </c>
      <c r="L14" s="97" t="s">
        <v>165</v>
      </c>
      <c r="M14" s="98">
        <v>6.1999999999999998E-3</v>
      </c>
      <c r="N14" s="98">
        <v>-3.7000000000035642E-3</v>
      </c>
      <c r="O14" s="94">
        <v>984875.92888999986</v>
      </c>
      <c r="P14" s="96">
        <v>105.4</v>
      </c>
      <c r="Q14" s="84"/>
      <c r="R14" s="94">
        <v>1038.059267099</v>
      </c>
      <c r="S14" s="95">
        <v>2.089359321498503E-4</v>
      </c>
      <c r="T14" s="95">
        <f t="shared" si="0"/>
        <v>1.4908281548912874E-2</v>
      </c>
      <c r="U14" s="95">
        <f>R14/'סכום נכסי הקרן'!$C$42</f>
        <v>4.3455711025115413E-3</v>
      </c>
    </row>
    <row r="15" spans="2:66" s="131" customFormat="1">
      <c r="B15" s="87" t="s">
        <v>344</v>
      </c>
      <c r="C15" s="84" t="s">
        <v>345</v>
      </c>
      <c r="D15" s="97" t="s">
        <v>121</v>
      </c>
      <c r="E15" s="97" t="s">
        <v>339</v>
      </c>
      <c r="F15" s="84" t="s">
        <v>346</v>
      </c>
      <c r="G15" s="97" t="s">
        <v>347</v>
      </c>
      <c r="H15" s="84" t="s">
        <v>348</v>
      </c>
      <c r="I15" s="84" t="s">
        <v>161</v>
      </c>
      <c r="J15" s="84"/>
      <c r="K15" s="94">
        <v>5.9399999999925575</v>
      </c>
      <c r="L15" s="97" t="s">
        <v>165</v>
      </c>
      <c r="M15" s="98">
        <v>1E-3</v>
      </c>
      <c r="N15" s="98">
        <v>-2.8999999999999998E-3</v>
      </c>
      <c r="O15" s="94">
        <v>262023.02045199997</v>
      </c>
      <c r="P15" s="96">
        <v>102.55</v>
      </c>
      <c r="Q15" s="84"/>
      <c r="R15" s="94">
        <v>268.70461909999995</v>
      </c>
      <c r="S15" s="95">
        <v>3.7431860064571421E-4</v>
      </c>
      <c r="T15" s="95">
        <f t="shared" si="0"/>
        <v>3.8590514453296096E-3</v>
      </c>
      <c r="U15" s="95">
        <f>R15/'סכום נכסי הקרן'!$C$42</f>
        <v>1.1248635457352641E-3</v>
      </c>
    </row>
    <row r="16" spans="2:66" s="131" customFormat="1">
      <c r="B16" s="87" t="s">
        <v>349</v>
      </c>
      <c r="C16" s="84" t="s">
        <v>350</v>
      </c>
      <c r="D16" s="97" t="s">
        <v>121</v>
      </c>
      <c r="E16" s="97" t="s">
        <v>339</v>
      </c>
      <c r="F16" s="84" t="s">
        <v>346</v>
      </c>
      <c r="G16" s="97" t="s">
        <v>347</v>
      </c>
      <c r="H16" s="84" t="s">
        <v>348</v>
      </c>
      <c r="I16" s="84" t="s">
        <v>161</v>
      </c>
      <c r="J16" s="84"/>
      <c r="K16" s="94">
        <v>1.0099999999967393</v>
      </c>
      <c r="L16" s="97" t="s">
        <v>165</v>
      </c>
      <c r="M16" s="98">
        <v>8.0000000000000002E-3</v>
      </c>
      <c r="N16" s="98">
        <v>-2.7000000000046583E-3</v>
      </c>
      <c r="O16" s="94">
        <v>206541.90849399997</v>
      </c>
      <c r="P16" s="96">
        <v>103.94</v>
      </c>
      <c r="Q16" s="84"/>
      <c r="R16" s="94">
        <v>214.67966536999998</v>
      </c>
      <c r="S16" s="95">
        <v>4.8067258504426035E-4</v>
      </c>
      <c r="T16" s="95">
        <f t="shared" si="0"/>
        <v>3.0831620077980846E-3</v>
      </c>
      <c r="U16" s="95">
        <f>R16/'סכום נכסי הקרן'!$C$42</f>
        <v>8.9870181760994591E-4</v>
      </c>
    </row>
    <row r="17" spans="2:61" s="131" customFormat="1" ht="20.25">
      <c r="B17" s="87" t="s">
        <v>351</v>
      </c>
      <c r="C17" s="84" t="s">
        <v>352</v>
      </c>
      <c r="D17" s="97" t="s">
        <v>121</v>
      </c>
      <c r="E17" s="97" t="s">
        <v>339</v>
      </c>
      <c r="F17" s="84" t="s">
        <v>353</v>
      </c>
      <c r="G17" s="97" t="s">
        <v>347</v>
      </c>
      <c r="H17" s="84" t="s">
        <v>348</v>
      </c>
      <c r="I17" s="84" t="s">
        <v>161</v>
      </c>
      <c r="J17" s="84"/>
      <c r="K17" s="94">
        <v>0.75999999999996237</v>
      </c>
      <c r="L17" s="97" t="s">
        <v>165</v>
      </c>
      <c r="M17" s="98">
        <v>5.8999999999999999E-3</v>
      </c>
      <c r="N17" s="98">
        <v>-5.0000000000047164E-4</v>
      </c>
      <c r="O17" s="94">
        <v>1043186.6103749999</v>
      </c>
      <c r="P17" s="96">
        <v>101.62</v>
      </c>
      <c r="Q17" s="84"/>
      <c r="R17" s="94">
        <v>1060.0862128789997</v>
      </c>
      <c r="S17" s="95">
        <v>1.9542096324644994E-4</v>
      </c>
      <c r="T17" s="95">
        <f t="shared" si="0"/>
        <v>1.5224625634225643E-2</v>
      </c>
      <c r="U17" s="95">
        <f>R17/'סכום נכסי הקרן'!$C$42</f>
        <v>4.4377813087030024E-3</v>
      </c>
      <c r="BI17" s="130"/>
    </row>
    <row r="18" spans="2:61" s="131" customFormat="1">
      <c r="B18" s="87" t="s">
        <v>354</v>
      </c>
      <c r="C18" s="84" t="s">
        <v>355</v>
      </c>
      <c r="D18" s="97" t="s">
        <v>121</v>
      </c>
      <c r="E18" s="97" t="s">
        <v>339</v>
      </c>
      <c r="F18" s="84" t="s">
        <v>353</v>
      </c>
      <c r="G18" s="97" t="s">
        <v>347</v>
      </c>
      <c r="H18" s="84" t="s">
        <v>348</v>
      </c>
      <c r="I18" s="84" t="s">
        <v>161</v>
      </c>
      <c r="J18" s="84"/>
      <c r="K18" s="94">
        <v>5.6499999999936996</v>
      </c>
      <c r="L18" s="97" t="s">
        <v>165</v>
      </c>
      <c r="M18" s="98">
        <v>8.3000000000000001E-3</v>
      </c>
      <c r="N18" s="98">
        <v>-3.799999999984659E-3</v>
      </c>
      <c r="O18" s="94">
        <v>337675.19106899993</v>
      </c>
      <c r="P18" s="96">
        <v>108.1</v>
      </c>
      <c r="Q18" s="84"/>
      <c r="R18" s="94">
        <v>365.02688506199996</v>
      </c>
      <c r="S18" s="95">
        <v>2.6258403467343714E-4</v>
      </c>
      <c r="T18" s="95">
        <f t="shared" si="0"/>
        <v>5.2424016122269799E-3</v>
      </c>
      <c r="U18" s="95">
        <f>R18/'סכום נכסי הקרן'!$C$42</f>
        <v>1.5280922136538741E-3</v>
      </c>
    </row>
    <row r="19" spans="2:61" s="131" customFormat="1">
      <c r="B19" s="87" t="s">
        <v>356</v>
      </c>
      <c r="C19" s="84" t="s">
        <v>357</v>
      </c>
      <c r="D19" s="97" t="s">
        <v>121</v>
      </c>
      <c r="E19" s="97" t="s">
        <v>339</v>
      </c>
      <c r="F19" s="84" t="s">
        <v>358</v>
      </c>
      <c r="G19" s="97" t="s">
        <v>347</v>
      </c>
      <c r="H19" s="84" t="s">
        <v>348</v>
      </c>
      <c r="I19" s="84" t="s">
        <v>161</v>
      </c>
      <c r="J19" s="84"/>
      <c r="K19" s="94">
        <v>1.4600000000088513</v>
      </c>
      <c r="L19" s="97" t="s">
        <v>165</v>
      </c>
      <c r="M19" s="98">
        <v>4.0999999999999995E-3</v>
      </c>
      <c r="N19" s="98">
        <v>-1.9000000000636227E-3</v>
      </c>
      <c r="O19" s="94">
        <v>71302.73424999998</v>
      </c>
      <c r="P19" s="96">
        <v>101.4</v>
      </c>
      <c r="Q19" s="84"/>
      <c r="R19" s="94">
        <v>72.300976066000004</v>
      </c>
      <c r="S19" s="95">
        <v>8.6749391441072595E-5</v>
      </c>
      <c r="T19" s="95">
        <f t="shared" si="0"/>
        <v>1.038363937027828E-3</v>
      </c>
      <c r="U19" s="95">
        <f>R19/'סכום נכסי הקרן'!$C$42</f>
        <v>3.0266964732546812E-4</v>
      </c>
      <c r="BI19" s="132"/>
    </row>
    <row r="20" spans="2:61" s="131" customFormat="1">
      <c r="B20" s="87" t="s">
        <v>359</v>
      </c>
      <c r="C20" s="84" t="s">
        <v>360</v>
      </c>
      <c r="D20" s="97" t="s">
        <v>121</v>
      </c>
      <c r="E20" s="97" t="s">
        <v>339</v>
      </c>
      <c r="F20" s="84" t="s">
        <v>358</v>
      </c>
      <c r="G20" s="97" t="s">
        <v>347</v>
      </c>
      <c r="H20" s="84" t="s">
        <v>348</v>
      </c>
      <c r="I20" s="84" t="s">
        <v>161</v>
      </c>
      <c r="J20" s="84"/>
      <c r="K20" s="94">
        <v>0.34999999999986642</v>
      </c>
      <c r="L20" s="97" t="s">
        <v>165</v>
      </c>
      <c r="M20" s="98">
        <v>6.4000000000000003E-3</v>
      </c>
      <c r="N20" s="98">
        <v>6.2999999999975966E-3</v>
      </c>
      <c r="O20" s="94">
        <v>739901.00482699985</v>
      </c>
      <c r="P20" s="96">
        <v>101.21</v>
      </c>
      <c r="Q20" s="84"/>
      <c r="R20" s="94">
        <v>748.8537592859999</v>
      </c>
      <c r="S20" s="95">
        <v>2.3488212413498637E-4</v>
      </c>
      <c r="T20" s="95">
        <f t="shared" si="0"/>
        <v>1.0754802771133868E-2</v>
      </c>
      <c r="U20" s="95">
        <f>R20/'סכום נכסי הקרן'!$C$42</f>
        <v>3.1348858003596258E-3</v>
      </c>
    </row>
    <row r="21" spans="2:61" s="131" customFormat="1">
      <c r="B21" s="87" t="s">
        <v>361</v>
      </c>
      <c r="C21" s="84" t="s">
        <v>362</v>
      </c>
      <c r="D21" s="97" t="s">
        <v>121</v>
      </c>
      <c r="E21" s="97" t="s">
        <v>339</v>
      </c>
      <c r="F21" s="84" t="s">
        <v>358</v>
      </c>
      <c r="G21" s="97" t="s">
        <v>347</v>
      </c>
      <c r="H21" s="84" t="s">
        <v>348</v>
      </c>
      <c r="I21" s="84" t="s">
        <v>161</v>
      </c>
      <c r="J21" s="84"/>
      <c r="K21" s="94">
        <v>1.8100000000003396</v>
      </c>
      <c r="L21" s="97" t="s">
        <v>165</v>
      </c>
      <c r="M21" s="98">
        <v>0.04</v>
      </c>
      <c r="N21" s="98">
        <v>-5.2000000000067929E-3</v>
      </c>
      <c r="O21" s="94">
        <v>527889.35281699989</v>
      </c>
      <c r="P21" s="96">
        <v>111.56</v>
      </c>
      <c r="Q21" s="84"/>
      <c r="R21" s="94">
        <v>588.91334957999993</v>
      </c>
      <c r="S21" s="95">
        <v>2.548102389621836E-4</v>
      </c>
      <c r="T21" s="95">
        <f t="shared" si="0"/>
        <v>8.4577887811627898E-3</v>
      </c>
      <c r="U21" s="95">
        <f>R21/'סכום נכסי הקרן'!$C$42</f>
        <v>2.4653359542466829E-3</v>
      </c>
    </row>
    <row r="22" spans="2:61" s="131" customFormat="1">
      <c r="B22" s="87" t="s">
        <v>363</v>
      </c>
      <c r="C22" s="84" t="s">
        <v>364</v>
      </c>
      <c r="D22" s="97" t="s">
        <v>121</v>
      </c>
      <c r="E22" s="97" t="s">
        <v>339</v>
      </c>
      <c r="F22" s="84" t="s">
        <v>358</v>
      </c>
      <c r="G22" s="97" t="s">
        <v>347</v>
      </c>
      <c r="H22" s="84" t="s">
        <v>348</v>
      </c>
      <c r="I22" s="84" t="s">
        <v>161</v>
      </c>
      <c r="J22" s="84"/>
      <c r="K22" s="94">
        <v>2.9699999999980697</v>
      </c>
      <c r="L22" s="97" t="s">
        <v>165</v>
      </c>
      <c r="M22" s="98">
        <v>9.8999999999999991E-3</v>
      </c>
      <c r="N22" s="98">
        <v>-5.3999999999940198E-3</v>
      </c>
      <c r="O22" s="94">
        <v>691397.08134599985</v>
      </c>
      <c r="P22" s="96">
        <v>106.42</v>
      </c>
      <c r="Q22" s="84"/>
      <c r="R22" s="94">
        <v>735.78477778599995</v>
      </c>
      <c r="S22" s="95">
        <v>2.294047731743264E-4</v>
      </c>
      <c r="T22" s="95">
        <f t="shared" si="0"/>
        <v>1.0567110158645537E-2</v>
      </c>
      <c r="U22" s="95">
        <f>R22/'סכום נכסי הקרן'!$C$42</f>
        <v>3.0801758332646145E-3</v>
      </c>
    </row>
    <row r="23" spans="2:61" s="131" customFormat="1">
      <c r="B23" s="87" t="s">
        <v>365</v>
      </c>
      <c r="C23" s="84" t="s">
        <v>366</v>
      </c>
      <c r="D23" s="97" t="s">
        <v>121</v>
      </c>
      <c r="E23" s="97" t="s">
        <v>339</v>
      </c>
      <c r="F23" s="84" t="s">
        <v>358</v>
      </c>
      <c r="G23" s="97" t="s">
        <v>347</v>
      </c>
      <c r="H23" s="84" t="s">
        <v>348</v>
      </c>
      <c r="I23" s="84" t="s">
        <v>161</v>
      </c>
      <c r="J23" s="84"/>
      <c r="K23" s="94">
        <v>4.9299999999972002</v>
      </c>
      <c r="L23" s="97" t="s">
        <v>165</v>
      </c>
      <c r="M23" s="98">
        <v>8.6E-3</v>
      </c>
      <c r="N23" s="98">
        <v>-4.5999999999926967E-3</v>
      </c>
      <c r="O23" s="94">
        <v>605271.28544699994</v>
      </c>
      <c r="P23" s="96">
        <v>108.6</v>
      </c>
      <c r="Q23" s="84"/>
      <c r="R23" s="94">
        <v>657.32458228799987</v>
      </c>
      <c r="S23" s="95">
        <v>2.4197774940302259E-4</v>
      </c>
      <c r="T23" s="95">
        <f t="shared" si="0"/>
        <v>9.4402894443178873E-3</v>
      </c>
      <c r="U23" s="95">
        <f>R23/'סכום נכסי הקרן'!$C$42</f>
        <v>2.7517221803182281E-3</v>
      </c>
    </row>
    <row r="24" spans="2:61" s="131" customFormat="1">
      <c r="B24" s="87" t="s">
        <v>367</v>
      </c>
      <c r="C24" s="84" t="s">
        <v>368</v>
      </c>
      <c r="D24" s="97" t="s">
        <v>121</v>
      </c>
      <c r="E24" s="97" t="s">
        <v>339</v>
      </c>
      <c r="F24" s="84" t="s">
        <v>358</v>
      </c>
      <c r="G24" s="97" t="s">
        <v>347</v>
      </c>
      <c r="H24" s="84" t="s">
        <v>348</v>
      </c>
      <c r="I24" s="84" t="s">
        <v>161</v>
      </c>
      <c r="J24" s="84"/>
      <c r="K24" s="94">
        <v>7.699999999975665</v>
      </c>
      <c r="L24" s="97" t="s">
        <v>165</v>
      </c>
      <c r="M24" s="98">
        <v>1.2199999999999999E-2</v>
      </c>
      <c r="N24" s="98">
        <v>-2.9999999986209927E-4</v>
      </c>
      <c r="O24" s="94">
        <v>22013.759999999995</v>
      </c>
      <c r="P24" s="96">
        <v>112</v>
      </c>
      <c r="Q24" s="84"/>
      <c r="R24" s="94">
        <v>24.655411177999994</v>
      </c>
      <c r="S24" s="95">
        <v>2.7462001377231759E-5</v>
      </c>
      <c r="T24" s="95">
        <f t="shared" si="0"/>
        <v>3.5409328079413245E-4</v>
      </c>
      <c r="U24" s="95">
        <f>R24/'סכום נכסי הקרן'!$C$42</f>
        <v>1.0321360805831395E-4</v>
      </c>
    </row>
    <row r="25" spans="2:61" s="131" customFormat="1">
      <c r="B25" s="87" t="s">
        <v>369</v>
      </c>
      <c r="C25" s="84" t="s">
        <v>370</v>
      </c>
      <c r="D25" s="97" t="s">
        <v>121</v>
      </c>
      <c r="E25" s="97" t="s">
        <v>339</v>
      </c>
      <c r="F25" s="84" t="s">
        <v>358</v>
      </c>
      <c r="G25" s="97" t="s">
        <v>347</v>
      </c>
      <c r="H25" s="84" t="s">
        <v>348</v>
      </c>
      <c r="I25" s="84" t="s">
        <v>161</v>
      </c>
      <c r="J25" s="84"/>
      <c r="K25" s="94">
        <v>6.6700000000016626</v>
      </c>
      <c r="L25" s="97" t="s">
        <v>165</v>
      </c>
      <c r="M25" s="98">
        <v>3.8E-3</v>
      </c>
      <c r="N25" s="98">
        <v>-1.5000000000055418E-3</v>
      </c>
      <c r="O25" s="94">
        <v>876345.03657999972</v>
      </c>
      <c r="P25" s="96">
        <v>102.95</v>
      </c>
      <c r="Q25" s="84"/>
      <c r="R25" s="94">
        <v>902.19716404999986</v>
      </c>
      <c r="S25" s="95">
        <v>2.9211501219333322E-4</v>
      </c>
      <c r="T25" s="95">
        <f t="shared" si="0"/>
        <v>1.2957072645646335E-2</v>
      </c>
      <c r="U25" s="95">
        <f>R25/'סכום נכסי הקרן'!$C$42</f>
        <v>3.7768189631600668E-3</v>
      </c>
    </row>
    <row r="26" spans="2:61" s="131" customFormat="1">
      <c r="B26" s="87" t="s">
        <v>371</v>
      </c>
      <c r="C26" s="84" t="s">
        <v>372</v>
      </c>
      <c r="D26" s="97" t="s">
        <v>121</v>
      </c>
      <c r="E26" s="97" t="s">
        <v>339</v>
      </c>
      <c r="F26" s="84" t="s">
        <v>358</v>
      </c>
      <c r="G26" s="97" t="s">
        <v>347</v>
      </c>
      <c r="H26" s="84" t="s">
        <v>348</v>
      </c>
      <c r="I26" s="84" t="s">
        <v>161</v>
      </c>
      <c r="J26" s="84"/>
      <c r="K26" s="94">
        <v>10.570000000007544</v>
      </c>
      <c r="L26" s="97" t="s">
        <v>165</v>
      </c>
      <c r="M26" s="98">
        <v>1.9E-3</v>
      </c>
      <c r="N26" s="98">
        <v>2.8000000000000004E-3</v>
      </c>
      <c r="O26" s="94">
        <v>295698.93303900003</v>
      </c>
      <c r="P26" s="96">
        <v>100.87</v>
      </c>
      <c r="Q26" s="84"/>
      <c r="R26" s="94">
        <v>298.27150107499995</v>
      </c>
      <c r="S26" s="95">
        <v>4.2126735834210682E-4</v>
      </c>
      <c r="T26" s="95">
        <f t="shared" si="0"/>
        <v>4.2836817289536163E-3</v>
      </c>
      <c r="U26" s="95">
        <f>R26/'סכום נכסי הקרן'!$C$42</f>
        <v>1.2486377771055001E-3</v>
      </c>
    </row>
    <row r="27" spans="2:61" s="131" customFormat="1">
      <c r="B27" s="87" t="s">
        <v>373</v>
      </c>
      <c r="C27" s="84" t="s">
        <v>374</v>
      </c>
      <c r="D27" s="97" t="s">
        <v>121</v>
      </c>
      <c r="E27" s="97" t="s">
        <v>339</v>
      </c>
      <c r="F27" s="84" t="s">
        <v>375</v>
      </c>
      <c r="G27" s="97" t="s">
        <v>157</v>
      </c>
      <c r="H27" s="84" t="s">
        <v>342</v>
      </c>
      <c r="I27" s="84" t="s">
        <v>343</v>
      </c>
      <c r="J27" s="84"/>
      <c r="K27" s="94">
        <v>15.430000000035266</v>
      </c>
      <c r="L27" s="97" t="s">
        <v>165</v>
      </c>
      <c r="M27" s="98">
        <v>2.07E-2</v>
      </c>
      <c r="N27" s="98">
        <v>1.2400000000046894E-2</v>
      </c>
      <c r="O27" s="94">
        <v>181170.86544899998</v>
      </c>
      <c r="P27" s="96">
        <v>113</v>
      </c>
      <c r="Q27" s="84"/>
      <c r="R27" s="94">
        <v>204.72307024599996</v>
      </c>
      <c r="S27" s="95">
        <v>2.7040427678955218E-4</v>
      </c>
      <c r="T27" s="95">
        <f t="shared" si="0"/>
        <v>2.9401685120683568E-3</v>
      </c>
      <c r="U27" s="95">
        <f>R27/'סכום נכסי הקרן'!$C$42</f>
        <v>8.5702106447609289E-4</v>
      </c>
    </row>
    <row r="28" spans="2:61" s="131" customFormat="1">
      <c r="B28" s="87" t="s">
        <v>376</v>
      </c>
      <c r="C28" s="84" t="s">
        <v>377</v>
      </c>
      <c r="D28" s="97" t="s">
        <v>121</v>
      </c>
      <c r="E28" s="97" t="s">
        <v>339</v>
      </c>
      <c r="F28" s="84" t="s">
        <v>378</v>
      </c>
      <c r="G28" s="97" t="s">
        <v>347</v>
      </c>
      <c r="H28" s="84" t="s">
        <v>348</v>
      </c>
      <c r="I28" s="84" t="s">
        <v>161</v>
      </c>
      <c r="J28" s="84"/>
      <c r="K28" s="94">
        <v>2.7200000000006459</v>
      </c>
      <c r="L28" s="97" t="s">
        <v>165</v>
      </c>
      <c r="M28" s="98">
        <v>0.05</v>
      </c>
      <c r="N28" s="98">
        <v>-5.3000000000002689E-3</v>
      </c>
      <c r="O28" s="94">
        <v>918004.82109899994</v>
      </c>
      <c r="P28" s="96">
        <v>121.44</v>
      </c>
      <c r="Q28" s="84"/>
      <c r="R28" s="94">
        <v>1114.8250560489998</v>
      </c>
      <c r="S28" s="95">
        <v>2.9128150213494257E-4</v>
      </c>
      <c r="T28" s="95">
        <f t="shared" si="0"/>
        <v>1.6010767727943225E-2</v>
      </c>
      <c r="U28" s="95">
        <f>R28/'סכום נכסי הקרן'!$C$42</f>
        <v>4.6669315533987878E-3</v>
      </c>
    </row>
    <row r="29" spans="2:61" s="131" customFormat="1">
      <c r="B29" s="87" t="s">
        <v>379</v>
      </c>
      <c r="C29" s="84" t="s">
        <v>380</v>
      </c>
      <c r="D29" s="97" t="s">
        <v>121</v>
      </c>
      <c r="E29" s="97" t="s">
        <v>339</v>
      </c>
      <c r="F29" s="84" t="s">
        <v>378</v>
      </c>
      <c r="G29" s="97" t="s">
        <v>347</v>
      </c>
      <c r="H29" s="84" t="s">
        <v>348</v>
      </c>
      <c r="I29" s="84" t="s">
        <v>161</v>
      </c>
      <c r="J29" s="84"/>
      <c r="K29" s="94">
        <v>0.96999999997978437</v>
      </c>
      <c r="L29" s="97" t="s">
        <v>165</v>
      </c>
      <c r="M29" s="98">
        <v>1.6E-2</v>
      </c>
      <c r="N29" s="98">
        <v>-1.0000000001555056E-3</v>
      </c>
      <c r="O29" s="94">
        <v>25168.828702999996</v>
      </c>
      <c r="P29" s="96">
        <v>102.2</v>
      </c>
      <c r="Q29" s="84"/>
      <c r="R29" s="94">
        <v>25.722543515999998</v>
      </c>
      <c r="S29" s="95">
        <v>2.3979298870235399E-5</v>
      </c>
      <c r="T29" s="95">
        <f t="shared" si="0"/>
        <v>3.69419100666936E-4</v>
      </c>
      <c r="U29" s="95">
        <f>R29/'סכום נכסי הקרן'!$C$42</f>
        <v>1.0768088617772998E-4</v>
      </c>
    </row>
    <row r="30" spans="2:61" s="131" customFormat="1">
      <c r="B30" s="87" t="s">
        <v>381</v>
      </c>
      <c r="C30" s="84" t="s">
        <v>382</v>
      </c>
      <c r="D30" s="97" t="s">
        <v>121</v>
      </c>
      <c r="E30" s="97" t="s">
        <v>339</v>
      </c>
      <c r="F30" s="84" t="s">
        <v>378</v>
      </c>
      <c r="G30" s="97" t="s">
        <v>347</v>
      </c>
      <c r="H30" s="84" t="s">
        <v>348</v>
      </c>
      <c r="I30" s="84" t="s">
        <v>161</v>
      </c>
      <c r="J30" s="84"/>
      <c r="K30" s="94">
        <v>1.9899999999997486</v>
      </c>
      <c r="L30" s="97" t="s">
        <v>165</v>
      </c>
      <c r="M30" s="98">
        <v>6.9999999999999993E-3</v>
      </c>
      <c r="N30" s="98">
        <v>-4.2000000000050434E-3</v>
      </c>
      <c r="O30" s="94">
        <v>377342.74754499993</v>
      </c>
      <c r="P30" s="96">
        <v>105.1</v>
      </c>
      <c r="Q30" s="84"/>
      <c r="R30" s="94">
        <v>396.58723898999989</v>
      </c>
      <c r="S30" s="95">
        <v>1.3270903074372788E-4</v>
      </c>
      <c r="T30" s="95">
        <f t="shared" si="0"/>
        <v>5.6956615146763539E-3</v>
      </c>
      <c r="U30" s="95">
        <f>R30/'סכום נכסי הקרן'!$C$42</f>
        <v>1.6602116083372156E-3</v>
      </c>
    </row>
    <row r="31" spans="2:61" s="131" customFormat="1">
      <c r="B31" s="87" t="s">
        <v>383</v>
      </c>
      <c r="C31" s="84" t="s">
        <v>384</v>
      </c>
      <c r="D31" s="97" t="s">
        <v>121</v>
      </c>
      <c r="E31" s="97" t="s">
        <v>339</v>
      </c>
      <c r="F31" s="84" t="s">
        <v>378</v>
      </c>
      <c r="G31" s="97" t="s">
        <v>347</v>
      </c>
      <c r="H31" s="84" t="s">
        <v>348</v>
      </c>
      <c r="I31" s="84" t="s">
        <v>161</v>
      </c>
      <c r="J31" s="84"/>
      <c r="K31" s="94">
        <v>4.5799999999979404</v>
      </c>
      <c r="L31" s="97" t="s">
        <v>165</v>
      </c>
      <c r="M31" s="98">
        <v>6.0000000000000001E-3</v>
      </c>
      <c r="N31" s="98">
        <v>-4.1000000000035817E-3</v>
      </c>
      <c r="O31" s="94">
        <v>418373.474629</v>
      </c>
      <c r="P31" s="96">
        <v>106.76</v>
      </c>
      <c r="Q31" s="84"/>
      <c r="R31" s="94">
        <v>446.65551062399993</v>
      </c>
      <c r="S31" s="95">
        <v>2.090058949638825E-4</v>
      </c>
      <c r="T31" s="95">
        <f t="shared" si="0"/>
        <v>6.4147263251790607E-3</v>
      </c>
      <c r="U31" s="95">
        <f>R31/'סכום נכסי הקרן'!$C$42</f>
        <v>1.869809693207122E-3</v>
      </c>
    </row>
    <row r="32" spans="2:61" s="131" customFormat="1">
      <c r="B32" s="87" t="s">
        <v>385</v>
      </c>
      <c r="C32" s="84" t="s">
        <v>386</v>
      </c>
      <c r="D32" s="97" t="s">
        <v>121</v>
      </c>
      <c r="E32" s="97" t="s">
        <v>339</v>
      </c>
      <c r="F32" s="84" t="s">
        <v>378</v>
      </c>
      <c r="G32" s="97" t="s">
        <v>347</v>
      </c>
      <c r="H32" s="84" t="s">
        <v>348</v>
      </c>
      <c r="I32" s="84" t="s">
        <v>161</v>
      </c>
      <c r="J32" s="84"/>
      <c r="K32" s="94">
        <v>5.539999999998364</v>
      </c>
      <c r="L32" s="97" t="s">
        <v>165</v>
      </c>
      <c r="M32" s="98">
        <v>1.7500000000000002E-2</v>
      </c>
      <c r="N32" s="98">
        <v>-3.0999999999957091E-3</v>
      </c>
      <c r="O32" s="94">
        <v>1087927.867105</v>
      </c>
      <c r="P32" s="96">
        <v>113.54</v>
      </c>
      <c r="Q32" s="84"/>
      <c r="R32" s="94">
        <v>1235.2332993629998</v>
      </c>
      <c r="S32" s="95">
        <v>2.5150232137354336E-4</v>
      </c>
      <c r="T32" s="95">
        <f t="shared" si="0"/>
        <v>1.7740033145660382E-2</v>
      </c>
      <c r="U32" s="95">
        <f>R32/'סכום נכסי הקרן'!$C$42</f>
        <v>5.1709900394925259E-3</v>
      </c>
    </row>
    <row r="33" spans="2:21" s="131" customFormat="1">
      <c r="B33" s="87" t="s">
        <v>387</v>
      </c>
      <c r="C33" s="84" t="s">
        <v>388</v>
      </c>
      <c r="D33" s="97" t="s">
        <v>121</v>
      </c>
      <c r="E33" s="97" t="s">
        <v>339</v>
      </c>
      <c r="F33" s="84" t="s">
        <v>346</v>
      </c>
      <c r="G33" s="97" t="s">
        <v>347</v>
      </c>
      <c r="H33" s="84" t="s">
        <v>389</v>
      </c>
      <c r="I33" s="84" t="s">
        <v>161</v>
      </c>
      <c r="J33" s="84"/>
      <c r="K33" s="94">
        <v>0.82999999999540586</v>
      </c>
      <c r="L33" s="97" t="s">
        <v>165</v>
      </c>
      <c r="M33" s="98">
        <v>3.1E-2</v>
      </c>
      <c r="N33" s="98">
        <v>1.4999999999890615E-3</v>
      </c>
      <c r="O33" s="94">
        <v>122908.75846499998</v>
      </c>
      <c r="P33" s="96">
        <v>111.57</v>
      </c>
      <c r="Q33" s="84"/>
      <c r="R33" s="94">
        <v>137.12929866099998</v>
      </c>
      <c r="S33" s="95">
        <v>3.5725676142355357E-4</v>
      </c>
      <c r="T33" s="95">
        <f t="shared" si="0"/>
        <v>1.9694079691195297E-3</v>
      </c>
      <c r="U33" s="95">
        <f>R33/'סכום נכסי הקרן'!$C$42</f>
        <v>5.740569314835513E-4</v>
      </c>
    </row>
    <row r="34" spans="2:21" s="131" customFormat="1">
      <c r="B34" s="87" t="s">
        <v>390</v>
      </c>
      <c r="C34" s="84" t="s">
        <v>391</v>
      </c>
      <c r="D34" s="97" t="s">
        <v>121</v>
      </c>
      <c r="E34" s="97" t="s">
        <v>339</v>
      </c>
      <c r="F34" s="84" t="s">
        <v>346</v>
      </c>
      <c r="G34" s="97" t="s">
        <v>347</v>
      </c>
      <c r="H34" s="84" t="s">
        <v>389</v>
      </c>
      <c r="I34" s="84" t="s">
        <v>161</v>
      </c>
      <c r="J34" s="84"/>
      <c r="K34" s="94">
        <v>0.97000000001219255</v>
      </c>
      <c r="L34" s="97" t="s">
        <v>165</v>
      </c>
      <c r="M34" s="98">
        <v>4.2000000000000003E-2</v>
      </c>
      <c r="N34" s="98">
        <v>6.7000000002327672E-3</v>
      </c>
      <c r="O34" s="94">
        <v>7125.1090559999993</v>
      </c>
      <c r="P34" s="96">
        <v>126.62</v>
      </c>
      <c r="Q34" s="84"/>
      <c r="R34" s="94">
        <v>9.021812637</v>
      </c>
      <c r="S34" s="95">
        <v>1.3658530567802783E-4</v>
      </c>
      <c r="T34" s="95">
        <f t="shared" si="0"/>
        <v>1.2956844289807668E-4</v>
      </c>
      <c r="U34" s="95">
        <f>R34/'סכום נכסי הקרן'!$C$42</f>
        <v>3.7767524003888755E-5</v>
      </c>
    </row>
    <row r="35" spans="2:21" s="131" customFormat="1">
      <c r="B35" s="87" t="s">
        <v>392</v>
      </c>
      <c r="C35" s="84" t="s">
        <v>393</v>
      </c>
      <c r="D35" s="97" t="s">
        <v>121</v>
      </c>
      <c r="E35" s="97" t="s">
        <v>339</v>
      </c>
      <c r="F35" s="84" t="s">
        <v>394</v>
      </c>
      <c r="G35" s="97" t="s">
        <v>347</v>
      </c>
      <c r="H35" s="84" t="s">
        <v>389</v>
      </c>
      <c r="I35" s="84" t="s">
        <v>161</v>
      </c>
      <c r="J35" s="84"/>
      <c r="K35" s="94">
        <v>1.6600000000004982</v>
      </c>
      <c r="L35" s="97" t="s">
        <v>165</v>
      </c>
      <c r="M35" s="98">
        <v>3.85E-2</v>
      </c>
      <c r="N35" s="98">
        <v>-1.4000000000199428E-3</v>
      </c>
      <c r="O35" s="94">
        <v>68327.661165999991</v>
      </c>
      <c r="P35" s="96">
        <v>117.42</v>
      </c>
      <c r="Q35" s="84"/>
      <c r="R35" s="94">
        <v>80.230341355999997</v>
      </c>
      <c r="S35" s="95">
        <v>2.1389173466562422E-4</v>
      </c>
      <c r="T35" s="95">
        <f t="shared" si="0"/>
        <v>1.152242993835307E-3</v>
      </c>
      <c r="U35" s="95">
        <f>R35/'סכום נכסי הקרן'!$C$42</f>
        <v>3.3586391836336229E-4</v>
      </c>
    </row>
    <row r="36" spans="2:21" s="131" customFormat="1">
      <c r="B36" s="87" t="s">
        <v>395</v>
      </c>
      <c r="C36" s="84" t="s">
        <v>396</v>
      </c>
      <c r="D36" s="97" t="s">
        <v>121</v>
      </c>
      <c r="E36" s="97" t="s">
        <v>339</v>
      </c>
      <c r="F36" s="84" t="s">
        <v>394</v>
      </c>
      <c r="G36" s="97" t="s">
        <v>347</v>
      </c>
      <c r="H36" s="84" t="s">
        <v>389</v>
      </c>
      <c r="I36" s="84" t="s">
        <v>161</v>
      </c>
      <c r="J36" s="84"/>
      <c r="K36" s="94">
        <v>1.5400000000149507</v>
      </c>
      <c r="L36" s="97" t="s">
        <v>165</v>
      </c>
      <c r="M36" s="98">
        <v>4.7500000000000001E-2</v>
      </c>
      <c r="N36" s="98">
        <v>-2.0000000000000005E-3</v>
      </c>
      <c r="O36" s="94">
        <v>60078.197687999986</v>
      </c>
      <c r="P36" s="96">
        <v>133.6</v>
      </c>
      <c r="Q36" s="84"/>
      <c r="R36" s="94">
        <v>80.264473469999984</v>
      </c>
      <c r="S36" s="95">
        <v>2.0699574863181623E-4</v>
      </c>
      <c r="T36" s="95">
        <f t="shared" si="0"/>
        <v>1.1527331885491344E-3</v>
      </c>
      <c r="U36" s="95">
        <f>R36/'סכום נכסי הקרן'!$C$42</f>
        <v>3.3600680377748752E-4</v>
      </c>
    </row>
    <row r="37" spans="2:21" s="131" customFormat="1">
      <c r="B37" s="87" t="s">
        <v>397</v>
      </c>
      <c r="C37" s="84" t="s">
        <v>398</v>
      </c>
      <c r="D37" s="97" t="s">
        <v>121</v>
      </c>
      <c r="E37" s="97" t="s">
        <v>339</v>
      </c>
      <c r="F37" s="84" t="s">
        <v>399</v>
      </c>
      <c r="G37" s="97" t="s">
        <v>400</v>
      </c>
      <c r="H37" s="84" t="s">
        <v>401</v>
      </c>
      <c r="I37" s="84" t="s">
        <v>343</v>
      </c>
      <c r="J37" s="84"/>
      <c r="K37" s="94">
        <v>1.899999999966214</v>
      </c>
      <c r="L37" s="97" t="s">
        <v>165</v>
      </c>
      <c r="M37" s="98">
        <v>3.6400000000000002E-2</v>
      </c>
      <c r="N37" s="98">
        <v>-5.9999999993242835E-4</v>
      </c>
      <c r="O37" s="94">
        <v>12536.310512999999</v>
      </c>
      <c r="P37" s="96">
        <v>118.05</v>
      </c>
      <c r="Q37" s="84"/>
      <c r="R37" s="94">
        <v>14.799114384999999</v>
      </c>
      <c r="S37" s="95">
        <v>2.2741606372789113E-4</v>
      </c>
      <c r="T37" s="95">
        <f t="shared" si="0"/>
        <v>2.1254023823006352E-4</v>
      </c>
      <c r="U37" s="95">
        <f>R37/'סכום נכסי הקרן'!$C$42</f>
        <v>6.1952728377391908E-5</v>
      </c>
    </row>
    <row r="38" spans="2:21" s="131" customFormat="1">
      <c r="B38" s="87" t="s">
        <v>402</v>
      </c>
      <c r="C38" s="84" t="s">
        <v>403</v>
      </c>
      <c r="D38" s="97" t="s">
        <v>121</v>
      </c>
      <c r="E38" s="97" t="s">
        <v>339</v>
      </c>
      <c r="F38" s="84" t="s">
        <v>353</v>
      </c>
      <c r="G38" s="97" t="s">
        <v>347</v>
      </c>
      <c r="H38" s="84" t="s">
        <v>389</v>
      </c>
      <c r="I38" s="84" t="s">
        <v>161</v>
      </c>
      <c r="J38" s="84"/>
      <c r="K38" s="94">
        <v>1.0899999999939627</v>
      </c>
      <c r="L38" s="97" t="s">
        <v>165</v>
      </c>
      <c r="M38" s="98">
        <v>3.4000000000000002E-2</v>
      </c>
      <c r="N38" s="98">
        <v>-1.9000000000240201E-3</v>
      </c>
      <c r="O38" s="94">
        <v>138276.17634999997</v>
      </c>
      <c r="P38" s="96">
        <v>111.4</v>
      </c>
      <c r="Q38" s="84"/>
      <c r="R38" s="94">
        <v>154.03966417699996</v>
      </c>
      <c r="S38" s="95">
        <v>1.5469834984609726E-4</v>
      </c>
      <c r="T38" s="95">
        <f t="shared" si="0"/>
        <v>2.2122693337813912E-3</v>
      </c>
      <c r="U38" s="95">
        <f>R38/'סכום נכסי הקרן'!$C$42</f>
        <v>6.4484787574688011E-4</v>
      </c>
    </row>
    <row r="39" spans="2:21" s="131" customFormat="1">
      <c r="B39" s="87" t="s">
        <v>404</v>
      </c>
      <c r="C39" s="84" t="s">
        <v>405</v>
      </c>
      <c r="D39" s="97" t="s">
        <v>121</v>
      </c>
      <c r="E39" s="97" t="s">
        <v>339</v>
      </c>
      <c r="F39" s="84" t="s">
        <v>394</v>
      </c>
      <c r="G39" s="97" t="s">
        <v>347</v>
      </c>
      <c r="H39" s="84" t="s">
        <v>389</v>
      </c>
      <c r="I39" s="84" t="s">
        <v>161</v>
      </c>
      <c r="J39" s="84"/>
      <c r="K39" s="94">
        <v>0.17999999999713281</v>
      </c>
      <c r="L39" s="97" t="s">
        <v>165</v>
      </c>
      <c r="M39" s="98">
        <v>5.2499999999999998E-2</v>
      </c>
      <c r="N39" s="98">
        <v>1.8500000000262827E-2</v>
      </c>
      <c r="O39" s="94">
        <v>32029.153457999997</v>
      </c>
      <c r="P39" s="96">
        <v>130.66999999999999</v>
      </c>
      <c r="Q39" s="84"/>
      <c r="R39" s="94">
        <v>41.852497133999989</v>
      </c>
      <c r="S39" s="95">
        <v>2.6690961214999998E-4</v>
      </c>
      <c r="T39" s="95">
        <f t="shared" si="0"/>
        <v>6.0107243446942313E-4</v>
      </c>
      <c r="U39" s="95">
        <f>R39/'סכום נכסי הקרן'!$C$42</f>
        <v>1.752048345194458E-4</v>
      </c>
    </row>
    <row r="40" spans="2:21" s="131" customFormat="1">
      <c r="B40" s="87" t="s">
        <v>406</v>
      </c>
      <c r="C40" s="84" t="s">
        <v>407</v>
      </c>
      <c r="D40" s="97" t="s">
        <v>121</v>
      </c>
      <c r="E40" s="97" t="s">
        <v>339</v>
      </c>
      <c r="F40" s="84" t="s">
        <v>408</v>
      </c>
      <c r="G40" s="97" t="s">
        <v>400</v>
      </c>
      <c r="H40" s="84" t="s">
        <v>389</v>
      </c>
      <c r="I40" s="84" t="s">
        <v>161</v>
      </c>
      <c r="J40" s="84"/>
      <c r="K40" s="94">
        <v>5.7699999999967897</v>
      </c>
      <c r="L40" s="97" t="s">
        <v>165</v>
      </c>
      <c r="M40" s="98">
        <v>8.3000000000000001E-3</v>
      </c>
      <c r="N40" s="98">
        <v>-3.7999999999992267E-3</v>
      </c>
      <c r="O40" s="94">
        <v>709777.36568299984</v>
      </c>
      <c r="P40" s="96">
        <v>109.24</v>
      </c>
      <c r="Q40" s="84"/>
      <c r="R40" s="94">
        <v>775.36078083699988</v>
      </c>
      <c r="S40" s="95">
        <v>4.6347601489530633E-4</v>
      </c>
      <c r="T40" s="95">
        <f t="shared" si="0"/>
        <v>1.1135488299244201E-2</v>
      </c>
      <c r="U40" s="95">
        <f>R40/'סכום נכסי הקרן'!$C$42</f>
        <v>3.245850704307341E-3</v>
      </c>
    </row>
    <row r="41" spans="2:21" s="131" customFormat="1">
      <c r="B41" s="87" t="s">
        <v>409</v>
      </c>
      <c r="C41" s="84" t="s">
        <v>410</v>
      </c>
      <c r="D41" s="97" t="s">
        <v>121</v>
      </c>
      <c r="E41" s="97" t="s">
        <v>339</v>
      </c>
      <c r="F41" s="84" t="s">
        <v>408</v>
      </c>
      <c r="G41" s="97" t="s">
        <v>400</v>
      </c>
      <c r="H41" s="84" t="s">
        <v>389</v>
      </c>
      <c r="I41" s="84" t="s">
        <v>161</v>
      </c>
      <c r="J41" s="84"/>
      <c r="K41" s="94">
        <v>9.5199999999964238</v>
      </c>
      <c r="L41" s="97" t="s">
        <v>165</v>
      </c>
      <c r="M41" s="98">
        <v>1.6500000000000001E-2</v>
      </c>
      <c r="N41" s="98">
        <v>4.0999999999780613E-3</v>
      </c>
      <c r="O41" s="94">
        <v>107251.02095400001</v>
      </c>
      <c r="P41" s="96">
        <v>114.75</v>
      </c>
      <c r="Q41" s="84"/>
      <c r="R41" s="94">
        <v>123.07054974699999</v>
      </c>
      <c r="S41" s="95">
        <v>2.5362945846546775E-4</v>
      </c>
      <c r="T41" s="95">
        <f t="shared" si="0"/>
        <v>1.7675006275270615E-3</v>
      </c>
      <c r="U41" s="95">
        <f>R41/'סכום נכסי הקרן'!$C$42</f>
        <v>5.1520355484651443E-4</v>
      </c>
    </row>
    <row r="42" spans="2:21" s="131" customFormat="1">
      <c r="B42" s="87" t="s">
        <v>411</v>
      </c>
      <c r="C42" s="84" t="s">
        <v>412</v>
      </c>
      <c r="D42" s="97" t="s">
        <v>121</v>
      </c>
      <c r="E42" s="97" t="s">
        <v>339</v>
      </c>
      <c r="F42" s="84" t="s">
        <v>413</v>
      </c>
      <c r="G42" s="97" t="s">
        <v>157</v>
      </c>
      <c r="H42" s="84" t="s">
        <v>389</v>
      </c>
      <c r="I42" s="84" t="s">
        <v>161</v>
      </c>
      <c r="J42" s="84"/>
      <c r="K42" s="94">
        <v>9.3599999999726897</v>
      </c>
      <c r="L42" s="97" t="s">
        <v>165</v>
      </c>
      <c r="M42" s="98">
        <v>2.6499999999999999E-2</v>
      </c>
      <c r="N42" s="98">
        <v>3.500000000077086E-3</v>
      </c>
      <c r="O42" s="94">
        <v>36089.355288999992</v>
      </c>
      <c r="P42" s="96">
        <v>125.81</v>
      </c>
      <c r="Q42" s="84"/>
      <c r="R42" s="94">
        <v>45.404019358999989</v>
      </c>
      <c r="S42" s="95">
        <v>3.0880988200547808E-5</v>
      </c>
      <c r="T42" s="95">
        <f t="shared" si="0"/>
        <v>6.5207828253192293E-4</v>
      </c>
      <c r="U42" s="95">
        <f>R42/'סכום נכסי הקרן'!$C$42</f>
        <v>1.9007237902296748E-4</v>
      </c>
    </row>
    <row r="43" spans="2:21" s="131" customFormat="1">
      <c r="B43" s="87" t="s">
        <v>414</v>
      </c>
      <c r="C43" s="84" t="s">
        <v>415</v>
      </c>
      <c r="D43" s="97" t="s">
        <v>121</v>
      </c>
      <c r="E43" s="97" t="s">
        <v>339</v>
      </c>
      <c r="F43" s="84" t="s">
        <v>416</v>
      </c>
      <c r="G43" s="97" t="s">
        <v>400</v>
      </c>
      <c r="H43" s="84" t="s">
        <v>401</v>
      </c>
      <c r="I43" s="84" t="s">
        <v>343</v>
      </c>
      <c r="J43" s="84"/>
      <c r="K43" s="94">
        <v>3.0100000000018134</v>
      </c>
      <c r="L43" s="97" t="s">
        <v>165</v>
      </c>
      <c r="M43" s="98">
        <v>6.5000000000000006E-3</v>
      </c>
      <c r="N43" s="98">
        <v>-2.9999999999921127E-3</v>
      </c>
      <c r="O43" s="94">
        <v>243769.97757299998</v>
      </c>
      <c r="P43" s="96">
        <v>103.7</v>
      </c>
      <c r="Q43" s="94">
        <v>0.79850355099999992</v>
      </c>
      <c r="R43" s="94">
        <v>253.587970254</v>
      </c>
      <c r="S43" s="95">
        <v>2.6912657183037104E-4</v>
      </c>
      <c r="T43" s="95">
        <f t="shared" si="0"/>
        <v>3.6419508767830517E-3</v>
      </c>
      <c r="U43" s="95">
        <f>R43/'סכום נכסי הקרן'!$C$42</f>
        <v>1.0615815400983673E-3</v>
      </c>
    </row>
    <row r="44" spans="2:21" s="131" customFormat="1">
      <c r="B44" s="87" t="s">
        <v>417</v>
      </c>
      <c r="C44" s="84" t="s">
        <v>418</v>
      </c>
      <c r="D44" s="97" t="s">
        <v>121</v>
      </c>
      <c r="E44" s="97" t="s">
        <v>339</v>
      </c>
      <c r="F44" s="84" t="s">
        <v>416</v>
      </c>
      <c r="G44" s="97" t="s">
        <v>400</v>
      </c>
      <c r="H44" s="84" t="s">
        <v>401</v>
      </c>
      <c r="I44" s="84" t="s">
        <v>343</v>
      </c>
      <c r="J44" s="84"/>
      <c r="K44" s="94">
        <v>4.18000000000157</v>
      </c>
      <c r="L44" s="97" t="s">
        <v>165</v>
      </c>
      <c r="M44" s="98">
        <v>1.6399999999999998E-2</v>
      </c>
      <c r="N44" s="98">
        <v>-2.5000000000098064E-3</v>
      </c>
      <c r="O44" s="94">
        <v>466218.58298499993</v>
      </c>
      <c r="P44" s="96">
        <v>109.36</v>
      </c>
      <c r="Q44" s="84"/>
      <c r="R44" s="94">
        <v>509.85662848999993</v>
      </c>
      <c r="S44" s="95">
        <v>4.9214518504955872E-4</v>
      </c>
      <c r="T44" s="95">
        <f t="shared" si="0"/>
        <v>7.3224009534163473E-3</v>
      </c>
      <c r="U44" s="95">
        <f>R44/'סכום נכסי הקרן'!$C$42</f>
        <v>2.1343850986292505E-3</v>
      </c>
    </row>
    <row r="45" spans="2:21" s="131" customFormat="1">
      <c r="B45" s="87" t="s">
        <v>419</v>
      </c>
      <c r="C45" s="84" t="s">
        <v>420</v>
      </c>
      <c r="D45" s="97" t="s">
        <v>121</v>
      </c>
      <c r="E45" s="97" t="s">
        <v>339</v>
      </c>
      <c r="F45" s="84" t="s">
        <v>416</v>
      </c>
      <c r="G45" s="97" t="s">
        <v>400</v>
      </c>
      <c r="H45" s="84" t="s">
        <v>389</v>
      </c>
      <c r="I45" s="84" t="s">
        <v>161</v>
      </c>
      <c r="J45" s="84"/>
      <c r="K45" s="94">
        <v>5.4000000000013983</v>
      </c>
      <c r="L45" s="97" t="s">
        <v>165</v>
      </c>
      <c r="M45" s="98">
        <v>1.34E-2</v>
      </c>
      <c r="N45" s="98">
        <v>-2.9999999999741871E-4</v>
      </c>
      <c r="O45" s="94">
        <v>1688468.3641829998</v>
      </c>
      <c r="P45" s="96">
        <v>110.13</v>
      </c>
      <c r="Q45" s="84"/>
      <c r="R45" s="94">
        <v>1859.5103106159995</v>
      </c>
      <c r="S45" s="95">
        <v>4.2218420091859771E-4</v>
      </c>
      <c r="T45" s="95">
        <f t="shared" si="0"/>
        <v>2.6705703741986719E-2</v>
      </c>
      <c r="U45" s="95">
        <f>R45/'סכום נכסי הקרן'!$C$42</f>
        <v>7.7843669689666144E-3</v>
      </c>
    </row>
    <row r="46" spans="2:21" s="131" customFormat="1">
      <c r="B46" s="87" t="s">
        <v>421</v>
      </c>
      <c r="C46" s="84" t="s">
        <v>422</v>
      </c>
      <c r="D46" s="97" t="s">
        <v>121</v>
      </c>
      <c r="E46" s="97" t="s">
        <v>339</v>
      </c>
      <c r="F46" s="84" t="s">
        <v>416</v>
      </c>
      <c r="G46" s="97" t="s">
        <v>400</v>
      </c>
      <c r="H46" s="84" t="s">
        <v>389</v>
      </c>
      <c r="I46" s="84" t="s">
        <v>161</v>
      </c>
      <c r="J46" s="84"/>
      <c r="K46" s="94">
        <v>6.4900000000040086</v>
      </c>
      <c r="L46" s="97" t="s">
        <v>165</v>
      </c>
      <c r="M46" s="98">
        <v>1.77E-2</v>
      </c>
      <c r="N46" s="98">
        <v>2.1000000000040457E-3</v>
      </c>
      <c r="O46" s="94">
        <v>485879.57484999992</v>
      </c>
      <c r="P46" s="96">
        <v>111.92</v>
      </c>
      <c r="Q46" s="84"/>
      <c r="R46" s="94">
        <v>543.79642961799993</v>
      </c>
      <c r="S46" s="95">
        <v>3.9958549165720219E-4</v>
      </c>
      <c r="T46" s="95">
        <f t="shared" si="0"/>
        <v>7.8098337301058494E-3</v>
      </c>
      <c r="U46" s="95">
        <f>R46/'סכום נכסי הקרן'!$C$42</f>
        <v>2.276465443828615E-3</v>
      </c>
    </row>
    <row r="47" spans="2:21" s="131" customFormat="1">
      <c r="B47" s="87" t="s">
        <v>423</v>
      </c>
      <c r="C47" s="84" t="s">
        <v>424</v>
      </c>
      <c r="D47" s="97" t="s">
        <v>121</v>
      </c>
      <c r="E47" s="97" t="s">
        <v>339</v>
      </c>
      <c r="F47" s="84" t="s">
        <v>416</v>
      </c>
      <c r="G47" s="97" t="s">
        <v>400</v>
      </c>
      <c r="H47" s="84" t="s">
        <v>389</v>
      </c>
      <c r="I47" s="84" t="s">
        <v>161</v>
      </c>
      <c r="J47" s="84"/>
      <c r="K47" s="94">
        <v>9.7600000000053519</v>
      </c>
      <c r="L47" s="97" t="s">
        <v>165</v>
      </c>
      <c r="M47" s="98">
        <v>2.4799999999999999E-2</v>
      </c>
      <c r="N47" s="98">
        <v>8.199999999992354E-3</v>
      </c>
      <c r="O47" s="94">
        <v>43992.008893999991</v>
      </c>
      <c r="P47" s="96">
        <v>118.92</v>
      </c>
      <c r="Q47" s="84"/>
      <c r="R47" s="94">
        <v>52.315297871999995</v>
      </c>
      <c r="S47" s="95">
        <v>1.6702675910745945E-4</v>
      </c>
      <c r="T47" s="95">
        <f t="shared" si="0"/>
        <v>7.5133589642780601E-4</v>
      </c>
      <c r="U47" s="95">
        <f>R47/'סכום נכסי הקרן'!$C$42</f>
        <v>2.1900468870836184E-4</v>
      </c>
    </row>
    <row r="48" spans="2:21" s="131" customFormat="1">
      <c r="B48" s="87" t="s">
        <v>425</v>
      </c>
      <c r="C48" s="84" t="s">
        <v>426</v>
      </c>
      <c r="D48" s="97" t="s">
        <v>121</v>
      </c>
      <c r="E48" s="97" t="s">
        <v>339</v>
      </c>
      <c r="F48" s="84" t="s">
        <v>378</v>
      </c>
      <c r="G48" s="97" t="s">
        <v>347</v>
      </c>
      <c r="H48" s="84" t="s">
        <v>389</v>
      </c>
      <c r="I48" s="84" t="s">
        <v>161</v>
      </c>
      <c r="J48" s="84"/>
      <c r="K48" s="94">
        <v>2.5800000000099121</v>
      </c>
      <c r="L48" s="97" t="s">
        <v>165</v>
      </c>
      <c r="M48" s="98">
        <v>4.2000000000000003E-2</v>
      </c>
      <c r="N48" s="98">
        <v>-4.0999999999984018E-3</v>
      </c>
      <c r="O48" s="94">
        <v>106934.14183899999</v>
      </c>
      <c r="P48" s="96">
        <v>116.99</v>
      </c>
      <c r="Q48" s="84"/>
      <c r="R48" s="94">
        <v>125.10224702199997</v>
      </c>
      <c r="S48" s="95">
        <v>1.071770049321763E-4</v>
      </c>
      <c r="T48" s="95">
        <f t="shared" si="0"/>
        <v>1.79667922643549E-3</v>
      </c>
      <c r="U48" s="95">
        <f>R48/'סכום נכסי הקרן'!$C$42</f>
        <v>5.2370873874797404E-4</v>
      </c>
    </row>
    <row r="49" spans="2:21" s="131" customFormat="1">
      <c r="B49" s="87" t="s">
        <v>427</v>
      </c>
      <c r="C49" s="84" t="s">
        <v>428</v>
      </c>
      <c r="D49" s="97" t="s">
        <v>121</v>
      </c>
      <c r="E49" s="97" t="s">
        <v>339</v>
      </c>
      <c r="F49" s="84" t="s">
        <v>378</v>
      </c>
      <c r="G49" s="97" t="s">
        <v>347</v>
      </c>
      <c r="H49" s="84" t="s">
        <v>389</v>
      </c>
      <c r="I49" s="84" t="s">
        <v>161</v>
      </c>
      <c r="J49" s="84"/>
      <c r="K49" s="94">
        <v>0.98999999999990629</v>
      </c>
      <c r="L49" s="97" t="s">
        <v>165</v>
      </c>
      <c r="M49" s="98">
        <v>4.0999999999999995E-2</v>
      </c>
      <c r="N49" s="98">
        <v>3.5000000000015618E-3</v>
      </c>
      <c r="O49" s="94">
        <v>494900.84238399996</v>
      </c>
      <c r="P49" s="96">
        <v>129.38</v>
      </c>
      <c r="Q49" s="84"/>
      <c r="R49" s="94">
        <v>640.30270589399993</v>
      </c>
      <c r="S49" s="95">
        <v>3.1760595621113999E-4</v>
      </c>
      <c r="T49" s="95">
        <f t="shared" si="0"/>
        <v>9.1958265954077932E-3</v>
      </c>
      <c r="U49" s="95">
        <f>R49/'סכום נכסי הקרן'!$C$42</f>
        <v>2.6804644241257437E-3</v>
      </c>
    </row>
    <row r="50" spans="2:21" s="131" customFormat="1">
      <c r="B50" s="87" t="s">
        <v>429</v>
      </c>
      <c r="C50" s="84" t="s">
        <v>430</v>
      </c>
      <c r="D50" s="97" t="s">
        <v>121</v>
      </c>
      <c r="E50" s="97" t="s">
        <v>339</v>
      </c>
      <c r="F50" s="84" t="s">
        <v>378</v>
      </c>
      <c r="G50" s="97" t="s">
        <v>347</v>
      </c>
      <c r="H50" s="84" t="s">
        <v>389</v>
      </c>
      <c r="I50" s="84" t="s">
        <v>161</v>
      </c>
      <c r="J50" s="84"/>
      <c r="K50" s="94">
        <v>1.6699999999987207</v>
      </c>
      <c r="L50" s="97" t="s">
        <v>165</v>
      </c>
      <c r="M50" s="98">
        <v>0.04</v>
      </c>
      <c r="N50" s="98">
        <v>-4.200000000002437E-3</v>
      </c>
      <c r="O50" s="94">
        <v>564853.23256299994</v>
      </c>
      <c r="P50" s="96">
        <v>116.21</v>
      </c>
      <c r="Q50" s="84"/>
      <c r="R50" s="94">
        <v>656.41591655199989</v>
      </c>
      <c r="S50" s="95">
        <v>1.9446415767842418E-4</v>
      </c>
      <c r="T50" s="95">
        <f t="shared" si="0"/>
        <v>9.4272394720711222E-3</v>
      </c>
      <c r="U50" s="95">
        <f>R50/'סכום נכסי הקרן'!$C$42</f>
        <v>2.7479182823238108E-3</v>
      </c>
    </row>
    <row r="51" spans="2:21" s="131" customFormat="1">
      <c r="B51" s="87" t="s">
        <v>431</v>
      </c>
      <c r="C51" s="84" t="s">
        <v>432</v>
      </c>
      <c r="D51" s="97" t="s">
        <v>121</v>
      </c>
      <c r="E51" s="97" t="s">
        <v>339</v>
      </c>
      <c r="F51" s="84" t="s">
        <v>433</v>
      </c>
      <c r="G51" s="97" t="s">
        <v>400</v>
      </c>
      <c r="H51" s="84" t="s">
        <v>434</v>
      </c>
      <c r="I51" s="84" t="s">
        <v>343</v>
      </c>
      <c r="J51" s="84"/>
      <c r="K51" s="94">
        <v>4.7999999999980529</v>
      </c>
      <c r="L51" s="97" t="s">
        <v>165</v>
      </c>
      <c r="M51" s="98">
        <v>2.3399999999999997E-2</v>
      </c>
      <c r="N51" s="98">
        <v>1.3000000000038057E-3</v>
      </c>
      <c r="O51" s="94">
        <v>999905.28451599984</v>
      </c>
      <c r="P51" s="96">
        <v>113</v>
      </c>
      <c r="Q51" s="84"/>
      <c r="R51" s="94">
        <v>1129.8929288889999</v>
      </c>
      <c r="S51" s="95">
        <v>3.023415867528062E-4</v>
      </c>
      <c r="T51" s="95">
        <f t="shared" si="0"/>
        <v>1.6227167790792928E-2</v>
      </c>
      <c r="U51" s="95">
        <f>R51/'סכום נכסי הקרן'!$C$42</f>
        <v>4.7300093706922185E-3</v>
      </c>
    </row>
    <row r="52" spans="2:21" s="131" customFormat="1">
      <c r="B52" s="87" t="s">
        <v>435</v>
      </c>
      <c r="C52" s="84" t="s">
        <v>436</v>
      </c>
      <c r="D52" s="97" t="s">
        <v>121</v>
      </c>
      <c r="E52" s="97" t="s">
        <v>339</v>
      </c>
      <c r="F52" s="84" t="s">
        <v>433</v>
      </c>
      <c r="G52" s="97" t="s">
        <v>400</v>
      </c>
      <c r="H52" s="84" t="s">
        <v>434</v>
      </c>
      <c r="I52" s="84" t="s">
        <v>343</v>
      </c>
      <c r="J52" s="84"/>
      <c r="K52" s="94">
        <v>1.8500000000026604</v>
      </c>
      <c r="L52" s="97" t="s">
        <v>165</v>
      </c>
      <c r="M52" s="98">
        <v>0.03</v>
      </c>
      <c r="N52" s="98">
        <v>-3.4999999999885999E-3</v>
      </c>
      <c r="O52" s="94">
        <v>241805.24077699997</v>
      </c>
      <c r="P52" s="96">
        <v>108.83</v>
      </c>
      <c r="Q52" s="84"/>
      <c r="R52" s="94">
        <v>263.1566493979999</v>
      </c>
      <c r="S52" s="95">
        <v>5.7429479796236257E-4</v>
      </c>
      <c r="T52" s="95">
        <f t="shared" si="0"/>
        <v>3.7793732448994921E-3</v>
      </c>
      <c r="U52" s="95">
        <f>R52/'סכום נכסי הקרן'!$C$42</f>
        <v>1.1016383816442028E-3</v>
      </c>
    </row>
    <row r="53" spans="2:21" s="131" customFormat="1">
      <c r="B53" s="87" t="s">
        <v>437</v>
      </c>
      <c r="C53" s="84" t="s">
        <v>438</v>
      </c>
      <c r="D53" s="97" t="s">
        <v>121</v>
      </c>
      <c r="E53" s="97" t="s">
        <v>339</v>
      </c>
      <c r="F53" s="84" t="s">
        <v>439</v>
      </c>
      <c r="G53" s="97" t="s">
        <v>400</v>
      </c>
      <c r="H53" s="84" t="s">
        <v>440</v>
      </c>
      <c r="I53" s="84" t="s">
        <v>161</v>
      </c>
      <c r="J53" s="84"/>
      <c r="K53" s="94">
        <v>1.7399999999987705</v>
      </c>
      <c r="L53" s="97" t="s">
        <v>165</v>
      </c>
      <c r="M53" s="98">
        <v>4.8000000000000001E-2</v>
      </c>
      <c r="N53" s="98">
        <v>-2.1999999999992768E-3</v>
      </c>
      <c r="O53" s="94">
        <v>733525.35029499989</v>
      </c>
      <c r="P53" s="96">
        <v>113.1</v>
      </c>
      <c r="Q53" s="84"/>
      <c r="R53" s="94">
        <v>829.61720542299986</v>
      </c>
      <c r="S53" s="95">
        <v>5.9948553928623554E-4</v>
      </c>
      <c r="T53" s="95">
        <f t="shared" si="0"/>
        <v>1.1914702048595859E-2</v>
      </c>
      <c r="U53" s="95">
        <f>R53/'סכום נכסי הקרן'!$C$42</f>
        <v>3.472981426299183E-3</v>
      </c>
    </row>
    <row r="54" spans="2:21" s="131" customFormat="1">
      <c r="B54" s="87" t="s">
        <v>441</v>
      </c>
      <c r="C54" s="84" t="s">
        <v>442</v>
      </c>
      <c r="D54" s="97" t="s">
        <v>121</v>
      </c>
      <c r="E54" s="97" t="s">
        <v>339</v>
      </c>
      <c r="F54" s="84" t="s">
        <v>439</v>
      </c>
      <c r="G54" s="97" t="s">
        <v>400</v>
      </c>
      <c r="H54" s="84" t="s">
        <v>440</v>
      </c>
      <c r="I54" s="84" t="s">
        <v>161</v>
      </c>
      <c r="J54" s="84"/>
      <c r="K54" s="94">
        <v>0.74999999999547917</v>
      </c>
      <c r="L54" s="97" t="s">
        <v>165</v>
      </c>
      <c r="M54" s="98">
        <v>4.9000000000000002E-2</v>
      </c>
      <c r="N54" s="98">
        <v>-2.9999999999457501E-4</v>
      </c>
      <c r="O54" s="94">
        <v>94343.819549000007</v>
      </c>
      <c r="P54" s="96">
        <v>117.23</v>
      </c>
      <c r="Q54" s="84"/>
      <c r="R54" s="94">
        <v>110.59926090199998</v>
      </c>
      <c r="S54" s="95">
        <v>4.7623443837494189E-4</v>
      </c>
      <c r="T54" s="95">
        <f t="shared" si="0"/>
        <v>1.5883918894502164E-3</v>
      </c>
      <c r="U54" s="95">
        <f>R54/'סכום נכסי הקרן'!$C$42</f>
        <v>4.6299567603496874E-4</v>
      </c>
    </row>
    <row r="55" spans="2:21" s="131" customFormat="1">
      <c r="B55" s="87" t="s">
        <v>443</v>
      </c>
      <c r="C55" s="84" t="s">
        <v>444</v>
      </c>
      <c r="D55" s="97" t="s">
        <v>121</v>
      </c>
      <c r="E55" s="97" t="s">
        <v>339</v>
      </c>
      <c r="F55" s="84" t="s">
        <v>439</v>
      </c>
      <c r="G55" s="97" t="s">
        <v>400</v>
      </c>
      <c r="H55" s="84" t="s">
        <v>440</v>
      </c>
      <c r="I55" s="84" t="s">
        <v>161</v>
      </c>
      <c r="J55" s="84"/>
      <c r="K55" s="94">
        <v>5.6599999999978836</v>
      </c>
      <c r="L55" s="97" t="s">
        <v>165</v>
      </c>
      <c r="M55" s="98">
        <v>3.2000000000000001E-2</v>
      </c>
      <c r="N55" s="98">
        <v>1.6999999999947105E-3</v>
      </c>
      <c r="O55" s="94">
        <v>789591.80478299991</v>
      </c>
      <c r="P55" s="96">
        <v>119.72</v>
      </c>
      <c r="Q55" s="84"/>
      <c r="R55" s="94">
        <v>945.29932414999985</v>
      </c>
      <c r="S55" s="95">
        <v>4.7865188309461108E-4</v>
      </c>
      <c r="T55" s="95">
        <f t="shared" si="0"/>
        <v>1.357609234760699E-2</v>
      </c>
      <c r="U55" s="95">
        <f>R55/'סכום נכסי הקרן'!$C$42</f>
        <v>3.9572551938483504E-3</v>
      </c>
    </row>
    <row r="56" spans="2:21" s="131" customFormat="1">
      <c r="B56" s="87" t="s">
        <v>445</v>
      </c>
      <c r="C56" s="84" t="s">
        <v>446</v>
      </c>
      <c r="D56" s="97" t="s">
        <v>121</v>
      </c>
      <c r="E56" s="97" t="s">
        <v>339</v>
      </c>
      <c r="F56" s="84" t="s">
        <v>439</v>
      </c>
      <c r="G56" s="97" t="s">
        <v>400</v>
      </c>
      <c r="H56" s="84" t="s">
        <v>440</v>
      </c>
      <c r="I56" s="84" t="s">
        <v>161</v>
      </c>
      <c r="J56" s="84"/>
      <c r="K56" s="94">
        <v>8.0899999999914662</v>
      </c>
      <c r="L56" s="97" t="s">
        <v>165</v>
      </c>
      <c r="M56" s="98">
        <v>1.1399999999999999E-2</v>
      </c>
      <c r="N56" s="98">
        <v>7.3999999999909034E-3</v>
      </c>
      <c r="O56" s="94">
        <v>363656.99946199992</v>
      </c>
      <c r="P56" s="96">
        <v>102.5</v>
      </c>
      <c r="Q56" s="94">
        <v>1.0790151559999999</v>
      </c>
      <c r="R56" s="94">
        <v>373.82744009099997</v>
      </c>
      <c r="S56" s="95">
        <v>3.6261122867849117E-4</v>
      </c>
      <c r="T56" s="95">
        <f t="shared" si="0"/>
        <v>5.3687924227687452E-3</v>
      </c>
      <c r="U56" s="95">
        <f>R56/'סכום נכסי הקרן'!$C$42</f>
        <v>1.5649334989563612E-3</v>
      </c>
    </row>
    <row r="57" spans="2:21" s="131" customFormat="1">
      <c r="B57" s="87" t="s">
        <v>447</v>
      </c>
      <c r="C57" s="84" t="s">
        <v>448</v>
      </c>
      <c r="D57" s="97" t="s">
        <v>121</v>
      </c>
      <c r="E57" s="97" t="s">
        <v>339</v>
      </c>
      <c r="F57" s="84" t="s">
        <v>449</v>
      </c>
      <c r="G57" s="97" t="s">
        <v>400</v>
      </c>
      <c r="H57" s="84" t="s">
        <v>434</v>
      </c>
      <c r="I57" s="84" t="s">
        <v>343</v>
      </c>
      <c r="J57" s="84"/>
      <c r="K57" s="94">
        <v>6.1900000000045585</v>
      </c>
      <c r="L57" s="97" t="s">
        <v>165</v>
      </c>
      <c r="M57" s="98">
        <v>1.8200000000000001E-2</v>
      </c>
      <c r="N57" s="98">
        <v>2.3999999999916497E-3</v>
      </c>
      <c r="O57" s="94">
        <v>257160.94464099995</v>
      </c>
      <c r="P57" s="96">
        <v>111.76</v>
      </c>
      <c r="Q57" s="84"/>
      <c r="R57" s="94">
        <v>287.40306795099997</v>
      </c>
      <c r="S57" s="95">
        <v>5.4368064406131063E-4</v>
      </c>
      <c r="T57" s="95">
        <f t="shared" si="0"/>
        <v>4.1275927019167151E-3</v>
      </c>
      <c r="U57" s="95">
        <f>R57/'סכום נכסי הקרן'!$C$42</f>
        <v>1.2031398461008255E-3</v>
      </c>
    </row>
    <row r="58" spans="2:21" s="131" customFormat="1">
      <c r="B58" s="87" t="s">
        <v>450</v>
      </c>
      <c r="C58" s="84" t="s">
        <v>451</v>
      </c>
      <c r="D58" s="97" t="s">
        <v>121</v>
      </c>
      <c r="E58" s="97" t="s">
        <v>339</v>
      </c>
      <c r="F58" s="84" t="s">
        <v>449</v>
      </c>
      <c r="G58" s="97" t="s">
        <v>400</v>
      </c>
      <c r="H58" s="84" t="s">
        <v>434</v>
      </c>
      <c r="I58" s="84" t="s">
        <v>343</v>
      </c>
      <c r="J58" s="84"/>
      <c r="K58" s="94">
        <v>7.3200000003615457</v>
      </c>
      <c r="L58" s="97" t="s">
        <v>165</v>
      </c>
      <c r="M58" s="98">
        <v>7.8000000000000005E-3</v>
      </c>
      <c r="N58" s="98">
        <v>5.7999999994615258E-3</v>
      </c>
      <c r="O58" s="94">
        <v>5123.5379999999986</v>
      </c>
      <c r="P58" s="96">
        <v>101.49</v>
      </c>
      <c r="Q58" s="84"/>
      <c r="R58" s="94">
        <v>5.1998787159999988</v>
      </c>
      <c r="S58" s="95">
        <v>1.0674037499999997E-5</v>
      </c>
      <c r="T58" s="95">
        <f t="shared" si="0"/>
        <v>7.4679026887329285E-5</v>
      </c>
      <c r="U58" s="95">
        <f>R58/'סכום נכסי הקרן'!$C$42</f>
        <v>2.1767969711366571E-5</v>
      </c>
    </row>
    <row r="59" spans="2:21" s="131" customFormat="1">
      <c r="B59" s="87" t="s">
        <v>452</v>
      </c>
      <c r="C59" s="84" t="s">
        <v>453</v>
      </c>
      <c r="D59" s="97" t="s">
        <v>121</v>
      </c>
      <c r="E59" s="97" t="s">
        <v>339</v>
      </c>
      <c r="F59" s="84" t="s">
        <v>353</v>
      </c>
      <c r="G59" s="97" t="s">
        <v>347</v>
      </c>
      <c r="H59" s="84" t="s">
        <v>440</v>
      </c>
      <c r="I59" s="84" t="s">
        <v>161</v>
      </c>
      <c r="J59" s="84"/>
      <c r="K59" s="94">
        <v>1.3199999999994247</v>
      </c>
      <c r="L59" s="97" t="s">
        <v>165</v>
      </c>
      <c r="M59" s="98">
        <v>0.04</v>
      </c>
      <c r="N59" s="98">
        <v>-1.9999999999999996E-3</v>
      </c>
      <c r="O59" s="94">
        <v>599716.55525699991</v>
      </c>
      <c r="P59" s="96">
        <v>116.04</v>
      </c>
      <c r="Q59" s="84"/>
      <c r="R59" s="94">
        <v>695.9110917700001</v>
      </c>
      <c r="S59" s="95">
        <v>4.44235143501694E-4</v>
      </c>
      <c r="T59" s="95">
        <f t="shared" si="0"/>
        <v>9.9944567886884016E-3</v>
      </c>
      <c r="U59" s="95">
        <f>R59/'סכום נכסי הקרן'!$C$42</f>
        <v>2.9132547882013732E-3</v>
      </c>
    </row>
    <row r="60" spans="2:21" s="131" customFormat="1">
      <c r="B60" s="87" t="s">
        <v>454</v>
      </c>
      <c r="C60" s="84" t="s">
        <v>455</v>
      </c>
      <c r="D60" s="97" t="s">
        <v>121</v>
      </c>
      <c r="E60" s="97" t="s">
        <v>339</v>
      </c>
      <c r="F60" s="84" t="s">
        <v>456</v>
      </c>
      <c r="G60" s="97" t="s">
        <v>400</v>
      </c>
      <c r="H60" s="84" t="s">
        <v>440</v>
      </c>
      <c r="I60" s="84" t="s">
        <v>161</v>
      </c>
      <c r="J60" s="84"/>
      <c r="K60" s="94">
        <v>3.7999999999984309</v>
      </c>
      <c r="L60" s="97" t="s">
        <v>165</v>
      </c>
      <c r="M60" s="98">
        <v>4.7500000000000001E-2</v>
      </c>
      <c r="N60" s="98">
        <v>-2.09999999999686E-3</v>
      </c>
      <c r="O60" s="94">
        <v>868583.07392799994</v>
      </c>
      <c r="P60" s="96">
        <v>146.69999999999999</v>
      </c>
      <c r="Q60" s="94"/>
      <c r="R60" s="94">
        <v>1274.21136484</v>
      </c>
      <c r="S60" s="95">
        <v>4.6022522859534782E-4</v>
      </c>
      <c r="T60" s="95">
        <f t="shared" si="0"/>
        <v>1.8299823894397719E-2</v>
      </c>
      <c r="U60" s="95">
        <f>R60/'סכום נכסי הקרן'!$C$42</f>
        <v>5.3341617969606863E-3</v>
      </c>
    </row>
    <row r="61" spans="2:21" s="131" customFormat="1">
      <c r="B61" s="87" t="s">
        <v>457</v>
      </c>
      <c r="C61" s="84" t="s">
        <v>458</v>
      </c>
      <c r="D61" s="97" t="s">
        <v>121</v>
      </c>
      <c r="E61" s="97" t="s">
        <v>339</v>
      </c>
      <c r="F61" s="84" t="s">
        <v>459</v>
      </c>
      <c r="G61" s="97" t="s">
        <v>347</v>
      </c>
      <c r="H61" s="84" t="s">
        <v>434</v>
      </c>
      <c r="I61" s="84" t="s">
        <v>343</v>
      </c>
      <c r="J61" s="84"/>
      <c r="K61" s="94">
        <v>2.3100000000096861</v>
      </c>
      <c r="L61" s="97" t="s">
        <v>165</v>
      </c>
      <c r="M61" s="98">
        <v>3.5499999999999997E-2</v>
      </c>
      <c r="N61" s="98">
        <v>-4.3E-3</v>
      </c>
      <c r="O61" s="94">
        <v>86318.286066000001</v>
      </c>
      <c r="P61" s="96">
        <v>119.6</v>
      </c>
      <c r="Q61" s="84"/>
      <c r="R61" s="94">
        <v>103.23666709999999</v>
      </c>
      <c r="S61" s="95">
        <v>3.0277184876540504E-4</v>
      </c>
      <c r="T61" s="95">
        <f t="shared" si="0"/>
        <v>1.4826526269539175E-3</v>
      </c>
      <c r="U61" s="95">
        <f>R61/'סכום נכסי הקרן'!$C$42</f>
        <v>4.3217404967936068E-4</v>
      </c>
    </row>
    <row r="62" spans="2:21" s="131" customFormat="1">
      <c r="B62" s="87" t="s">
        <v>460</v>
      </c>
      <c r="C62" s="84" t="s">
        <v>461</v>
      </c>
      <c r="D62" s="97" t="s">
        <v>121</v>
      </c>
      <c r="E62" s="97" t="s">
        <v>339</v>
      </c>
      <c r="F62" s="84" t="s">
        <v>459</v>
      </c>
      <c r="G62" s="97" t="s">
        <v>347</v>
      </c>
      <c r="H62" s="84" t="s">
        <v>434</v>
      </c>
      <c r="I62" s="84" t="s">
        <v>343</v>
      </c>
      <c r="J62" s="84"/>
      <c r="K62" s="94">
        <v>0.68999999999488681</v>
      </c>
      <c r="L62" s="97" t="s">
        <v>165</v>
      </c>
      <c r="M62" s="98">
        <v>4.6500000000000007E-2</v>
      </c>
      <c r="N62" s="98">
        <v>-1.2000000000331676E-3</v>
      </c>
      <c r="O62" s="94">
        <v>55717.247000999989</v>
      </c>
      <c r="P62" s="96">
        <v>129.87</v>
      </c>
      <c r="Q62" s="84"/>
      <c r="R62" s="94">
        <v>72.359988572999981</v>
      </c>
      <c r="S62" s="95">
        <v>1.4027000798463282E-4</v>
      </c>
      <c r="T62" s="95">
        <f t="shared" si="0"/>
        <v>1.0392114561407987E-3</v>
      </c>
      <c r="U62" s="95">
        <f>R62/'סכום נכסי הקרן'!$C$42</f>
        <v>3.0291668817682772E-4</v>
      </c>
    </row>
    <row r="63" spans="2:21" s="131" customFormat="1">
      <c r="B63" s="87" t="s">
        <v>462</v>
      </c>
      <c r="C63" s="84" t="s">
        <v>463</v>
      </c>
      <c r="D63" s="97" t="s">
        <v>121</v>
      </c>
      <c r="E63" s="97" t="s">
        <v>339</v>
      </c>
      <c r="F63" s="84" t="s">
        <v>459</v>
      </c>
      <c r="G63" s="97" t="s">
        <v>347</v>
      </c>
      <c r="H63" s="84" t="s">
        <v>434</v>
      </c>
      <c r="I63" s="84" t="s">
        <v>343</v>
      </c>
      <c r="J63" s="84"/>
      <c r="K63" s="94">
        <v>5.2499999999939524</v>
      </c>
      <c r="L63" s="97" t="s">
        <v>165</v>
      </c>
      <c r="M63" s="98">
        <v>1.4999999999999999E-2</v>
      </c>
      <c r="N63" s="98">
        <v>-3.1999999999834123E-3</v>
      </c>
      <c r="O63" s="94">
        <v>259015.63935699995</v>
      </c>
      <c r="P63" s="96">
        <v>111.72</v>
      </c>
      <c r="Q63" s="84"/>
      <c r="R63" s="94">
        <v>289.37227443899997</v>
      </c>
      <c r="S63" s="95">
        <v>5.0670525291606513E-4</v>
      </c>
      <c r="T63" s="95">
        <f t="shared" si="0"/>
        <v>4.155873827745969E-3</v>
      </c>
      <c r="U63" s="95">
        <f>R63/'סכום נכסי הקרן'!$C$42</f>
        <v>1.2113834282163685E-3</v>
      </c>
    </row>
    <row r="64" spans="2:21" s="131" customFormat="1">
      <c r="B64" s="87" t="s">
        <v>464</v>
      </c>
      <c r="C64" s="84" t="s">
        <v>465</v>
      </c>
      <c r="D64" s="97" t="s">
        <v>121</v>
      </c>
      <c r="E64" s="97" t="s">
        <v>339</v>
      </c>
      <c r="F64" s="84" t="s">
        <v>466</v>
      </c>
      <c r="G64" s="97" t="s">
        <v>467</v>
      </c>
      <c r="H64" s="84" t="s">
        <v>434</v>
      </c>
      <c r="I64" s="84" t="s">
        <v>343</v>
      </c>
      <c r="J64" s="84"/>
      <c r="K64" s="94">
        <v>1.2299999999566462</v>
      </c>
      <c r="L64" s="97" t="s">
        <v>165</v>
      </c>
      <c r="M64" s="98">
        <v>4.6500000000000007E-2</v>
      </c>
      <c r="N64" s="98">
        <v>-2.9999999956646027E-4</v>
      </c>
      <c r="O64" s="94">
        <v>1735.7162879999998</v>
      </c>
      <c r="P64" s="96">
        <v>132.88999999999999</v>
      </c>
      <c r="Q64" s="84"/>
      <c r="R64" s="94">
        <v>2.3065934699999993</v>
      </c>
      <c r="S64" s="95">
        <v>2.2838914935268065E-5</v>
      </c>
      <c r="T64" s="95">
        <f t="shared" si="0"/>
        <v>3.312657182450102E-5</v>
      </c>
      <c r="U64" s="95">
        <f>R64/'סכום נכסי הקרן'!$C$42</f>
        <v>9.6559669049396185E-6</v>
      </c>
    </row>
    <row r="65" spans="2:21" s="131" customFormat="1">
      <c r="B65" s="87" t="s">
        <v>468</v>
      </c>
      <c r="C65" s="84" t="s">
        <v>469</v>
      </c>
      <c r="D65" s="97" t="s">
        <v>121</v>
      </c>
      <c r="E65" s="97" t="s">
        <v>339</v>
      </c>
      <c r="F65" s="84" t="s">
        <v>470</v>
      </c>
      <c r="G65" s="97" t="s">
        <v>471</v>
      </c>
      <c r="H65" s="84" t="s">
        <v>440</v>
      </c>
      <c r="I65" s="84" t="s">
        <v>161</v>
      </c>
      <c r="J65" s="84"/>
      <c r="K65" s="94">
        <v>7.3000000000012246</v>
      </c>
      <c r="L65" s="97" t="s">
        <v>165</v>
      </c>
      <c r="M65" s="98">
        <v>3.85E-2</v>
      </c>
      <c r="N65" s="98">
        <v>3.8999999999987751E-3</v>
      </c>
      <c r="O65" s="94">
        <v>618258.00763799984</v>
      </c>
      <c r="P65" s="96">
        <v>132.08000000000001</v>
      </c>
      <c r="Q65" s="84"/>
      <c r="R65" s="94">
        <v>816.59520458999987</v>
      </c>
      <c r="S65" s="95">
        <v>2.295189449568506E-4</v>
      </c>
      <c r="T65" s="95">
        <f t="shared" si="0"/>
        <v>1.1727684157708876E-2</v>
      </c>
      <c r="U65" s="95">
        <f>R65/'סכום נכסי הקרן'!$C$42</f>
        <v>3.4184681318175404E-3</v>
      </c>
    </row>
    <row r="66" spans="2:21" s="131" customFormat="1">
      <c r="B66" s="87" t="s">
        <v>472</v>
      </c>
      <c r="C66" s="84" t="s">
        <v>473</v>
      </c>
      <c r="D66" s="97" t="s">
        <v>121</v>
      </c>
      <c r="E66" s="97" t="s">
        <v>339</v>
      </c>
      <c r="F66" s="84" t="s">
        <v>470</v>
      </c>
      <c r="G66" s="97" t="s">
        <v>471</v>
      </c>
      <c r="H66" s="84" t="s">
        <v>440</v>
      </c>
      <c r="I66" s="84" t="s">
        <v>161</v>
      </c>
      <c r="J66" s="84"/>
      <c r="K66" s="94">
        <v>5.3500000000010628</v>
      </c>
      <c r="L66" s="97" t="s">
        <v>165</v>
      </c>
      <c r="M66" s="98">
        <v>4.4999999999999998E-2</v>
      </c>
      <c r="N66" s="98">
        <v>-5.0000000000000001E-4</v>
      </c>
      <c r="O66" s="94">
        <v>1446298.418751</v>
      </c>
      <c r="P66" s="96">
        <v>130.13999999999999</v>
      </c>
      <c r="Q66" s="84"/>
      <c r="R66" s="94">
        <v>1882.2128226199998</v>
      </c>
      <c r="S66" s="95">
        <v>4.9169005126357989E-4</v>
      </c>
      <c r="T66" s="95">
        <f t="shared" si="0"/>
        <v>2.703175009747957E-2</v>
      </c>
      <c r="U66" s="95">
        <f>R66/'סכום נכסי הקרן'!$C$42</f>
        <v>7.879405261331858E-3</v>
      </c>
    </row>
    <row r="67" spans="2:21" s="131" customFormat="1">
      <c r="B67" s="87" t="s">
        <v>474</v>
      </c>
      <c r="C67" s="84" t="s">
        <v>475</v>
      </c>
      <c r="D67" s="97" t="s">
        <v>121</v>
      </c>
      <c r="E67" s="97" t="s">
        <v>339</v>
      </c>
      <c r="F67" s="84" t="s">
        <v>470</v>
      </c>
      <c r="G67" s="97" t="s">
        <v>471</v>
      </c>
      <c r="H67" s="84" t="s">
        <v>440</v>
      </c>
      <c r="I67" s="84" t="s">
        <v>161</v>
      </c>
      <c r="J67" s="84"/>
      <c r="K67" s="94">
        <v>10.040000000005369</v>
      </c>
      <c r="L67" s="97" t="s">
        <v>165</v>
      </c>
      <c r="M67" s="98">
        <v>2.3900000000000001E-2</v>
      </c>
      <c r="N67" s="98">
        <v>8.1999999999980821E-3</v>
      </c>
      <c r="O67" s="94">
        <v>532847.95199999993</v>
      </c>
      <c r="P67" s="96">
        <v>117.44</v>
      </c>
      <c r="Q67" s="84"/>
      <c r="R67" s="94">
        <v>625.77664986599996</v>
      </c>
      <c r="S67" s="95">
        <v>4.2999732244233926E-4</v>
      </c>
      <c r="T67" s="95">
        <f t="shared" si="0"/>
        <v>8.9872079356409871E-3</v>
      </c>
      <c r="U67" s="95">
        <f>R67/'סכום נכסי הקרן'!$C$42</f>
        <v>2.6196547851104791E-3</v>
      </c>
    </row>
    <row r="68" spans="2:21" s="131" customFormat="1">
      <c r="B68" s="87" t="s">
        <v>476</v>
      </c>
      <c r="C68" s="84" t="s">
        <v>477</v>
      </c>
      <c r="D68" s="97" t="s">
        <v>121</v>
      </c>
      <c r="E68" s="97" t="s">
        <v>339</v>
      </c>
      <c r="F68" s="84" t="s">
        <v>478</v>
      </c>
      <c r="G68" s="97" t="s">
        <v>400</v>
      </c>
      <c r="H68" s="84" t="s">
        <v>440</v>
      </c>
      <c r="I68" s="84" t="s">
        <v>161</v>
      </c>
      <c r="J68" s="84"/>
      <c r="K68" s="94">
        <v>5.7499999999850173</v>
      </c>
      <c r="L68" s="97" t="s">
        <v>165</v>
      </c>
      <c r="M68" s="98">
        <v>1.5800000000000002E-2</v>
      </c>
      <c r="N68" s="98">
        <v>2.1999999999700341E-3</v>
      </c>
      <c r="O68" s="94">
        <v>181037.24309099998</v>
      </c>
      <c r="P68" s="96">
        <v>110.6</v>
      </c>
      <c r="Q68" s="84"/>
      <c r="R68" s="94">
        <v>200.22718547999995</v>
      </c>
      <c r="S68" s="95">
        <v>3.9997682355075181E-4</v>
      </c>
      <c r="T68" s="95">
        <f t="shared" si="0"/>
        <v>2.8756000254439758E-3</v>
      </c>
      <c r="U68" s="95">
        <f>R68/'סכום נכסי הקרן'!$C$42</f>
        <v>8.3820018638311954E-4</v>
      </c>
    </row>
    <row r="69" spans="2:21" s="131" customFormat="1">
      <c r="B69" s="87" t="s">
        <v>479</v>
      </c>
      <c r="C69" s="84" t="s">
        <v>480</v>
      </c>
      <c r="D69" s="97" t="s">
        <v>121</v>
      </c>
      <c r="E69" s="97" t="s">
        <v>339</v>
      </c>
      <c r="F69" s="84" t="s">
        <v>478</v>
      </c>
      <c r="G69" s="97" t="s">
        <v>400</v>
      </c>
      <c r="H69" s="84" t="s">
        <v>440</v>
      </c>
      <c r="I69" s="84" t="s">
        <v>161</v>
      </c>
      <c r="J69" s="84"/>
      <c r="K69" s="94">
        <v>8.7000000000078881</v>
      </c>
      <c r="L69" s="97" t="s">
        <v>165</v>
      </c>
      <c r="M69" s="98">
        <v>8.3999999999999995E-3</v>
      </c>
      <c r="N69" s="98">
        <v>8.5000000000065735E-3</v>
      </c>
      <c r="O69" s="94">
        <v>152240.80813199998</v>
      </c>
      <c r="P69" s="96">
        <v>99.91</v>
      </c>
      <c r="Q69" s="84"/>
      <c r="R69" s="94">
        <v>152.10378661399997</v>
      </c>
      <c r="S69" s="95">
        <v>6.0896323252799991E-4</v>
      </c>
      <c r="T69" s="95">
        <f t="shared" si="0"/>
        <v>2.1844668675175122E-3</v>
      </c>
      <c r="U69" s="95">
        <f>R69/'סכום נכסי הקרן'!$C$42</f>
        <v>6.3674381669899635E-4</v>
      </c>
    </row>
    <row r="70" spans="2:21" s="131" customFormat="1">
      <c r="B70" s="87" t="s">
        <v>481</v>
      </c>
      <c r="C70" s="84" t="s">
        <v>482</v>
      </c>
      <c r="D70" s="97" t="s">
        <v>121</v>
      </c>
      <c r="E70" s="97" t="s">
        <v>339</v>
      </c>
      <c r="F70" s="84" t="s">
        <v>483</v>
      </c>
      <c r="G70" s="97" t="s">
        <v>467</v>
      </c>
      <c r="H70" s="84" t="s">
        <v>440</v>
      </c>
      <c r="I70" s="84" t="s">
        <v>161</v>
      </c>
      <c r="J70" s="84"/>
      <c r="K70" s="94">
        <v>1.1700000000644191</v>
      </c>
      <c r="L70" s="97" t="s">
        <v>165</v>
      </c>
      <c r="M70" s="98">
        <v>4.8899999999999999E-2</v>
      </c>
      <c r="N70" s="98">
        <v>0</v>
      </c>
      <c r="O70" s="94">
        <v>2291.7181739999996</v>
      </c>
      <c r="P70" s="96">
        <v>128.69999999999999</v>
      </c>
      <c r="Q70" s="84"/>
      <c r="R70" s="94">
        <v>2.9494410929999995</v>
      </c>
      <c r="S70" s="95">
        <v>6.1578800368927085E-5</v>
      </c>
      <c r="T70" s="95">
        <f t="shared" si="0"/>
        <v>4.2358947721030054E-5</v>
      </c>
      <c r="U70" s="95">
        <f>R70/'סכום נכסי הקרן'!$C$42</f>
        <v>1.2347084977257365E-5</v>
      </c>
    </row>
    <row r="71" spans="2:21" s="131" customFormat="1">
      <c r="B71" s="87" t="s">
        <v>484</v>
      </c>
      <c r="C71" s="84" t="s">
        <v>485</v>
      </c>
      <c r="D71" s="97" t="s">
        <v>121</v>
      </c>
      <c r="E71" s="97" t="s">
        <v>339</v>
      </c>
      <c r="F71" s="84" t="s">
        <v>353</v>
      </c>
      <c r="G71" s="97" t="s">
        <v>347</v>
      </c>
      <c r="H71" s="84" t="s">
        <v>434</v>
      </c>
      <c r="I71" s="84" t="s">
        <v>343</v>
      </c>
      <c r="J71" s="84"/>
      <c r="K71" s="94">
        <v>3.7300000000033013</v>
      </c>
      <c r="L71" s="97" t="s">
        <v>165</v>
      </c>
      <c r="M71" s="98">
        <v>1.6399999999999998E-2</v>
      </c>
      <c r="N71" s="98">
        <v>7.7000000000013759E-3</v>
      </c>
      <c r="O71" s="94">
        <f>278474.064/50000</f>
        <v>5.5694812800000006</v>
      </c>
      <c r="P71" s="96">
        <v>5220000</v>
      </c>
      <c r="Q71" s="84"/>
      <c r="R71" s="94">
        <v>290.72692644799997</v>
      </c>
      <c r="S71" s="95">
        <f>2268.44301075269%/50000</f>
        <v>4.5368860215053798E-4</v>
      </c>
      <c r="T71" s="95">
        <f t="shared" si="0"/>
        <v>4.1753289149370999E-3</v>
      </c>
      <c r="U71" s="95">
        <f>R71/'סכום נכסי הקרן'!$C$42</f>
        <v>1.2170543343108932E-3</v>
      </c>
    </row>
    <row r="72" spans="2:21" s="131" customFormat="1">
      <c r="B72" s="87" t="s">
        <v>486</v>
      </c>
      <c r="C72" s="84" t="s">
        <v>487</v>
      </c>
      <c r="D72" s="97" t="s">
        <v>121</v>
      </c>
      <c r="E72" s="97" t="s">
        <v>339</v>
      </c>
      <c r="F72" s="84" t="s">
        <v>353</v>
      </c>
      <c r="G72" s="97" t="s">
        <v>347</v>
      </c>
      <c r="H72" s="84" t="s">
        <v>434</v>
      </c>
      <c r="I72" s="84" t="s">
        <v>343</v>
      </c>
      <c r="J72" s="84"/>
      <c r="K72" s="94">
        <v>7.8900000000113666</v>
      </c>
      <c r="L72" s="97" t="s">
        <v>165</v>
      </c>
      <c r="M72" s="98">
        <v>2.7799999999999998E-2</v>
      </c>
      <c r="N72" s="98">
        <v>1.8200000000013782E-2</v>
      </c>
      <c r="O72" s="94">
        <f>106326.4608/50000</f>
        <v>2.1265292160000002</v>
      </c>
      <c r="P72" s="96">
        <v>5461001</v>
      </c>
      <c r="Q72" s="84"/>
      <c r="R72" s="94">
        <v>116.12978351199997</v>
      </c>
      <c r="S72" s="95">
        <f>2542.4787374462%/50000</f>
        <v>5.0849574748923997E-4</v>
      </c>
      <c r="T72" s="95">
        <f t="shared" si="0"/>
        <v>1.6678195202182822E-3</v>
      </c>
      <c r="U72" s="95">
        <f>R72/'סכום נכסי הקרן'!$C$42</f>
        <v>4.8614780231285171E-4</v>
      </c>
    </row>
    <row r="73" spans="2:21" s="131" customFormat="1">
      <c r="B73" s="87" t="s">
        <v>488</v>
      </c>
      <c r="C73" s="84" t="s">
        <v>489</v>
      </c>
      <c r="D73" s="97" t="s">
        <v>121</v>
      </c>
      <c r="E73" s="97" t="s">
        <v>339</v>
      </c>
      <c r="F73" s="84" t="s">
        <v>353</v>
      </c>
      <c r="G73" s="97" t="s">
        <v>347</v>
      </c>
      <c r="H73" s="84" t="s">
        <v>434</v>
      </c>
      <c r="I73" s="84" t="s">
        <v>343</v>
      </c>
      <c r="J73" s="84"/>
      <c r="K73" s="94">
        <v>5.0899999999795913</v>
      </c>
      <c r="L73" s="97" t="s">
        <v>165</v>
      </c>
      <c r="M73" s="98">
        <v>2.4199999999999999E-2</v>
      </c>
      <c r="N73" s="98">
        <v>1.319999999992225E-2</v>
      </c>
      <c r="O73" s="94">
        <f>133183.248/50000</f>
        <v>2.6636649599999997</v>
      </c>
      <c r="P73" s="96">
        <v>5408000</v>
      </c>
      <c r="Q73" s="84"/>
      <c r="R73" s="94">
        <v>144.05100856599998</v>
      </c>
      <c r="S73" s="95">
        <f>462.072816847656%/50000</f>
        <v>9.2414563369531188E-5</v>
      </c>
      <c r="T73" s="95">
        <f t="shared" si="0"/>
        <v>2.0688153953949289E-3</v>
      </c>
      <c r="U73" s="95">
        <f>R73/'סכום נכסי הקרן'!$C$42</f>
        <v>6.030329095384414E-4</v>
      </c>
    </row>
    <row r="74" spans="2:21" s="131" customFormat="1">
      <c r="B74" s="87" t="s">
        <v>490</v>
      </c>
      <c r="C74" s="84" t="s">
        <v>491</v>
      </c>
      <c r="D74" s="97" t="s">
        <v>121</v>
      </c>
      <c r="E74" s="97" t="s">
        <v>339</v>
      </c>
      <c r="F74" s="84" t="s">
        <v>353</v>
      </c>
      <c r="G74" s="97" t="s">
        <v>347</v>
      </c>
      <c r="H74" s="84" t="s">
        <v>434</v>
      </c>
      <c r="I74" s="84" t="s">
        <v>343</v>
      </c>
      <c r="J74" s="84"/>
      <c r="K74" s="94">
        <v>4.8099999999972214</v>
      </c>
      <c r="L74" s="97" t="s">
        <v>165</v>
      </c>
      <c r="M74" s="98">
        <v>1.95E-2</v>
      </c>
      <c r="N74" s="98">
        <v>1.3199999999984122E-2</v>
      </c>
      <c r="O74" s="94">
        <f>220687.944/50000</f>
        <v>4.4137588799999996</v>
      </c>
      <c r="P74" s="96">
        <v>5136349</v>
      </c>
      <c r="Q74" s="84"/>
      <c r="R74" s="94">
        <v>226.70608182299992</v>
      </c>
      <c r="S74" s="95">
        <f>889.189508038196%/50000</f>
        <v>1.7783790160763921E-4</v>
      </c>
      <c r="T74" s="95">
        <f t="shared" si="0"/>
        <v>3.255881628140053E-3</v>
      </c>
      <c r="U74" s="95">
        <f>R74/'סכום נכסי הקרן'!$C$42</f>
        <v>9.4904735130088656E-4</v>
      </c>
    </row>
    <row r="75" spans="2:21" s="131" customFormat="1">
      <c r="B75" s="87" t="s">
        <v>492</v>
      </c>
      <c r="C75" s="84" t="s">
        <v>493</v>
      </c>
      <c r="D75" s="97" t="s">
        <v>121</v>
      </c>
      <c r="E75" s="97" t="s">
        <v>339</v>
      </c>
      <c r="F75" s="84" t="s">
        <v>353</v>
      </c>
      <c r="G75" s="97" t="s">
        <v>347</v>
      </c>
      <c r="H75" s="84" t="s">
        <v>440</v>
      </c>
      <c r="I75" s="84" t="s">
        <v>161</v>
      </c>
      <c r="J75" s="84"/>
      <c r="K75" s="94">
        <v>0.85000000000181986</v>
      </c>
      <c r="L75" s="97" t="s">
        <v>165</v>
      </c>
      <c r="M75" s="98">
        <v>0.05</v>
      </c>
      <c r="N75" s="98">
        <v>4.2000000000036401E-3</v>
      </c>
      <c r="O75" s="94">
        <v>378257.62039099989</v>
      </c>
      <c r="P75" s="96">
        <v>116.22</v>
      </c>
      <c r="Q75" s="84"/>
      <c r="R75" s="94">
        <v>439.61101875199995</v>
      </c>
      <c r="S75" s="95">
        <v>3.7825799864899852E-4</v>
      </c>
      <c r="T75" s="95">
        <f t="shared" si="0"/>
        <v>6.3135555428110168E-3</v>
      </c>
      <c r="U75" s="95">
        <f>R75/'סכום נכסי הקרן'!$C$42</f>
        <v>1.8403197196756578E-3</v>
      </c>
    </row>
    <row r="76" spans="2:21" s="131" customFormat="1">
      <c r="B76" s="87" t="s">
        <v>494</v>
      </c>
      <c r="C76" s="84" t="s">
        <v>495</v>
      </c>
      <c r="D76" s="97" t="s">
        <v>121</v>
      </c>
      <c r="E76" s="97" t="s">
        <v>339</v>
      </c>
      <c r="F76" s="84" t="s">
        <v>496</v>
      </c>
      <c r="G76" s="97" t="s">
        <v>400</v>
      </c>
      <c r="H76" s="84" t="s">
        <v>434</v>
      </c>
      <c r="I76" s="84" t="s">
        <v>343</v>
      </c>
      <c r="J76" s="84"/>
      <c r="K76" s="94">
        <v>0.77000000000277879</v>
      </c>
      <c r="L76" s="97" t="s">
        <v>165</v>
      </c>
      <c r="M76" s="98">
        <v>5.0999999999999997E-2</v>
      </c>
      <c r="N76" s="98">
        <v>-5.7000000000277887E-3</v>
      </c>
      <c r="O76" s="94">
        <v>136941.56442699998</v>
      </c>
      <c r="P76" s="96">
        <v>118.25</v>
      </c>
      <c r="Q76" s="84"/>
      <c r="R76" s="94">
        <v>161.93340201500001</v>
      </c>
      <c r="S76" s="95">
        <v>3.0440144755394355E-4</v>
      </c>
      <c r="T76" s="95">
        <f t="shared" ref="T76:T139" si="1">R76/$R$11</f>
        <v>2.3256367202997841E-3</v>
      </c>
      <c r="U76" s="95">
        <f>R76/'סכום נכסי הקרן'!$C$42</f>
        <v>6.7789300151843538E-4</v>
      </c>
    </row>
    <row r="77" spans="2:21" s="131" customFormat="1">
      <c r="B77" s="87" t="s">
        <v>497</v>
      </c>
      <c r="C77" s="84" t="s">
        <v>498</v>
      </c>
      <c r="D77" s="97" t="s">
        <v>121</v>
      </c>
      <c r="E77" s="97" t="s">
        <v>339</v>
      </c>
      <c r="F77" s="84" t="s">
        <v>496</v>
      </c>
      <c r="G77" s="97" t="s">
        <v>400</v>
      </c>
      <c r="H77" s="84" t="s">
        <v>434</v>
      </c>
      <c r="I77" s="84" t="s">
        <v>343</v>
      </c>
      <c r="J77" s="84"/>
      <c r="K77" s="94">
        <v>2.1599999999991861</v>
      </c>
      <c r="L77" s="97" t="s">
        <v>165</v>
      </c>
      <c r="M77" s="98">
        <v>2.5499999999999998E-2</v>
      </c>
      <c r="N77" s="98">
        <v>-1.2999999999933861E-3</v>
      </c>
      <c r="O77" s="94">
        <v>542784.4948189999</v>
      </c>
      <c r="P77" s="96">
        <v>108.64</v>
      </c>
      <c r="Q77" s="84"/>
      <c r="R77" s="94">
        <v>589.68108500299991</v>
      </c>
      <c r="S77" s="95">
        <v>4.8698868647477052E-4</v>
      </c>
      <c r="T77" s="95">
        <f t="shared" si="1"/>
        <v>8.4688147564648975E-3</v>
      </c>
      <c r="U77" s="95">
        <f>R77/'סכום נכסי הקרן'!$C$42</f>
        <v>2.4685498833298329E-3</v>
      </c>
    </row>
    <row r="78" spans="2:21" s="131" customFormat="1">
      <c r="B78" s="87" t="s">
        <v>499</v>
      </c>
      <c r="C78" s="84" t="s">
        <v>500</v>
      </c>
      <c r="D78" s="97" t="s">
        <v>121</v>
      </c>
      <c r="E78" s="97" t="s">
        <v>339</v>
      </c>
      <c r="F78" s="84" t="s">
        <v>496</v>
      </c>
      <c r="G78" s="97" t="s">
        <v>400</v>
      </c>
      <c r="H78" s="84" t="s">
        <v>434</v>
      </c>
      <c r="I78" s="84" t="s">
        <v>343</v>
      </c>
      <c r="J78" s="84"/>
      <c r="K78" s="94">
        <v>6.5099999999950233</v>
      </c>
      <c r="L78" s="97" t="s">
        <v>165</v>
      </c>
      <c r="M78" s="98">
        <v>2.35E-2</v>
      </c>
      <c r="N78" s="98">
        <v>4.400000000002631E-3</v>
      </c>
      <c r="O78" s="94">
        <v>387458.18630299991</v>
      </c>
      <c r="P78" s="96">
        <v>115.27</v>
      </c>
      <c r="Q78" s="94">
        <v>8.8982890199999982</v>
      </c>
      <c r="R78" s="94">
        <v>456.06790527699991</v>
      </c>
      <c r="S78" s="95">
        <v>4.9360983512360948E-4</v>
      </c>
      <c r="T78" s="95">
        <f t="shared" si="1"/>
        <v>6.5499041844631033E-3</v>
      </c>
      <c r="U78" s="95">
        <f>R78/'סכום נכסי הקרן'!$C$42</f>
        <v>1.909212289480664E-3</v>
      </c>
    </row>
    <row r="79" spans="2:21" s="131" customFormat="1">
      <c r="B79" s="87" t="s">
        <v>501</v>
      </c>
      <c r="C79" s="84" t="s">
        <v>502</v>
      </c>
      <c r="D79" s="97" t="s">
        <v>121</v>
      </c>
      <c r="E79" s="97" t="s">
        <v>339</v>
      </c>
      <c r="F79" s="84" t="s">
        <v>496</v>
      </c>
      <c r="G79" s="97" t="s">
        <v>400</v>
      </c>
      <c r="H79" s="84" t="s">
        <v>434</v>
      </c>
      <c r="I79" s="84" t="s">
        <v>343</v>
      </c>
      <c r="J79" s="84"/>
      <c r="K79" s="94">
        <v>5.200000000000303</v>
      </c>
      <c r="L79" s="97" t="s">
        <v>165</v>
      </c>
      <c r="M79" s="98">
        <v>1.7600000000000001E-2</v>
      </c>
      <c r="N79" s="98">
        <v>2.1999999999987876E-3</v>
      </c>
      <c r="O79" s="94">
        <v>592702.17518799985</v>
      </c>
      <c r="P79" s="96">
        <v>111.33</v>
      </c>
      <c r="Q79" s="84"/>
      <c r="R79" s="94">
        <v>659.85533266399989</v>
      </c>
      <c r="S79" s="95">
        <v>4.5877152592239121E-4</v>
      </c>
      <c r="T79" s="95">
        <f t="shared" si="1"/>
        <v>9.4766352873070486E-3</v>
      </c>
      <c r="U79" s="95">
        <f>R79/'סכום נכסי הקרן'!$C$42</f>
        <v>2.7623165230982413E-3</v>
      </c>
    </row>
    <row r="80" spans="2:21" s="131" customFormat="1">
      <c r="B80" s="87" t="s">
        <v>503</v>
      </c>
      <c r="C80" s="84" t="s">
        <v>504</v>
      </c>
      <c r="D80" s="97" t="s">
        <v>121</v>
      </c>
      <c r="E80" s="97" t="s">
        <v>339</v>
      </c>
      <c r="F80" s="84" t="s">
        <v>496</v>
      </c>
      <c r="G80" s="97" t="s">
        <v>400</v>
      </c>
      <c r="H80" s="84" t="s">
        <v>434</v>
      </c>
      <c r="I80" s="84" t="s">
        <v>343</v>
      </c>
      <c r="J80" s="84"/>
      <c r="K80" s="94">
        <v>5.7399999999982727</v>
      </c>
      <c r="L80" s="97" t="s">
        <v>165</v>
      </c>
      <c r="M80" s="98">
        <v>2.1499999999999998E-2</v>
      </c>
      <c r="N80" s="98">
        <v>4.2999999999921885E-3</v>
      </c>
      <c r="O80" s="94">
        <v>426210.27969399997</v>
      </c>
      <c r="P80" s="96">
        <v>114.14</v>
      </c>
      <c r="Q80" s="84"/>
      <c r="R80" s="94">
        <v>486.47643236599998</v>
      </c>
      <c r="S80" s="95">
        <v>5.4360652711465572E-4</v>
      </c>
      <c r="T80" s="95">
        <f t="shared" si="1"/>
        <v>6.9866219111854666E-3</v>
      </c>
      <c r="U80" s="95">
        <f>R80/'סכום נכסי הקרן'!$C$42</f>
        <v>2.0365098540572881E-3</v>
      </c>
    </row>
    <row r="81" spans="2:21" s="131" customFormat="1">
      <c r="B81" s="87" t="s">
        <v>505</v>
      </c>
      <c r="C81" s="84" t="s">
        <v>506</v>
      </c>
      <c r="D81" s="97" t="s">
        <v>121</v>
      </c>
      <c r="E81" s="97" t="s">
        <v>339</v>
      </c>
      <c r="F81" s="84" t="s">
        <v>378</v>
      </c>
      <c r="G81" s="97" t="s">
        <v>347</v>
      </c>
      <c r="H81" s="84" t="s">
        <v>434</v>
      </c>
      <c r="I81" s="84" t="s">
        <v>343</v>
      </c>
      <c r="J81" s="84"/>
      <c r="K81" s="94">
        <v>0.75000000000056355</v>
      </c>
      <c r="L81" s="97" t="s">
        <v>165</v>
      </c>
      <c r="M81" s="98">
        <v>6.5000000000000002E-2</v>
      </c>
      <c r="N81" s="98">
        <v>1.9000000000024798E-3</v>
      </c>
      <c r="O81" s="94">
        <v>744520.32775799988</v>
      </c>
      <c r="P81" s="96">
        <v>117.35</v>
      </c>
      <c r="Q81" s="94">
        <v>13.557401387999999</v>
      </c>
      <c r="R81" s="94">
        <v>887.25205776199982</v>
      </c>
      <c r="S81" s="95">
        <v>4.7271131921142851E-4</v>
      </c>
      <c r="T81" s="95">
        <f t="shared" si="1"/>
        <v>1.2742435717503884E-2</v>
      </c>
      <c r="U81" s="95">
        <f>R81/'סכום נכסי הקרן'!$C$42</f>
        <v>3.7142550768122342E-3</v>
      </c>
    </row>
    <row r="82" spans="2:21" s="131" customFormat="1">
      <c r="B82" s="87" t="s">
        <v>507</v>
      </c>
      <c r="C82" s="84" t="s">
        <v>508</v>
      </c>
      <c r="D82" s="97" t="s">
        <v>121</v>
      </c>
      <c r="E82" s="97" t="s">
        <v>339</v>
      </c>
      <c r="F82" s="84" t="s">
        <v>509</v>
      </c>
      <c r="G82" s="97" t="s">
        <v>400</v>
      </c>
      <c r="H82" s="84" t="s">
        <v>434</v>
      </c>
      <c r="I82" s="84" t="s">
        <v>343</v>
      </c>
      <c r="J82" s="84"/>
      <c r="K82" s="94">
        <v>7.5300000000130813</v>
      </c>
      <c r="L82" s="97" t="s">
        <v>165</v>
      </c>
      <c r="M82" s="98">
        <v>3.5000000000000003E-2</v>
      </c>
      <c r="N82" s="98">
        <v>4.8000000000306417E-3</v>
      </c>
      <c r="O82" s="94">
        <v>132670.48091000001</v>
      </c>
      <c r="P82" s="96">
        <v>127.91</v>
      </c>
      <c r="Q82" s="84"/>
      <c r="R82" s="94">
        <v>169.69882152599999</v>
      </c>
      <c r="S82" s="95">
        <v>3.001511064511101E-4</v>
      </c>
      <c r="T82" s="95">
        <f t="shared" si="1"/>
        <v>2.4371612392599987E-3</v>
      </c>
      <c r="U82" s="95">
        <f>R82/'סכום נכסי הקרן'!$C$42</f>
        <v>7.1040095525038978E-4</v>
      </c>
    </row>
    <row r="83" spans="2:21" s="131" customFormat="1">
      <c r="B83" s="87" t="s">
        <v>510</v>
      </c>
      <c r="C83" s="84" t="s">
        <v>511</v>
      </c>
      <c r="D83" s="97" t="s">
        <v>121</v>
      </c>
      <c r="E83" s="97" t="s">
        <v>339</v>
      </c>
      <c r="F83" s="84" t="s">
        <v>509</v>
      </c>
      <c r="G83" s="97" t="s">
        <v>400</v>
      </c>
      <c r="H83" s="84" t="s">
        <v>434</v>
      </c>
      <c r="I83" s="84" t="s">
        <v>343</v>
      </c>
      <c r="J83" s="84"/>
      <c r="K83" s="94">
        <v>3.3399999999993262</v>
      </c>
      <c r="L83" s="97" t="s">
        <v>165</v>
      </c>
      <c r="M83" s="98">
        <v>0.04</v>
      </c>
      <c r="N83" s="98">
        <v>-3.8000000000202243E-3</v>
      </c>
      <c r="O83" s="94">
        <v>127666.10792499999</v>
      </c>
      <c r="P83" s="96">
        <v>116.19</v>
      </c>
      <c r="Q83" s="84"/>
      <c r="R83" s="94">
        <v>148.33525851499996</v>
      </c>
      <c r="S83" s="95">
        <v>1.9271305195884923E-4</v>
      </c>
      <c r="T83" s="95">
        <f t="shared" si="1"/>
        <v>2.1303444491686152E-3</v>
      </c>
      <c r="U83" s="95">
        <f>R83/'סכום נכסי הקרן'!$C$42</f>
        <v>6.2096783229708124E-4</v>
      </c>
    </row>
    <row r="84" spans="2:21" s="131" customFormat="1">
      <c r="B84" s="87" t="s">
        <v>512</v>
      </c>
      <c r="C84" s="84" t="s">
        <v>513</v>
      </c>
      <c r="D84" s="97" t="s">
        <v>121</v>
      </c>
      <c r="E84" s="97" t="s">
        <v>339</v>
      </c>
      <c r="F84" s="84" t="s">
        <v>509</v>
      </c>
      <c r="G84" s="97" t="s">
        <v>400</v>
      </c>
      <c r="H84" s="84" t="s">
        <v>434</v>
      </c>
      <c r="I84" s="84" t="s">
        <v>343</v>
      </c>
      <c r="J84" s="84"/>
      <c r="K84" s="94">
        <v>6.0900000000055892</v>
      </c>
      <c r="L84" s="97" t="s">
        <v>165</v>
      </c>
      <c r="M84" s="98">
        <v>0.04</v>
      </c>
      <c r="N84" s="98">
        <v>1.9999999999999996E-3</v>
      </c>
      <c r="O84" s="94">
        <v>429218.56915499992</v>
      </c>
      <c r="P84" s="96">
        <v>127.13</v>
      </c>
      <c r="Q84" s="84"/>
      <c r="R84" s="94">
        <v>545.6655719549999</v>
      </c>
      <c r="S84" s="95">
        <v>4.2657297296129932E-4</v>
      </c>
      <c r="T84" s="95">
        <f t="shared" si="1"/>
        <v>7.8366777659891404E-3</v>
      </c>
      <c r="U84" s="95">
        <f>R84/'סכום נכסי הקרן'!$C$42</f>
        <v>2.2842901328262361E-3</v>
      </c>
    </row>
    <row r="85" spans="2:21" s="131" customFormat="1">
      <c r="B85" s="87" t="s">
        <v>514</v>
      </c>
      <c r="C85" s="84" t="s">
        <v>515</v>
      </c>
      <c r="D85" s="97" t="s">
        <v>121</v>
      </c>
      <c r="E85" s="97" t="s">
        <v>339</v>
      </c>
      <c r="F85" s="84" t="s">
        <v>516</v>
      </c>
      <c r="G85" s="97" t="s">
        <v>152</v>
      </c>
      <c r="H85" s="84" t="s">
        <v>434</v>
      </c>
      <c r="I85" s="84" t="s">
        <v>343</v>
      </c>
      <c r="J85" s="84"/>
      <c r="K85" s="94">
        <v>4.799999999996297</v>
      </c>
      <c r="L85" s="97" t="s">
        <v>165</v>
      </c>
      <c r="M85" s="98">
        <v>4.2999999999999997E-2</v>
      </c>
      <c r="N85" s="98">
        <v>0</v>
      </c>
      <c r="O85" s="94">
        <v>84465.071979999993</v>
      </c>
      <c r="P85" s="96">
        <v>122.48</v>
      </c>
      <c r="Q85" s="94">
        <v>4.5420130039999993</v>
      </c>
      <c r="R85" s="94">
        <v>107.99483575799997</v>
      </c>
      <c r="S85" s="95">
        <v>9.2026481783238077E-5</v>
      </c>
      <c r="T85" s="95">
        <f t="shared" si="1"/>
        <v>1.5509879525552365E-3</v>
      </c>
      <c r="U85" s="95">
        <f>R85/'סכום נכסי הקרן'!$C$42</f>
        <v>4.5209291257710776E-4</v>
      </c>
    </row>
    <row r="86" spans="2:21" s="131" customFormat="1">
      <c r="B86" s="87" t="s">
        <v>517</v>
      </c>
      <c r="C86" s="84" t="s">
        <v>518</v>
      </c>
      <c r="D86" s="97" t="s">
        <v>121</v>
      </c>
      <c r="E86" s="97" t="s">
        <v>339</v>
      </c>
      <c r="F86" s="84" t="s">
        <v>519</v>
      </c>
      <c r="G86" s="97" t="s">
        <v>520</v>
      </c>
      <c r="H86" s="84" t="s">
        <v>521</v>
      </c>
      <c r="I86" s="84" t="s">
        <v>343</v>
      </c>
      <c r="J86" s="84"/>
      <c r="K86" s="94">
        <v>7.8000000000017664</v>
      </c>
      <c r="L86" s="97" t="s">
        <v>165</v>
      </c>
      <c r="M86" s="98">
        <v>5.1500000000000004E-2</v>
      </c>
      <c r="N86" s="98">
        <v>1.3200000000002017E-2</v>
      </c>
      <c r="O86" s="94">
        <v>973057.08963699976</v>
      </c>
      <c r="P86" s="96">
        <v>163</v>
      </c>
      <c r="Q86" s="84"/>
      <c r="R86" s="94">
        <v>1586.0829767489997</v>
      </c>
      <c r="S86" s="95">
        <v>2.7402170125586376E-4</v>
      </c>
      <c r="T86" s="95">
        <f t="shared" si="1"/>
        <v>2.2778826148716243E-2</v>
      </c>
      <c r="U86" s="95">
        <f>R86/'סכום נכסי הקרן'!$C$42</f>
        <v>6.6397329790309602E-3</v>
      </c>
    </row>
    <row r="87" spans="2:21" s="131" customFormat="1">
      <c r="B87" s="87" t="s">
        <v>522</v>
      </c>
      <c r="C87" s="84" t="s">
        <v>523</v>
      </c>
      <c r="D87" s="97" t="s">
        <v>121</v>
      </c>
      <c r="E87" s="97" t="s">
        <v>339</v>
      </c>
      <c r="F87" s="84" t="s">
        <v>524</v>
      </c>
      <c r="G87" s="97" t="s">
        <v>192</v>
      </c>
      <c r="H87" s="84" t="s">
        <v>521</v>
      </c>
      <c r="I87" s="84" t="s">
        <v>343</v>
      </c>
      <c r="J87" s="84"/>
      <c r="K87" s="94">
        <v>1.65000000000076</v>
      </c>
      <c r="L87" s="97" t="s">
        <v>165</v>
      </c>
      <c r="M87" s="98">
        <v>3.7000000000000005E-2</v>
      </c>
      <c r="N87" s="98">
        <v>-4.0000000000202612E-4</v>
      </c>
      <c r="O87" s="94">
        <v>527394.31725600001</v>
      </c>
      <c r="P87" s="96">
        <v>112.31</v>
      </c>
      <c r="Q87" s="84"/>
      <c r="R87" s="94">
        <v>592.31656024699987</v>
      </c>
      <c r="S87" s="95">
        <v>2.1974897934280544E-4</v>
      </c>
      <c r="T87" s="95">
        <f t="shared" si="1"/>
        <v>8.5066646251554818E-3</v>
      </c>
      <c r="U87" s="95">
        <f>R87/'סכום נכסי הקרן'!$C$42</f>
        <v>2.4795826301340852E-3</v>
      </c>
    </row>
    <row r="88" spans="2:21" s="131" customFormat="1">
      <c r="B88" s="87" t="s">
        <v>525</v>
      </c>
      <c r="C88" s="84" t="s">
        <v>526</v>
      </c>
      <c r="D88" s="97" t="s">
        <v>121</v>
      </c>
      <c r="E88" s="97" t="s">
        <v>339</v>
      </c>
      <c r="F88" s="84" t="s">
        <v>524</v>
      </c>
      <c r="G88" s="97" t="s">
        <v>192</v>
      </c>
      <c r="H88" s="84" t="s">
        <v>521</v>
      </c>
      <c r="I88" s="84" t="s">
        <v>343</v>
      </c>
      <c r="J88" s="84"/>
      <c r="K88" s="94">
        <v>4.7300000000003486</v>
      </c>
      <c r="L88" s="97" t="s">
        <v>165</v>
      </c>
      <c r="M88" s="98">
        <v>2.2000000000000002E-2</v>
      </c>
      <c r="N88" s="98">
        <v>7.3999999999968978E-3</v>
      </c>
      <c r="O88" s="94">
        <v>473469.13104099996</v>
      </c>
      <c r="P88" s="96">
        <v>108.92</v>
      </c>
      <c r="Q88" s="84"/>
      <c r="R88" s="94">
        <v>515.70259823399988</v>
      </c>
      <c r="S88" s="95">
        <v>5.3700558720139267E-4</v>
      </c>
      <c r="T88" s="95">
        <f t="shared" si="1"/>
        <v>7.4063589369653404E-3</v>
      </c>
      <c r="U88" s="95">
        <f>R88/'סכום נכסי הקרן'!$C$42</f>
        <v>2.1588577641030418E-3</v>
      </c>
    </row>
    <row r="89" spans="2:21" s="131" customFormat="1">
      <c r="B89" s="87" t="s">
        <v>527</v>
      </c>
      <c r="C89" s="84" t="s">
        <v>528</v>
      </c>
      <c r="D89" s="97" t="s">
        <v>121</v>
      </c>
      <c r="E89" s="97" t="s">
        <v>339</v>
      </c>
      <c r="F89" s="84" t="s">
        <v>449</v>
      </c>
      <c r="G89" s="97" t="s">
        <v>400</v>
      </c>
      <c r="H89" s="84" t="s">
        <v>529</v>
      </c>
      <c r="I89" s="84" t="s">
        <v>161</v>
      </c>
      <c r="J89" s="84"/>
      <c r="K89" s="94">
        <v>2.2099999999960827</v>
      </c>
      <c r="L89" s="97" t="s">
        <v>165</v>
      </c>
      <c r="M89" s="98">
        <v>2.8500000000000001E-2</v>
      </c>
      <c r="N89" s="98">
        <v>6.999999999608282E-4</v>
      </c>
      <c r="O89" s="94">
        <v>117470.09663999999</v>
      </c>
      <c r="P89" s="96">
        <v>108.66</v>
      </c>
      <c r="Q89" s="84"/>
      <c r="R89" s="94">
        <v>127.64300414999998</v>
      </c>
      <c r="S89" s="95">
        <v>2.7439736743003844E-4</v>
      </c>
      <c r="T89" s="95">
        <f t="shared" si="1"/>
        <v>1.8331687832577007E-3</v>
      </c>
      <c r="U89" s="95">
        <f>R89/'סכום נכסי הקרן'!$C$42</f>
        <v>5.3434497225012543E-4</v>
      </c>
    </row>
    <row r="90" spans="2:21" s="131" customFormat="1">
      <c r="B90" s="87" t="s">
        <v>530</v>
      </c>
      <c r="C90" s="84" t="s">
        <v>531</v>
      </c>
      <c r="D90" s="97" t="s">
        <v>121</v>
      </c>
      <c r="E90" s="97" t="s">
        <v>339</v>
      </c>
      <c r="F90" s="84" t="s">
        <v>449</v>
      </c>
      <c r="G90" s="97" t="s">
        <v>400</v>
      </c>
      <c r="H90" s="84" t="s">
        <v>529</v>
      </c>
      <c r="I90" s="84" t="s">
        <v>161</v>
      </c>
      <c r="J90" s="84"/>
      <c r="K90" s="94">
        <v>0.2900000000003099</v>
      </c>
      <c r="L90" s="97" t="s">
        <v>165</v>
      </c>
      <c r="M90" s="98">
        <v>3.7699999999999997E-2</v>
      </c>
      <c r="N90" s="98">
        <v>-6.9999999994730538E-4</v>
      </c>
      <c r="O90" s="94">
        <v>86406.837368999986</v>
      </c>
      <c r="P90" s="96">
        <v>112.01</v>
      </c>
      <c r="Q90" s="84"/>
      <c r="R90" s="94">
        <v>96.784296293000011</v>
      </c>
      <c r="S90" s="95">
        <v>2.5311193079005087E-4</v>
      </c>
      <c r="T90" s="95">
        <f t="shared" si="1"/>
        <v>1.3899857015696197E-3</v>
      </c>
      <c r="U90" s="95">
        <f>R90/'סכום נכסי הקרן'!$C$42</f>
        <v>4.0516284038690122E-4</v>
      </c>
    </row>
    <row r="91" spans="2:21" s="131" customFormat="1">
      <c r="B91" s="87" t="s">
        <v>532</v>
      </c>
      <c r="C91" s="84" t="s">
        <v>533</v>
      </c>
      <c r="D91" s="97" t="s">
        <v>121</v>
      </c>
      <c r="E91" s="97" t="s">
        <v>339</v>
      </c>
      <c r="F91" s="84" t="s">
        <v>449</v>
      </c>
      <c r="G91" s="97" t="s">
        <v>400</v>
      </c>
      <c r="H91" s="84" t="s">
        <v>529</v>
      </c>
      <c r="I91" s="84" t="s">
        <v>161</v>
      </c>
      <c r="J91" s="84"/>
      <c r="K91" s="94">
        <v>4.10999999998295</v>
      </c>
      <c r="L91" s="97" t="s">
        <v>165</v>
      </c>
      <c r="M91" s="98">
        <v>2.5000000000000001E-2</v>
      </c>
      <c r="N91" s="98">
        <v>3.1999999999598825E-3</v>
      </c>
      <c r="O91" s="94">
        <v>89536.519096999982</v>
      </c>
      <c r="P91" s="96">
        <v>111.36</v>
      </c>
      <c r="Q91" s="84"/>
      <c r="R91" s="94">
        <v>99.707866669999987</v>
      </c>
      <c r="S91" s="95">
        <v>1.9781939078339442E-4</v>
      </c>
      <c r="T91" s="95">
        <f t="shared" si="1"/>
        <v>1.4319731021832499E-3</v>
      </c>
      <c r="U91" s="95">
        <f>R91/'סכום נכסי הקרן'!$C$42</f>
        <v>4.1740162419156256E-4</v>
      </c>
    </row>
    <row r="92" spans="2:21" s="131" customFormat="1">
      <c r="B92" s="87" t="s">
        <v>534</v>
      </c>
      <c r="C92" s="84" t="s">
        <v>535</v>
      </c>
      <c r="D92" s="97" t="s">
        <v>121</v>
      </c>
      <c r="E92" s="97" t="s">
        <v>339</v>
      </c>
      <c r="F92" s="84" t="s">
        <v>449</v>
      </c>
      <c r="G92" s="97" t="s">
        <v>400</v>
      </c>
      <c r="H92" s="84" t="s">
        <v>529</v>
      </c>
      <c r="I92" s="84" t="s">
        <v>161</v>
      </c>
      <c r="J92" s="84"/>
      <c r="K92" s="94">
        <v>5.1399999999937851</v>
      </c>
      <c r="L92" s="97" t="s">
        <v>165</v>
      </c>
      <c r="M92" s="98">
        <v>1.34E-2</v>
      </c>
      <c r="N92" s="98">
        <v>2.3000000000310732E-3</v>
      </c>
      <c r="O92" s="94">
        <v>103926.88945599999</v>
      </c>
      <c r="P92" s="96">
        <v>108.38</v>
      </c>
      <c r="Q92" s="84"/>
      <c r="R92" s="94">
        <v>112.63595635499999</v>
      </c>
      <c r="S92" s="95">
        <v>3.2141251763716222E-4</v>
      </c>
      <c r="T92" s="95">
        <f t="shared" si="1"/>
        <v>1.617642270623124E-3</v>
      </c>
      <c r="U92" s="95">
        <f>R92/'סכום נכסי הקרן'!$C$42</f>
        <v>4.7152178353739271E-4</v>
      </c>
    </row>
    <row r="93" spans="2:21" s="131" customFormat="1">
      <c r="B93" s="87" t="s">
        <v>536</v>
      </c>
      <c r="C93" s="84" t="s">
        <v>537</v>
      </c>
      <c r="D93" s="97" t="s">
        <v>121</v>
      </c>
      <c r="E93" s="97" t="s">
        <v>339</v>
      </c>
      <c r="F93" s="84" t="s">
        <v>449</v>
      </c>
      <c r="G93" s="97" t="s">
        <v>400</v>
      </c>
      <c r="H93" s="84" t="s">
        <v>529</v>
      </c>
      <c r="I93" s="84" t="s">
        <v>161</v>
      </c>
      <c r="J93" s="84"/>
      <c r="K93" s="94">
        <v>5.0499999999999989</v>
      </c>
      <c r="L93" s="97" t="s">
        <v>165</v>
      </c>
      <c r="M93" s="98">
        <v>1.95E-2</v>
      </c>
      <c r="N93" s="98">
        <v>6.6999999999999985E-3</v>
      </c>
      <c r="O93" s="94">
        <v>189278.21661599996</v>
      </c>
      <c r="P93" s="96">
        <v>108.99</v>
      </c>
      <c r="Q93" s="84"/>
      <c r="R93" s="94">
        <v>206.29432969999999</v>
      </c>
      <c r="S93" s="95">
        <v>2.7717106978028999E-4</v>
      </c>
      <c r="T93" s="95">
        <f t="shared" si="1"/>
        <v>2.9627344474335766E-3</v>
      </c>
      <c r="U93" s="95">
        <f>R93/'סכום נכסי הקרן'!$C$42</f>
        <v>8.6359874254733876E-4</v>
      </c>
    </row>
    <row r="94" spans="2:21" s="131" customFormat="1">
      <c r="B94" s="87" t="s">
        <v>538</v>
      </c>
      <c r="C94" s="84" t="s">
        <v>539</v>
      </c>
      <c r="D94" s="97" t="s">
        <v>121</v>
      </c>
      <c r="E94" s="97" t="s">
        <v>339</v>
      </c>
      <c r="F94" s="84" t="s">
        <v>449</v>
      </c>
      <c r="G94" s="97" t="s">
        <v>400</v>
      </c>
      <c r="H94" s="84" t="s">
        <v>529</v>
      </c>
      <c r="I94" s="84" t="s">
        <v>161</v>
      </c>
      <c r="J94" s="84"/>
      <c r="K94" s="94">
        <v>6.2099999999933324</v>
      </c>
      <c r="L94" s="97" t="s">
        <v>165</v>
      </c>
      <c r="M94" s="98">
        <v>3.3500000000000002E-2</v>
      </c>
      <c r="N94" s="98">
        <v>9.6999999999816729E-3</v>
      </c>
      <c r="O94" s="94">
        <v>220237.23555999997</v>
      </c>
      <c r="P94" s="96">
        <v>116.44</v>
      </c>
      <c r="Q94" s="84"/>
      <c r="R94" s="94">
        <v>256.44423845099993</v>
      </c>
      <c r="S94" s="95">
        <v>4.4477006036298565E-4</v>
      </c>
      <c r="T94" s="95">
        <f t="shared" si="1"/>
        <v>3.6829717046006024E-3</v>
      </c>
      <c r="U94" s="95">
        <f>R94/'סכום נכסי הקרן'!$C$42</f>
        <v>1.0735385804440433E-3</v>
      </c>
    </row>
    <row r="95" spans="2:21" s="131" customFormat="1">
      <c r="B95" s="87" t="s">
        <v>540</v>
      </c>
      <c r="C95" s="84" t="s">
        <v>541</v>
      </c>
      <c r="D95" s="97" t="s">
        <v>121</v>
      </c>
      <c r="E95" s="97" t="s">
        <v>339</v>
      </c>
      <c r="F95" s="84" t="s">
        <v>346</v>
      </c>
      <c r="G95" s="97" t="s">
        <v>347</v>
      </c>
      <c r="H95" s="84" t="s">
        <v>529</v>
      </c>
      <c r="I95" s="84" t="s">
        <v>161</v>
      </c>
      <c r="J95" s="84"/>
      <c r="K95" s="94">
        <v>1.7199999999993802</v>
      </c>
      <c r="L95" s="97" t="s">
        <v>165</v>
      </c>
      <c r="M95" s="98">
        <v>2.7999999999999997E-2</v>
      </c>
      <c r="N95" s="98">
        <v>5.200000000004131E-3</v>
      </c>
      <c r="O95" s="94">
        <f>362346.4896/50000</f>
        <v>7.2469297919999995</v>
      </c>
      <c r="P95" s="96">
        <v>5344000</v>
      </c>
      <c r="Q95" s="84"/>
      <c r="R95" s="94">
        <v>387.27593871699997</v>
      </c>
      <c r="S95" s="95">
        <f>2048.6599739922%/50000</f>
        <v>4.0973199479844001E-4</v>
      </c>
      <c r="T95" s="95">
        <f t="shared" si="1"/>
        <v>5.561935541163983E-3</v>
      </c>
      <c r="U95" s="95">
        <f>R95/'סכום נכסי הקרן'!$C$42</f>
        <v>1.6212322179732766E-3</v>
      </c>
    </row>
    <row r="96" spans="2:21" s="131" customFormat="1">
      <c r="B96" s="87" t="s">
        <v>542</v>
      </c>
      <c r="C96" s="84" t="s">
        <v>543</v>
      </c>
      <c r="D96" s="97" t="s">
        <v>121</v>
      </c>
      <c r="E96" s="97" t="s">
        <v>339</v>
      </c>
      <c r="F96" s="84" t="s">
        <v>346</v>
      </c>
      <c r="G96" s="97" t="s">
        <v>347</v>
      </c>
      <c r="H96" s="84" t="s">
        <v>529</v>
      </c>
      <c r="I96" s="84" t="s">
        <v>161</v>
      </c>
      <c r="J96" s="84"/>
      <c r="K96" s="94">
        <v>2.9699999999985347</v>
      </c>
      <c r="L96" s="97" t="s">
        <v>165</v>
      </c>
      <c r="M96" s="98">
        <v>1.49E-2</v>
      </c>
      <c r="N96" s="98">
        <v>1.1000000000048858E-2</v>
      </c>
      <c r="O96" s="94">
        <f>19592.2464/50000</f>
        <v>0.39184492799999998</v>
      </c>
      <c r="P96" s="96">
        <v>5147654</v>
      </c>
      <c r="Q96" s="94">
        <v>0.29719749299999998</v>
      </c>
      <c r="R96" s="94">
        <v>20.468017898999996</v>
      </c>
      <c r="S96" s="95">
        <f>323.945873015873%/50000</f>
        <v>6.4789174603174603E-5</v>
      </c>
      <c r="T96" s="95">
        <f t="shared" si="1"/>
        <v>2.9395525213049182E-4</v>
      </c>
      <c r="U96" s="95">
        <f>R96/'סכום נכסי הקרן'!$C$42</f>
        <v>8.5684151114177813E-5</v>
      </c>
    </row>
    <row r="97" spans="2:21" s="131" customFormat="1">
      <c r="B97" s="87" t="s">
        <v>544</v>
      </c>
      <c r="C97" s="84" t="s">
        <v>545</v>
      </c>
      <c r="D97" s="97" t="s">
        <v>121</v>
      </c>
      <c r="E97" s="97" t="s">
        <v>339</v>
      </c>
      <c r="F97" s="84" t="s">
        <v>346</v>
      </c>
      <c r="G97" s="97" t="s">
        <v>347</v>
      </c>
      <c r="H97" s="84" t="s">
        <v>529</v>
      </c>
      <c r="I97" s="84" t="s">
        <v>161</v>
      </c>
      <c r="J97" s="84"/>
      <c r="K97" s="94">
        <v>4.5899999999961638</v>
      </c>
      <c r="L97" s="97" t="s">
        <v>165</v>
      </c>
      <c r="M97" s="98">
        <v>2.2000000000000002E-2</v>
      </c>
      <c r="N97" s="98">
        <v>1.5600000000032553E-2</v>
      </c>
      <c r="O97" s="94">
        <f>82551.6/50000</f>
        <v>1.6510320000000001</v>
      </c>
      <c r="P97" s="96">
        <v>5210000</v>
      </c>
      <c r="Q97" s="84"/>
      <c r="R97" s="94">
        <v>86.018768586999983</v>
      </c>
      <c r="S97" s="95">
        <f>1639.88081048868%/50000</f>
        <v>3.2797616209773601E-4</v>
      </c>
      <c r="T97" s="95">
        <f t="shared" si="1"/>
        <v>1.2353745698640117E-3</v>
      </c>
      <c r="U97" s="95">
        <f>R97/'סכום נכסי הקרן'!$C$42</f>
        <v>3.600956967417981E-4</v>
      </c>
    </row>
    <row r="98" spans="2:21" s="131" customFormat="1">
      <c r="B98" s="87" t="s">
        <v>546</v>
      </c>
      <c r="C98" s="84" t="s">
        <v>547</v>
      </c>
      <c r="D98" s="97" t="s">
        <v>121</v>
      </c>
      <c r="E98" s="97" t="s">
        <v>339</v>
      </c>
      <c r="F98" s="84" t="s">
        <v>548</v>
      </c>
      <c r="G98" s="97" t="s">
        <v>400</v>
      </c>
      <c r="H98" s="84" t="s">
        <v>529</v>
      </c>
      <c r="I98" s="84" t="s">
        <v>161</v>
      </c>
      <c r="J98" s="84"/>
      <c r="K98" s="94">
        <v>5.6699999999887645</v>
      </c>
      <c r="L98" s="97" t="s">
        <v>165</v>
      </c>
      <c r="M98" s="98">
        <v>0.04</v>
      </c>
      <c r="N98" s="98">
        <v>1.1900000000005762E-2</v>
      </c>
      <c r="O98" s="94">
        <v>116966.11744199999</v>
      </c>
      <c r="P98" s="96">
        <v>118.7</v>
      </c>
      <c r="Q98" s="84"/>
      <c r="R98" s="94">
        <v>138.83877816799995</v>
      </c>
      <c r="S98" s="95">
        <v>3.9544958380229092E-5</v>
      </c>
      <c r="T98" s="95">
        <f t="shared" si="1"/>
        <v>1.993958977525509E-3</v>
      </c>
      <c r="U98" s="95">
        <f>R98/'סכום נכסי הקרן'!$C$42</f>
        <v>5.8121323265189907E-4</v>
      </c>
    </row>
    <row r="99" spans="2:21" s="131" customFormat="1">
      <c r="B99" s="87" t="s">
        <v>549</v>
      </c>
      <c r="C99" s="84" t="s">
        <v>550</v>
      </c>
      <c r="D99" s="97" t="s">
        <v>121</v>
      </c>
      <c r="E99" s="97" t="s">
        <v>339</v>
      </c>
      <c r="F99" s="84" t="s">
        <v>548</v>
      </c>
      <c r="G99" s="97" t="s">
        <v>400</v>
      </c>
      <c r="H99" s="84" t="s">
        <v>529</v>
      </c>
      <c r="I99" s="84" t="s">
        <v>161</v>
      </c>
      <c r="J99" s="84"/>
      <c r="K99" s="94">
        <v>5.9600000000031512</v>
      </c>
      <c r="L99" s="97" t="s">
        <v>165</v>
      </c>
      <c r="M99" s="98">
        <v>2.7799999999999998E-2</v>
      </c>
      <c r="N99" s="98">
        <v>1.2900000000019549E-2</v>
      </c>
      <c r="O99" s="94">
        <v>305539.82411699998</v>
      </c>
      <c r="P99" s="96">
        <v>112.17</v>
      </c>
      <c r="Q99" s="84"/>
      <c r="R99" s="94">
        <v>342.72401727699997</v>
      </c>
      <c r="S99" s="95">
        <v>1.696397355614038E-4</v>
      </c>
      <c r="T99" s="95">
        <f t="shared" si="1"/>
        <v>4.9220948216367197E-3</v>
      </c>
      <c r="U99" s="95">
        <f>R99/'סכום נכסי הקרן'!$C$42</f>
        <v>1.4347269301662709E-3</v>
      </c>
    </row>
    <row r="100" spans="2:21" s="131" customFormat="1">
      <c r="B100" s="87" t="s">
        <v>551</v>
      </c>
      <c r="C100" s="84" t="s">
        <v>552</v>
      </c>
      <c r="D100" s="97" t="s">
        <v>121</v>
      </c>
      <c r="E100" s="97" t="s">
        <v>339</v>
      </c>
      <c r="F100" s="84" t="s">
        <v>394</v>
      </c>
      <c r="G100" s="97" t="s">
        <v>347</v>
      </c>
      <c r="H100" s="84" t="s">
        <v>521</v>
      </c>
      <c r="I100" s="84" t="s">
        <v>343</v>
      </c>
      <c r="J100" s="84"/>
      <c r="K100" s="94">
        <v>0.54999999999974192</v>
      </c>
      <c r="L100" s="97" t="s">
        <v>165</v>
      </c>
      <c r="M100" s="98">
        <v>6.4000000000000001E-2</v>
      </c>
      <c r="N100" s="98">
        <v>9.5000000000025828E-3</v>
      </c>
      <c r="O100" s="94">
        <v>651147.08293799986</v>
      </c>
      <c r="P100" s="96">
        <v>119.03</v>
      </c>
      <c r="Q100" s="84"/>
      <c r="R100" s="94">
        <v>775.06042998399994</v>
      </c>
      <c r="S100" s="95">
        <v>5.2009363000302307E-4</v>
      </c>
      <c r="T100" s="95">
        <f t="shared" si="1"/>
        <v>1.1131174754515206E-2</v>
      </c>
      <c r="U100" s="95">
        <f>R100/'סכום נכסי הקרן'!$C$42</f>
        <v>3.2445933618522626E-3</v>
      </c>
    </row>
    <row r="101" spans="2:21" s="131" customFormat="1">
      <c r="B101" s="87" t="s">
        <v>553</v>
      </c>
      <c r="C101" s="84" t="s">
        <v>554</v>
      </c>
      <c r="D101" s="97" t="s">
        <v>121</v>
      </c>
      <c r="E101" s="97" t="s">
        <v>339</v>
      </c>
      <c r="F101" s="84" t="s">
        <v>466</v>
      </c>
      <c r="G101" s="97" t="s">
        <v>467</v>
      </c>
      <c r="H101" s="84" t="s">
        <v>521</v>
      </c>
      <c r="I101" s="84" t="s">
        <v>343</v>
      </c>
      <c r="J101" s="84"/>
      <c r="K101" s="94">
        <v>3.4499999999949273</v>
      </c>
      <c r="L101" s="97" t="s">
        <v>165</v>
      </c>
      <c r="M101" s="98">
        <v>3.85E-2</v>
      </c>
      <c r="N101" s="98">
        <v>-4.9000000000267467E-3</v>
      </c>
      <c r="O101" s="94">
        <v>88740.846327000007</v>
      </c>
      <c r="P101" s="96">
        <v>122.18</v>
      </c>
      <c r="Q101" s="84"/>
      <c r="R101" s="94">
        <v>108.42356557899998</v>
      </c>
      <c r="S101" s="95">
        <v>3.7045294151608239E-4</v>
      </c>
      <c r="T101" s="95">
        <f t="shared" si="1"/>
        <v>1.5571452357494278E-3</v>
      </c>
      <c r="U101" s="95">
        <f>R101/'סכום נכסי הקרן'!$C$42</f>
        <v>4.5388768092991026E-4</v>
      </c>
    </row>
    <row r="102" spans="2:21" s="131" customFormat="1">
      <c r="B102" s="87" t="s">
        <v>555</v>
      </c>
      <c r="C102" s="84" t="s">
        <v>556</v>
      </c>
      <c r="D102" s="97" t="s">
        <v>121</v>
      </c>
      <c r="E102" s="97" t="s">
        <v>339</v>
      </c>
      <c r="F102" s="84" t="s">
        <v>466</v>
      </c>
      <c r="G102" s="97" t="s">
        <v>467</v>
      </c>
      <c r="H102" s="84" t="s">
        <v>521</v>
      </c>
      <c r="I102" s="84" t="s">
        <v>343</v>
      </c>
      <c r="J102" s="84"/>
      <c r="K102" s="94">
        <v>0.67000000000314641</v>
      </c>
      <c r="L102" s="97" t="s">
        <v>165</v>
      </c>
      <c r="M102" s="98">
        <v>3.9E-2</v>
      </c>
      <c r="N102" s="98">
        <v>5.9000000000254691E-3</v>
      </c>
      <c r="O102" s="94">
        <v>59064.867022999992</v>
      </c>
      <c r="P102" s="96">
        <v>113</v>
      </c>
      <c r="Q102" s="84"/>
      <c r="R102" s="94">
        <v>66.743298336999999</v>
      </c>
      <c r="S102" s="95">
        <v>2.9675991118535911E-4</v>
      </c>
      <c r="T102" s="95">
        <f t="shared" si="1"/>
        <v>9.5854631295940102E-4</v>
      </c>
      <c r="U102" s="95">
        <f>R102/'סכום נכסי הקרן'!$C$42</f>
        <v>2.7940384304850374E-4</v>
      </c>
    </row>
    <row r="103" spans="2:21" s="131" customFormat="1">
      <c r="B103" s="87" t="s">
        <v>557</v>
      </c>
      <c r="C103" s="84" t="s">
        <v>558</v>
      </c>
      <c r="D103" s="97" t="s">
        <v>121</v>
      </c>
      <c r="E103" s="97" t="s">
        <v>339</v>
      </c>
      <c r="F103" s="84" t="s">
        <v>466</v>
      </c>
      <c r="G103" s="97" t="s">
        <v>467</v>
      </c>
      <c r="H103" s="84" t="s">
        <v>521</v>
      </c>
      <c r="I103" s="84" t="s">
        <v>343</v>
      </c>
      <c r="J103" s="84"/>
      <c r="K103" s="94">
        <v>1.6200000000035579</v>
      </c>
      <c r="L103" s="97" t="s">
        <v>165</v>
      </c>
      <c r="M103" s="98">
        <v>3.9E-2</v>
      </c>
      <c r="N103" s="98">
        <v>-1.2000000000355789E-3</v>
      </c>
      <c r="O103" s="94">
        <v>95341.417791999993</v>
      </c>
      <c r="P103" s="96">
        <v>117.92</v>
      </c>
      <c r="Q103" s="84"/>
      <c r="R103" s="94">
        <v>112.42659772999998</v>
      </c>
      <c r="S103" s="95">
        <v>2.3893145994875102E-4</v>
      </c>
      <c r="T103" s="95">
        <f t="shared" si="1"/>
        <v>1.6146355277278787E-3</v>
      </c>
      <c r="U103" s="95">
        <f>R103/'סכום נכסי הקרן'!$C$42</f>
        <v>4.7064535690194241E-4</v>
      </c>
    </row>
    <row r="104" spans="2:21" s="131" customFormat="1">
      <c r="B104" s="87" t="s">
        <v>559</v>
      </c>
      <c r="C104" s="84" t="s">
        <v>560</v>
      </c>
      <c r="D104" s="97" t="s">
        <v>121</v>
      </c>
      <c r="E104" s="97" t="s">
        <v>339</v>
      </c>
      <c r="F104" s="84" t="s">
        <v>466</v>
      </c>
      <c r="G104" s="97" t="s">
        <v>467</v>
      </c>
      <c r="H104" s="84" t="s">
        <v>521</v>
      </c>
      <c r="I104" s="84" t="s">
        <v>343</v>
      </c>
      <c r="J104" s="84"/>
      <c r="K104" s="94">
        <v>4.3200000000163437</v>
      </c>
      <c r="L104" s="97" t="s">
        <v>165</v>
      </c>
      <c r="M104" s="98">
        <v>3.85E-2</v>
      </c>
      <c r="N104" s="98">
        <v>-2.8000000000319757E-3</v>
      </c>
      <c r="O104" s="94">
        <v>89595.63824499998</v>
      </c>
      <c r="P104" s="96">
        <v>125.66</v>
      </c>
      <c r="Q104" s="84"/>
      <c r="R104" s="94">
        <v>112.58587863799998</v>
      </c>
      <c r="S104" s="95">
        <v>3.5838255297999992E-4</v>
      </c>
      <c r="T104" s="95">
        <f t="shared" si="1"/>
        <v>1.6169230701612376E-3</v>
      </c>
      <c r="U104" s="95">
        <f>R104/'סכום נכסי הקרן'!$C$42</f>
        <v>4.7131214591190034E-4</v>
      </c>
    </row>
    <row r="105" spans="2:21" s="131" customFormat="1">
      <c r="B105" s="87" t="s">
        <v>561</v>
      </c>
      <c r="C105" s="84" t="s">
        <v>562</v>
      </c>
      <c r="D105" s="97" t="s">
        <v>121</v>
      </c>
      <c r="E105" s="97" t="s">
        <v>339</v>
      </c>
      <c r="F105" s="84" t="s">
        <v>563</v>
      </c>
      <c r="G105" s="97" t="s">
        <v>347</v>
      </c>
      <c r="H105" s="84" t="s">
        <v>529</v>
      </c>
      <c r="I105" s="84" t="s">
        <v>161</v>
      </c>
      <c r="J105" s="84"/>
      <c r="K105" s="94">
        <v>1.2500000000047087</v>
      </c>
      <c r="L105" s="97" t="s">
        <v>165</v>
      </c>
      <c r="M105" s="98">
        <v>0.02</v>
      </c>
      <c r="N105" s="98">
        <v>-9.9999999983049236E-5</v>
      </c>
      <c r="O105" s="94">
        <v>99493.987281999973</v>
      </c>
      <c r="P105" s="96">
        <v>106.73</v>
      </c>
      <c r="Q105" s="84"/>
      <c r="R105" s="94">
        <v>106.18993711799997</v>
      </c>
      <c r="S105" s="95">
        <v>2.3315103635923078E-4</v>
      </c>
      <c r="T105" s="95">
        <f t="shared" si="1"/>
        <v>1.5250665644946416E-3</v>
      </c>
      <c r="U105" s="95">
        <f>R105/'סכום נכסי הקרן'!$C$42</f>
        <v>4.4453716347728461E-4</v>
      </c>
    </row>
    <row r="106" spans="2:21" s="131" customFormat="1">
      <c r="B106" s="87" t="s">
        <v>564</v>
      </c>
      <c r="C106" s="84" t="s">
        <v>565</v>
      </c>
      <c r="D106" s="97" t="s">
        <v>121</v>
      </c>
      <c r="E106" s="97" t="s">
        <v>339</v>
      </c>
      <c r="F106" s="84" t="s">
        <v>478</v>
      </c>
      <c r="G106" s="97" t="s">
        <v>400</v>
      </c>
      <c r="H106" s="84" t="s">
        <v>529</v>
      </c>
      <c r="I106" s="84" t="s">
        <v>161</v>
      </c>
      <c r="J106" s="84"/>
      <c r="K106" s="94">
        <v>6.7899999999926157</v>
      </c>
      <c r="L106" s="97" t="s">
        <v>165</v>
      </c>
      <c r="M106" s="98">
        <v>2.4E-2</v>
      </c>
      <c r="N106" s="98">
        <v>8.2999999999969383E-3</v>
      </c>
      <c r="O106" s="94">
        <v>259308.40698899995</v>
      </c>
      <c r="P106" s="96">
        <v>113.32</v>
      </c>
      <c r="Q106" s="84"/>
      <c r="R106" s="94">
        <v>293.84828662299992</v>
      </c>
      <c r="S106" s="95">
        <v>4.7642466385145252E-4</v>
      </c>
      <c r="T106" s="95">
        <f t="shared" si="1"/>
        <v>4.220156910581808E-3</v>
      </c>
      <c r="U106" s="95">
        <f>R106/'סכום נכסי הקרן'!$C$42</f>
        <v>1.2301211147991758E-3</v>
      </c>
    </row>
    <row r="107" spans="2:21" s="131" customFormat="1">
      <c r="B107" s="87" t="s">
        <v>566</v>
      </c>
      <c r="C107" s="84" t="s">
        <v>567</v>
      </c>
      <c r="D107" s="97" t="s">
        <v>121</v>
      </c>
      <c r="E107" s="97" t="s">
        <v>339</v>
      </c>
      <c r="F107" s="84" t="s">
        <v>478</v>
      </c>
      <c r="G107" s="97" t="s">
        <v>400</v>
      </c>
      <c r="H107" s="84" t="s">
        <v>529</v>
      </c>
      <c r="I107" s="84" t="s">
        <v>161</v>
      </c>
      <c r="J107" s="84"/>
      <c r="K107" s="94">
        <v>2.6199999998738588</v>
      </c>
      <c r="L107" s="97" t="s">
        <v>165</v>
      </c>
      <c r="M107" s="98">
        <v>3.4799999999999998E-2</v>
      </c>
      <c r="N107" s="98">
        <v>9.999999990989918E-4</v>
      </c>
      <c r="O107" s="94">
        <v>5032.0460079999993</v>
      </c>
      <c r="P107" s="96">
        <v>110.28</v>
      </c>
      <c r="Q107" s="84"/>
      <c r="R107" s="94">
        <v>5.5493403849999998</v>
      </c>
      <c r="S107" s="95">
        <v>1.0820458466632657E-5</v>
      </c>
      <c r="T107" s="95">
        <f t="shared" si="1"/>
        <v>7.9697885749371641E-5</v>
      </c>
      <c r="U107" s="95">
        <f>R107/'סכום נכסי הקרן'!$C$42</f>
        <v>2.3230902106822012E-5</v>
      </c>
    </row>
    <row r="108" spans="2:21" s="131" customFormat="1">
      <c r="B108" s="87" t="s">
        <v>568</v>
      </c>
      <c r="C108" s="84" t="s">
        <v>569</v>
      </c>
      <c r="D108" s="97" t="s">
        <v>121</v>
      </c>
      <c r="E108" s="97" t="s">
        <v>339</v>
      </c>
      <c r="F108" s="84" t="s">
        <v>483</v>
      </c>
      <c r="G108" s="97" t="s">
        <v>467</v>
      </c>
      <c r="H108" s="84" t="s">
        <v>529</v>
      </c>
      <c r="I108" s="84" t="s">
        <v>161</v>
      </c>
      <c r="J108" s="84"/>
      <c r="K108" s="94">
        <v>1.7900000000000575</v>
      </c>
      <c r="L108" s="97" t="s">
        <v>165</v>
      </c>
      <c r="M108" s="98">
        <v>3.7499999999999999E-2</v>
      </c>
      <c r="N108" s="98">
        <v>-4.1000000000166867E-3</v>
      </c>
      <c r="O108" s="94">
        <v>295946.19390699995</v>
      </c>
      <c r="P108" s="96">
        <v>117.46</v>
      </c>
      <c r="Q108" s="84"/>
      <c r="R108" s="94">
        <v>347.61841736199995</v>
      </c>
      <c r="S108" s="95">
        <v>3.820132895051725E-4</v>
      </c>
      <c r="T108" s="95">
        <f t="shared" si="1"/>
        <v>4.9923866602560301E-3</v>
      </c>
      <c r="U108" s="95">
        <f>R108/'סכום נכסי הקרן'!$C$42</f>
        <v>1.4552160912841569E-3</v>
      </c>
    </row>
    <row r="109" spans="2:21" s="131" customFormat="1">
      <c r="B109" s="87" t="s">
        <v>570</v>
      </c>
      <c r="C109" s="84" t="s">
        <v>571</v>
      </c>
      <c r="D109" s="97" t="s">
        <v>121</v>
      </c>
      <c r="E109" s="97" t="s">
        <v>339</v>
      </c>
      <c r="F109" s="84" t="s">
        <v>483</v>
      </c>
      <c r="G109" s="97" t="s">
        <v>467</v>
      </c>
      <c r="H109" s="84" t="s">
        <v>529</v>
      </c>
      <c r="I109" s="84" t="s">
        <v>161</v>
      </c>
      <c r="J109" s="84"/>
      <c r="K109" s="94">
        <v>5.4900000000135645</v>
      </c>
      <c r="L109" s="97" t="s">
        <v>165</v>
      </c>
      <c r="M109" s="98">
        <v>2.4799999999999999E-2</v>
      </c>
      <c r="N109" s="98">
        <v>1.900000000018421E-3</v>
      </c>
      <c r="O109" s="94">
        <v>156009.91068199996</v>
      </c>
      <c r="P109" s="96">
        <v>114.83</v>
      </c>
      <c r="Q109" s="84"/>
      <c r="R109" s="94">
        <v>179.14618059299997</v>
      </c>
      <c r="S109" s="95">
        <v>3.6839431043954334E-4</v>
      </c>
      <c r="T109" s="95">
        <f t="shared" si="1"/>
        <v>2.5728412464893721E-3</v>
      </c>
      <c r="U109" s="95">
        <f>R109/'סכום נכסי הקרן'!$C$42</f>
        <v>7.499499211503206E-4</v>
      </c>
    </row>
    <row r="110" spans="2:21" s="131" customFormat="1">
      <c r="B110" s="87" t="s">
        <v>572</v>
      </c>
      <c r="C110" s="84" t="s">
        <v>573</v>
      </c>
      <c r="D110" s="97" t="s">
        <v>121</v>
      </c>
      <c r="E110" s="97" t="s">
        <v>339</v>
      </c>
      <c r="F110" s="84" t="s">
        <v>574</v>
      </c>
      <c r="G110" s="97" t="s">
        <v>400</v>
      </c>
      <c r="H110" s="84" t="s">
        <v>521</v>
      </c>
      <c r="I110" s="84" t="s">
        <v>343</v>
      </c>
      <c r="J110" s="84"/>
      <c r="K110" s="94">
        <v>4.0399999999991367</v>
      </c>
      <c r="L110" s="97" t="s">
        <v>165</v>
      </c>
      <c r="M110" s="98">
        <v>2.8500000000000001E-2</v>
      </c>
      <c r="N110" s="98">
        <v>-2.3999999999913648E-3</v>
      </c>
      <c r="O110" s="94">
        <v>393669.30170999997</v>
      </c>
      <c r="P110" s="96">
        <v>117.67</v>
      </c>
      <c r="Q110" s="84"/>
      <c r="R110" s="94">
        <v>463.23065533499994</v>
      </c>
      <c r="S110" s="95">
        <v>5.7638257937042453E-4</v>
      </c>
      <c r="T110" s="95">
        <f t="shared" si="1"/>
        <v>6.6527733538002069E-3</v>
      </c>
      <c r="U110" s="95">
        <f>R110/'סכום נכסי הקרן'!$C$42</f>
        <v>1.9391973208301209E-3</v>
      </c>
    </row>
    <row r="111" spans="2:21" s="131" customFormat="1">
      <c r="B111" s="87" t="s">
        <v>575</v>
      </c>
      <c r="C111" s="84" t="s">
        <v>576</v>
      </c>
      <c r="D111" s="97" t="s">
        <v>121</v>
      </c>
      <c r="E111" s="97" t="s">
        <v>339</v>
      </c>
      <c r="F111" s="84" t="s">
        <v>577</v>
      </c>
      <c r="G111" s="97" t="s">
        <v>400</v>
      </c>
      <c r="H111" s="84" t="s">
        <v>521</v>
      </c>
      <c r="I111" s="84" t="s">
        <v>343</v>
      </c>
      <c r="J111" s="84"/>
      <c r="K111" s="94">
        <v>6.0800000000073373</v>
      </c>
      <c r="L111" s="97" t="s">
        <v>165</v>
      </c>
      <c r="M111" s="98">
        <v>1.3999999999999999E-2</v>
      </c>
      <c r="N111" s="98">
        <v>3.8000000000158267E-3</v>
      </c>
      <c r="O111" s="94">
        <v>258006.00306599998</v>
      </c>
      <c r="P111" s="96">
        <v>107.75</v>
      </c>
      <c r="Q111" s="94"/>
      <c r="R111" s="94">
        <v>278.00146866200004</v>
      </c>
      <c r="S111" s="95">
        <v>5.6879630305555547E-4</v>
      </c>
      <c r="T111" s="95">
        <f t="shared" si="1"/>
        <v>3.9925698822638727E-3</v>
      </c>
      <c r="U111" s="95">
        <f>R111/'סכום נכסי הקרן'!$C$42</f>
        <v>1.163782441872985E-3</v>
      </c>
    </row>
    <row r="112" spans="2:21" s="131" customFormat="1">
      <c r="B112" s="87" t="s">
        <v>578</v>
      </c>
      <c r="C112" s="84" t="s">
        <v>579</v>
      </c>
      <c r="D112" s="97" t="s">
        <v>121</v>
      </c>
      <c r="E112" s="97" t="s">
        <v>339</v>
      </c>
      <c r="F112" s="84" t="s">
        <v>358</v>
      </c>
      <c r="G112" s="97" t="s">
        <v>347</v>
      </c>
      <c r="H112" s="84" t="s">
        <v>529</v>
      </c>
      <c r="I112" s="84" t="s">
        <v>161</v>
      </c>
      <c r="J112" s="84"/>
      <c r="K112" s="94">
        <v>3.8999999999941344</v>
      </c>
      <c r="L112" s="97" t="s">
        <v>165</v>
      </c>
      <c r="M112" s="98">
        <v>1.8200000000000001E-2</v>
      </c>
      <c r="N112" s="98">
        <v>1.2300000000004061E-2</v>
      </c>
      <c r="O112" s="94">
        <f>211992.5088/50000</f>
        <v>4.239850176</v>
      </c>
      <c r="P112" s="96">
        <v>5227375</v>
      </c>
      <c r="Q112" s="84"/>
      <c r="R112" s="94">
        <v>221.63287621699996</v>
      </c>
      <c r="S112" s="95">
        <f>1491.74941101963%/50000</f>
        <v>2.9834988220392601E-4</v>
      </c>
      <c r="T112" s="95">
        <f t="shared" si="1"/>
        <v>3.183021840720461E-3</v>
      </c>
      <c r="U112" s="95">
        <f>R112/'סכום נכסי הקרן'!$C$42</f>
        <v>9.278096663465935E-4</v>
      </c>
    </row>
    <row r="113" spans="2:21" s="131" customFormat="1">
      <c r="B113" s="87" t="s">
        <v>580</v>
      </c>
      <c r="C113" s="84" t="s">
        <v>581</v>
      </c>
      <c r="D113" s="97" t="s">
        <v>121</v>
      </c>
      <c r="E113" s="97" t="s">
        <v>339</v>
      </c>
      <c r="F113" s="84" t="s">
        <v>358</v>
      </c>
      <c r="G113" s="97" t="s">
        <v>347</v>
      </c>
      <c r="H113" s="84" t="s">
        <v>529</v>
      </c>
      <c r="I113" s="84" t="s">
        <v>161</v>
      </c>
      <c r="J113" s="84"/>
      <c r="K113" s="94">
        <v>3.1599999999955593</v>
      </c>
      <c r="L113" s="97" t="s">
        <v>165</v>
      </c>
      <c r="M113" s="98">
        <v>1.06E-2</v>
      </c>
      <c r="N113" s="98">
        <v>1.1299999999987048E-2</v>
      </c>
      <c r="O113" s="94">
        <f>264165.12/50000</f>
        <v>5.2833024000000002</v>
      </c>
      <c r="P113" s="96">
        <v>5114839</v>
      </c>
      <c r="Q113" s="84"/>
      <c r="R113" s="94">
        <v>270.23241089499999</v>
      </c>
      <c r="S113" s="95">
        <f>1945.39450622284%/50000</f>
        <v>3.8907890124456797E-4</v>
      </c>
      <c r="T113" s="95">
        <f t="shared" si="1"/>
        <v>3.8809931118123264E-3</v>
      </c>
      <c r="U113" s="95">
        <f>R113/'סכום נכסי הקרן'!$C$42</f>
        <v>1.1312592575076375E-3</v>
      </c>
    </row>
    <row r="114" spans="2:21" s="131" customFormat="1">
      <c r="B114" s="87" t="s">
        <v>582</v>
      </c>
      <c r="C114" s="84" t="s">
        <v>583</v>
      </c>
      <c r="D114" s="97" t="s">
        <v>121</v>
      </c>
      <c r="E114" s="97" t="s">
        <v>339</v>
      </c>
      <c r="F114" s="84" t="s">
        <v>358</v>
      </c>
      <c r="G114" s="97" t="s">
        <v>347</v>
      </c>
      <c r="H114" s="84" t="s">
        <v>529</v>
      </c>
      <c r="I114" s="84" t="s">
        <v>161</v>
      </c>
      <c r="J114" s="84"/>
      <c r="K114" s="94">
        <v>5.0200000000015628</v>
      </c>
      <c r="L114" s="97" t="s">
        <v>165</v>
      </c>
      <c r="M114" s="98">
        <v>1.89E-2</v>
      </c>
      <c r="N114" s="98">
        <v>1.410000000002269E-2</v>
      </c>
      <c r="O114" s="94">
        <f>263064.432/50000</f>
        <v>5.2612886399999992</v>
      </c>
      <c r="P114" s="96">
        <v>5109996</v>
      </c>
      <c r="Q114" s="84"/>
      <c r="R114" s="94">
        <v>268.85164327899997</v>
      </c>
      <c r="S114" s="95">
        <f>1879.03165714286%/50000</f>
        <v>3.7580633142857205E-4</v>
      </c>
      <c r="T114" s="95">
        <f t="shared" si="1"/>
        <v>3.8611629604660773E-3</v>
      </c>
      <c r="U114" s="95">
        <f>R114/'סכום נכסי הקרן'!$C$42</f>
        <v>1.1254790250666306E-3</v>
      </c>
    </row>
    <row r="115" spans="2:21" s="131" customFormat="1">
      <c r="B115" s="87" t="s">
        <v>584</v>
      </c>
      <c r="C115" s="84" t="s">
        <v>585</v>
      </c>
      <c r="D115" s="97" t="s">
        <v>121</v>
      </c>
      <c r="E115" s="97" t="s">
        <v>339</v>
      </c>
      <c r="F115" s="84" t="s">
        <v>358</v>
      </c>
      <c r="G115" s="97" t="s">
        <v>347</v>
      </c>
      <c r="H115" s="84" t="s">
        <v>521</v>
      </c>
      <c r="I115" s="84" t="s">
        <v>343</v>
      </c>
      <c r="J115" s="84"/>
      <c r="K115" s="94">
        <v>2.1800000000010376</v>
      </c>
      <c r="L115" s="97" t="s">
        <v>165</v>
      </c>
      <c r="M115" s="98">
        <v>4.4999999999999998E-2</v>
      </c>
      <c r="N115" s="98">
        <v>-4.0000000000230541E-4</v>
      </c>
      <c r="O115" s="94">
        <v>512791.36521499994</v>
      </c>
      <c r="P115" s="96">
        <v>133.97</v>
      </c>
      <c r="Q115" s="94">
        <v>7.0114063569999994</v>
      </c>
      <c r="R115" s="94">
        <v>693.99798474599993</v>
      </c>
      <c r="S115" s="95">
        <v>3.012903025089123E-4</v>
      </c>
      <c r="T115" s="95">
        <f t="shared" si="1"/>
        <v>9.966981345762389E-3</v>
      </c>
      <c r="U115" s="95">
        <f>R115/'סכום נכסי הקרן'!$C$42</f>
        <v>2.9052460522235707E-3</v>
      </c>
    </row>
    <row r="116" spans="2:21" s="131" customFormat="1">
      <c r="B116" s="87" t="s">
        <v>586</v>
      </c>
      <c r="C116" s="84" t="s">
        <v>587</v>
      </c>
      <c r="D116" s="97" t="s">
        <v>121</v>
      </c>
      <c r="E116" s="97" t="s">
        <v>339</v>
      </c>
      <c r="F116" s="84" t="s">
        <v>496</v>
      </c>
      <c r="G116" s="97" t="s">
        <v>400</v>
      </c>
      <c r="H116" s="84" t="s">
        <v>521</v>
      </c>
      <c r="I116" s="84" t="s">
        <v>343</v>
      </c>
      <c r="J116" s="84"/>
      <c r="K116" s="94">
        <v>1.9800000000049351</v>
      </c>
      <c r="L116" s="97" t="s">
        <v>165</v>
      </c>
      <c r="M116" s="98">
        <v>4.9000000000000002E-2</v>
      </c>
      <c r="N116" s="98">
        <v>-1.1999999999966543E-3</v>
      </c>
      <c r="O116" s="94">
        <v>204530.75591599997</v>
      </c>
      <c r="P116" s="96">
        <v>116.9</v>
      </c>
      <c r="Q116" s="84"/>
      <c r="R116" s="94">
        <v>239.09646245899998</v>
      </c>
      <c r="S116" s="95">
        <v>3.0755890502451148E-4</v>
      </c>
      <c r="T116" s="95">
        <f t="shared" si="1"/>
        <v>3.4338283879006113E-3</v>
      </c>
      <c r="U116" s="95">
        <f>R116/'סכום נכסי הקרן'!$C$42</f>
        <v>1.000916528473586E-3</v>
      </c>
    </row>
    <row r="117" spans="2:21" s="131" customFormat="1">
      <c r="B117" s="87" t="s">
        <v>588</v>
      </c>
      <c r="C117" s="84" t="s">
        <v>589</v>
      </c>
      <c r="D117" s="97" t="s">
        <v>121</v>
      </c>
      <c r="E117" s="97" t="s">
        <v>339</v>
      </c>
      <c r="F117" s="84" t="s">
        <v>496</v>
      </c>
      <c r="G117" s="97" t="s">
        <v>400</v>
      </c>
      <c r="H117" s="84" t="s">
        <v>521</v>
      </c>
      <c r="I117" s="84" t="s">
        <v>343</v>
      </c>
      <c r="J117" s="84"/>
      <c r="K117" s="94">
        <v>1.8600000000031018</v>
      </c>
      <c r="L117" s="97" t="s">
        <v>165</v>
      </c>
      <c r="M117" s="98">
        <v>5.8499999999999996E-2</v>
      </c>
      <c r="N117" s="98">
        <v>2.9999999997027261E-4</v>
      </c>
      <c r="O117" s="94">
        <v>125295.23003799998</v>
      </c>
      <c r="P117" s="96">
        <v>123.5</v>
      </c>
      <c r="Q117" s="84"/>
      <c r="R117" s="94">
        <v>154.73960708199996</v>
      </c>
      <c r="S117" s="95">
        <v>1.329285361078829E-4</v>
      </c>
      <c r="T117" s="95">
        <f t="shared" si="1"/>
        <v>2.2223216942068862E-3</v>
      </c>
      <c r="U117" s="95">
        <f>R117/'סכום נכסי הקרן'!$C$42</f>
        <v>6.4777800869572058E-4</v>
      </c>
    </row>
    <row r="118" spans="2:21" s="131" customFormat="1">
      <c r="B118" s="87" t="s">
        <v>590</v>
      </c>
      <c r="C118" s="84" t="s">
        <v>591</v>
      </c>
      <c r="D118" s="97" t="s">
        <v>121</v>
      </c>
      <c r="E118" s="97" t="s">
        <v>339</v>
      </c>
      <c r="F118" s="84" t="s">
        <v>496</v>
      </c>
      <c r="G118" s="97" t="s">
        <v>400</v>
      </c>
      <c r="H118" s="84" t="s">
        <v>521</v>
      </c>
      <c r="I118" s="84" t="s">
        <v>343</v>
      </c>
      <c r="J118" s="84"/>
      <c r="K118" s="94">
        <v>6.8100000000052203</v>
      </c>
      <c r="L118" s="97" t="s">
        <v>165</v>
      </c>
      <c r="M118" s="98">
        <v>2.2499999999999999E-2</v>
      </c>
      <c r="N118" s="98">
        <v>9.3999999999672852E-3</v>
      </c>
      <c r="O118" s="94">
        <v>114601.83859499998</v>
      </c>
      <c r="P118" s="96">
        <v>112.02</v>
      </c>
      <c r="Q118" s="84"/>
      <c r="R118" s="94">
        <v>128.37697999299996</v>
      </c>
      <c r="S118" s="95">
        <v>6.2832707745805302E-4</v>
      </c>
      <c r="T118" s="95">
        <f t="shared" si="1"/>
        <v>1.8437099140624226E-3</v>
      </c>
      <c r="U118" s="95">
        <f>R118/'סכום נכסי הקרן'!$C$42</f>
        <v>5.3741757543799152E-4</v>
      </c>
    </row>
    <row r="119" spans="2:21" s="131" customFormat="1">
      <c r="B119" s="87" t="s">
        <v>592</v>
      </c>
      <c r="C119" s="84" t="s">
        <v>593</v>
      </c>
      <c r="D119" s="97" t="s">
        <v>121</v>
      </c>
      <c r="E119" s="97" t="s">
        <v>339</v>
      </c>
      <c r="F119" s="84" t="s">
        <v>594</v>
      </c>
      <c r="G119" s="97" t="s">
        <v>467</v>
      </c>
      <c r="H119" s="84" t="s">
        <v>529</v>
      </c>
      <c r="I119" s="84" t="s">
        <v>161</v>
      </c>
      <c r="J119" s="84"/>
      <c r="K119" s="94">
        <v>1.7299999999818221</v>
      </c>
      <c r="L119" s="97" t="s">
        <v>165</v>
      </c>
      <c r="M119" s="98">
        <v>4.0500000000000001E-2</v>
      </c>
      <c r="N119" s="98">
        <v>3.9999999999539813E-3</v>
      </c>
      <c r="O119" s="94">
        <v>33330.35528399999</v>
      </c>
      <c r="P119" s="96">
        <v>130.38999999999999</v>
      </c>
      <c r="Q119" s="84"/>
      <c r="R119" s="94">
        <v>43.459449422999988</v>
      </c>
      <c r="S119" s="95">
        <v>3.0552744203015449E-4</v>
      </c>
      <c r="T119" s="95">
        <f t="shared" si="1"/>
        <v>6.2415097913386488E-4</v>
      </c>
      <c r="U119" s="95">
        <f>R119/'סכום נכסי הקרן'!$C$42</f>
        <v>1.8193193156633067E-4</v>
      </c>
    </row>
    <row r="120" spans="2:21" s="131" customFormat="1">
      <c r="B120" s="87" t="s">
        <v>595</v>
      </c>
      <c r="C120" s="84" t="s">
        <v>596</v>
      </c>
      <c r="D120" s="97" t="s">
        <v>121</v>
      </c>
      <c r="E120" s="97" t="s">
        <v>339</v>
      </c>
      <c r="F120" s="84" t="s">
        <v>597</v>
      </c>
      <c r="G120" s="97" t="s">
        <v>400</v>
      </c>
      <c r="H120" s="84" t="s">
        <v>529</v>
      </c>
      <c r="I120" s="84" t="s">
        <v>161</v>
      </c>
      <c r="J120" s="84"/>
      <c r="K120" s="94">
        <v>7.4599999999835864</v>
      </c>
      <c r="L120" s="97" t="s">
        <v>165</v>
      </c>
      <c r="M120" s="98">
        <v>1.9599999999999999E-2</v>
      </c>
      <c r="N120" s="98">
        <v>6.4000000000069834E-3</v>
      </c>
      <c r="O120" s="94">
        <v>203150.41724199997</v>
      </c>
      <c r="P120" s="96">
        <v>112.77</v>
      </c>
      <c r="Q120" s="84"/>
      <c r="R120" s="94">
        <v>229.09273340599998</v>
      </c>
      <c r="S120" s="95">
        <v>2.7590279741543041E-4</v>
      </c>
      <c r="T120" s="95">
        <f t="shared" si="1"/>
        <v>3.2901579694687702E-3</v>
      </c>
      <c r="U120" s="95">
        <f>R120/'סכום נכסי הקרן'!$C$42</f>
        <v>9.5903846113398186E-4</v>
      </c>
    </row>
    <row r="121" spans="2:21" s="131" customFormat="1">
      <c r="B121" s="87" t="s">
        <v>598</v>
      </c>
      <c r="C121" s="84" t="s">
        <v>599</v>
      </c>
      <c r="D121" s="97" t="s">
        <v>121</v>
      </c>
      <c r="E121" s="97" t="s">
        <v>339</v>
      </c>
      <c r="F121" s="84" t="s">
        <v>597</v>
      </c>
      <c r="G121" s="97" t="s">
        <v>400</v>
      </c>
      <c r="H121" s="84" t="s">
        <v>529</v>
      </c>
      <c r="I121" s="84" t="s">
        <v>161</v>
      </c>
      <c r="J121" s="84"/>
      <c r="K121" s="94">
        <v>3.3899999999800134</v>
      </c>
      <c r="L121" s="97" t="s">
        <v>165</v>
      </c>
      <c r="M121" s="98">
        <v>2.75E-2</v>
      </c>
      <c r="N121" s="98">
        <v>8.0000000005374416E-4</v>
      </c>
      <c r="O121" s="94">
        <v>53233.249640999995</v>
      </c>
      <c r="P121" s="96">
        <v>111.85</v>
      </c>
      <c r="Q121" s="84"/>
      <c r="R121" s="94">
        <v>59.541389820999989</v>
      </c>
      <c r="S121" s="95">
        <v>1.2015863239906523E-4</v>
      </c>
      <c r="T121" s="95">
        <f t="shared" si="1"/>
        <v>8.5511476213273542E-4</v>
      </c>
      <c r="U121" s="95">
        <f>R121/'סכום נכסי הקרן'!$C$42</f>
        <v>2.4925488477416211E-4</v>
      </c>
    </row>
    <row r="122" spans="2:21" s="131" customFormat="1">
      <c r="B122" s="87" t="s">
        <v>600</v>
      </c>
      <c r="C122" s="84" t="s">
        <v>601</v>
      </c>
      <c r="D122" s="97" t="s">
        <v>121</v>
      </c>
      <c r="E122" s="97" t="s">
        <v>339</v>
      </c>
      <c r="F122" s="84" t="s">
        <v>378</v>
      </c>
      <c r="G122" s="97" t="s">
        <v>347</v>
      </c>
      <c r="H122" s="84" t="s">
        <v>529</v>
      </c>
      <c r="I122" s="84" t="s">
        <v>161</v>
      </c>
      <c r="J122" s="84"/>
      <c r="K122" s="94">
        <v>3.5099999999973477</v>
      </c>
      <c r="L122" s="97" t="s">
        <v>165</v>
      </c>
      <c r="M122" s="98">
        <v>1.4199999999999999E-2</v>
      </c>
      <c r="N122" s="98">
        <v>1.2899999999985368E-2</v>
      </c>
      <c r="O122" s="94">
        <f>425636.0496/50000</f>
        <v>8.5127209920000002</v>
      </c>
      <c r="P122" s="96">
        <v>5138001</v>
      </c>
      <c r="Q122" s="84"/>
      <c r="R122" s="94">
        <v>437.38371461599996</v>
      </c>
      <c r="S122" s="95">
        <f>2008.38035955268%/50000</f>
        <v>4.0167607191053596E-4</v>
      </c>
      <c r="T122" s="95">
        <f t="shared" si="1"/>
        <v>6.2815676995279035E-3</v>
      </c>
      <c r="U122" s="95">
        <f>R122/'סכום נכסי הקרן'!$C$42</f>
        <v>1.8309956774011208E-3</v>
      </c>
    </row>
    <row r="123" spans="2:21" s="131" customFormat="1">
      <c r="B123" s="87" t="s">
        <v>602</v>
      </c>
      <c r="C123" s="84" t="s">
        <v>603</v>
      </c>
      <c r="D123" s="97" t="s">
        <v>121</v>
      </c>
      <c r="E123" s="97" t="s">
        <v>339</v>
      </c>
      <c r="F123" s="84" t="s">
        <v>378</v>
      </c>
      <c r="G123" s="97" t="s">
        <v>347</v>
      </c>
      <c r="H123" s="84" t="s">
        <v>529</v>
      </c>
      <c r="I123" s="84" t="s">
        <v>161</v>
      </c>
      <c r="J123" s="84"/>
      <c r="K123" s="94">
        <v>4.1099999999982586</v>
      </c>
      <c r="L123" s="97" t="s">
        <v>165</v>
      </c>
      <c r="M123" s="98">
        <v>1.5900000000000001E-2</v>
      </c>
      <c r="N123" s="98">
        <v>1.2099999999995026E-2</v>
      </c>
      <c r="O123" s="94">
        <f>310504.0848/50000</f>
        <v>6.2100816960000005</v>
      </c>
      <c r="P123" s="96">
        <v>5178667</v>
      </c>
      <c r="Q123" s="84"/>
      <c r="R123" s="94">
        <v>321.59946099599995</v>
      </c>
      <c r="S123" s="95">
        <f>2074.17558316633%/50000</f>
        <v>4.1483511663326593E-4</v>
      </c>
      <c r="T123" s="95">
        <f t="shared" si="1"/>
        <v>4.6187105712238103E-3</v>
      </c>
      <c r="U123" s="95">
        <f>R123/'סכום נכסי הקרן'!$C$42</f>
        <v>1.346294348099319E-3</v>
      </c>
    </row>
    <row r="124" spans="2:21" s="131" customFormat="1">
      <c r="B124" s="87" t="s">
        <v>604</v>
      </c>
      <c r="C124" s="84" t="s">
        <v>605</v>
      </c>
      <c r="D124" s="97" t="s">
        <v>121</v>
      </c>
      <c r="E124" s="97" t="s">
        <v>339</v>
      </c>
      <c r="F124" s="84" t="s">
        <v>606</v>
      </c>
      <c r="G124" s="97" t="s">
        <v>471</v>
      </c>
      <c r="H124" s="84" t="s">
        <v>521</v>
      </c>
      <c r="I124" s="84" t="s">
        <v>343</v>
      </c>
      <c r="J124" s="84"/>
      <c r="K124" s="94">
        <v>4.5600000000114571</v>
      </c>
      <c r="L124" s="97" t="s">
        <v>165</v>
      </c>
      <c r="M124" s="98">
        <v>1.9400000000000001E-2</v>
      </c>
      <c r="N124" s="98">
        <v>-2.9999999999218868E-4</v>
      </c>
      <c r="O124" s="94">
        <v>206501.40291899993</v>
      </c>
      <c r="P124" s="96">
        <v>111.59</v>
      </c>
      <c r="Q124" s="84"/>
      <c r="R124" s="94">
        <v>230.43489900599997</v>
      </c>
      <c r="S124" s="95">
        <v>3.4290131356779668E-4</v>
      </c>
      <c r="T124" s="95">
        <f t="shared" si="1"/>
        <v>3.3094337307709013E-3</v>
      </c>
      <c r="U124" s="95">
        <f>R124/'סכום נכסי הקרן'!$C$42</f>
        <v>9.6465709605301174E-4</v>
      </c>
    </row>
    <row r="125" spans="2:21" s="131" customFormat="1">
      <c r="B125" s="87" t="s">
        <v>607</v>
      </c>
      <c r="C125" s="84" t="s">
        <v>608</v>
      </c>
      <c r="D125" s="97" t="s">
        <v>121</v>
      </c>
      <c r="E125" s="97" t="s">
        <v>339</v>
      </c>
      <c r="F125" s="84" t="s">
        <v>606</v>
      </c>
      <c r="G125" s="97" t="s">
        <v>471</v>
      </c>
      <c r="H125" s="84" t="s">
        <v>521</v>
      </c>
      <c r="I125" s="84" t="s">
        <v>343</v>
      </c>
      <c r="J125" s="84"/>
      <c r="K125" s="94">
        <v>6.0399999999969554</v>
      </c>
      <c r="L125" s="97" t="s">
        <v>165</v>
      </c>
      <c r="M125" s="98">
        <v>1.23E-2</v>
      </c>
      <c r="N125" s="98">
        <v>2.3999999999903101E-3</v>
      </c>
      <c r="O125" s="94">
        <v>535054.38058400003</v>
      </c>
      <c r="P125" s="96">
        <v>108.01</v>
      </c>
      <c r="Q125" s="84"/>
      <c r="R125" s="94">
        <v>577.91221771899984</v>
      </c>
      <c r="S125" s="95">
        <v>3.6658080680962554E-4</v>
      </c>
      <c r="T125" s="95">
        <f t="shared" si="1"/>
        <v>8.2997939764934501E-3</v>
      </c>
      <c r="U125" s="95">
        <f>R125/'סכום נכסי הקרן'!$C$42</f>
        <v>2.419282513730052E-3</v>
      </c>
    </row>
    <row r="126" spans="2:21" s="131" customFormat="1">
      <c r="B126" s="87" t="s">
        <v>609</v>
      </c>
      <c r="C126" s="84" t="s">
        <v>610</v>
      </c>
      <c r="D126" s="97" t="s">
        <v>121</v>
      </c>
      <c r="E126" s="97" t="s">
        <v>339</v>
      </c>
      <c r="F126" s="84" t="s">
        <v>611</v>
      </c>
      <c r="G126" s="97" t="s">
        <v>467</v>
      </c>
      <c r="H126" s="84" t="s">
        <v>529</v>
      </c>
      <c r="I126" s="84" t="s">
        <v>161</v>
      </c>
      <c r="J126" s="84"/>
      <c r="K126" s="94">
        <v>9.9999999981631501E-3</v>
      </c>
      <c r="L126" s="97" t="s">
        <v>165</v>
      </c>
      <c r="M126" s="98">
        <v>3.6000000000000004E-2</v>
      </c>
      <c r="N126" s="98">
        <v>6.2399999999893117E-2</v>
      </c>
      <c r="O126" s="94">
        <v>0</v>
      </c>
      <c r="P126" s="96">
        <v>109.29</v>
      </c>
      <c r="Q126" s="94">
        <v>239.54080444352482</v>
      </c>
      <c r="R126" s="94">
        <v>239.54080444399997</v>
      </c>
      <c r="S126" s="95">
        <v>5.2978659631096022E-4</v>
      </c>
      <c r="T126" s="95">
        <f t="shared" si="1"/>
        <v>3.4402098880965447E-3</v>
      </c>
      <c r="U126" s="95">
        <f>R126/'סכום נכסי הקרן'!$C$42</f>
        <v>1.0027766531801885E-3</v>
      </c>
    </row>
    <row r="127" spans="2:21" s="131" customFormat="1">
      <c r="B127" s="87" t="s">
        <v>612</v>
      </c>
      <c r="C127" s="84" t="s">
        <v>613</v>
      </c>
      <c r="D127" s="97" t="s">
        <v>121</v>
      </c>
      <c r="E127" s="97" t="s">
        <v>339</v>
      </c>
      <c r="F127" s="84" t="s">
        <v>611</v>
      </c>
      <c r="G127" s="97" t="s">
        <v>467</v>
      </c>
      <c r="H127" s="84" t="s">
        <v>529</v>
      </c>
      <c r="I127" s="84" t="s">
        <v>161</v>
      </c>
      <c r="J127" s="84"/>
      <c r="K127" s="94">
        <v>6.5900000000271719</v>
      </c>
      <c r="L127" s="97" t="s">
        <v>165</v>
      </c>
      <c r="M127" s="98">
        <v>2.2499999999999999E-2</v>
      </c>
      <c r="N127" s="98">
        <v>2.7000000000461416E-3</v>
      </c>
      <c r="O127" s="94">
        <v>83156.046447999979</v>
      </c>
      <c r="P127" s="96">
        <v>117.28</v>
      </c>
      <c r="Q127" s="84"/>
      <c r="R127" s="94">
        <v>97.525411964999989</v>
      </c>
      <c r="S127" s="95">
        <v>2.0325780220816755E-4</v>
      </c>
      <c r="T127" s="95">
        <f t="shared" si="1"/>
        <v>1.4006293723586344E-3</v>
      </c>
      <c r="U127" s="95">
        <f>R127/'סכום נכסי הקרן'!$C$42</f>
        <v>4.0826533265293709E-4</v>
      </c>
    </row>
    <row r="128" spans="2:21" s="131" customFormat="1">
      <c r="B128" s="87" t="s">
        <v>614</v>
      </c>
      <c r="C128" s="84" t="s">
        <v>615</v>
      </c>
      <c r="D128" s="97" t="s">
        <v>121</v>
      </c>
      <c r="E128" s="97" t="s">
        <v>339</v>
      </c>
      <c r="F128" s="84" t="s">
        <v>616</v>
      </c>
      <c r="G128" s="97" t="s">
        <v>157</v>
      </c>
      <c r="H128" s="84" t="s">
        <v>521</v>
      </c>
      <c r="I128" s="84" t="s">
        <v>343</v>
      </c>
      <c r="J128" s="84"/>
      <c r="K128" s="94">
        <v>1.7699999999986293</v>
      </c>
      <c r="L128" s="97" t="s">
        <v>165</v>
      </c>
      <c r="M128" s="98">
        <v>2.1499999999999998E-2</v>
      </c>
      <c r="N128" s="98">
        <v>1.2999999999803668E-3</v>
      </c>
      <c r="O128" s="94">
        <v>255853.36906899995</v>
      </c>
      <c r="P128" s="96">
        <v>105.51</v>
      </c>
      <c r="Q128" s="84"/>
      <c r="R128" s="94">
        <v>269.95088048099996</v>
      </c>
      <c r="S128" s="95">
        <v>2.9253638940861162E-4</v>
      </c>
      <c r="T128" s="95">
        <f t="shared" si="1"/>
        <v>3.876949860324168E-3</v>
      </c>
      <c r="U128" s="95">
        <f>R128/'סכום נכסי הקרן'!$C$42</f>
        <v>1.1300807020336561E-3</v>
      </c>
    </row>
    <row r="129" spans="2:21" s="131" customFormat="1">
      <c r="B129" s="87" t="s">
        <v>617</v>
      </c>
      <c r="C129" s="84" t="s">
        <v>618</v>
      </c>
      <c r="D129" s="97" t="s">
        <v>121</v>
      </c>
      <c r="E129" s="97" t="s">
        <v>339</v>
      </c>
      <c r="F129" s="84" t="s">
        <v>616</v>
      </c>
      <c r="G129" s="97" t="s">
        <v>157</v>
      </c>
      <c r="H129" s="84" t="s">
        <v>521</v>
      </c>
      <c r="I129" s="84" t="s">
        <v>343</v>
      </c>
      <c r="J129" s="84"/>
      <c r="K129" s="94">
        <v>3.4099999999971118</v>
      </c>
      <c r="L129" s="97" t="s">
        <v>165</v>
      </c>
      <c r="M129" s="98">
        <v>1.8000000000000002E-2</v>
      </c>
      <c r="N129" s="98">
        <v>1.4999999999969274E-3</v>
      </c>
      <c r="O129" s="94">
        <v>151879.90137599997</v>
      </c>
      <c r="P129" s="96">
        <v>107.14</v>
      </c>
      <c r="Q129" s="84"/>
      <c r="R129" s="94">
        <v>162.72412726699997</v>
      </c>
      <c r="S129" s="95">
        <v>2.0210190290615348E-4</v>
      </c>
      <c r="T129" s="95">
        <f t="shared" si="1"/>
        <v>2.3369928683139476E-3</v>
      </c>
      <c r="U129" s="95">
        <f>R129/'סכום נכסי הקרן'!$C$42</f>
        <v>6.8120317167347862E-4</v>
      </c>
    </row>
    <row r="130" spans="2:21" s="131" customFormat="1">
      <c r="B130" s="87" t="s">
        <v>619</v>
      </c>
      <c r="C130" s="84" t="s">
        <v>620</v>
      </c>
      <c r="D130" s="97" t="s">
        <v>121</v>
      </c>
      <c r="E130" s="97" t="s">
        <v>339</v>
      </c>
      <c r="F130" s="84" t="s">
        <v>621</v>
      </c>
      <c r="G130" s="97" t="s">
        <v>347</v>
      </c>
      <c r="H130" s="84" t="s">
        <v>622</v>
      </c>
      <c r="I130" s="84" t="s">
        <v>161</v>
      </c>
      <c r="J130" s="84"/>
      <c r="K130" s="94">
        <v>1.2600000000772484</v>
      </c>
      <c r="L130" s="97" t="s">
        <v>165</v>
      </c>
      <c r="M130" s="98">
        <v>4.1500000000000002E-2</v>
      </c>
      <c r="N130" s="98">
        <v>-2.9999999996868304E-3</v>
      </c>
      <c r="O130" s="94">
        <v>8597.6323570000004</v>
      </c>
      <c r="P130" s="96">
        <v>111.42</v>
      </c>
      <c r="Q130" s="84"/>
      <c r="R130" s="94">
        <v>9.5794820009999988</v>
      </c>
      <c r="S130" s="95">
        <v>4.286027401359003E-5</v>
      </c>
      <c r="T130" s="95">
        <f t="shared" si="1"/>
        <v>1.3757751535975747E-4</v>
      </c>
      <c r="U130" s="95">
        <f>R130/'סכום נכסי הקרן'!$C$42</f>
        <v>4.0102064959076106E-5</v>
      </c>
    </row>
    <row r="131" spans="2:21" s="131" customFormat="1">
      <c r="B131" s="87" t="s">
        <v>623</v>
      </c>
      <c r="C131" s="84" t="s">
        <v>624</v>
      </c>
      <c r="D131" s="97" t="s">
        <v>121</v>
      </c>
      <c r="E131" s="97" t="s">
        <v>339</v>
      </c>
      <c r="F131" s="84" t="s">
        <v>625</v>
      </c>
      <c r="G131" s="97" t="s">
        <v>157</v>
      </c>
      <c r="H131" s="84" t="s">
        <v>626</v>
      </c>
      <c r="I131" s="84" t="s">
        <v>343</v>
      </c>
      <c r="J131" s="84"/>
      <c r="K131" s="94">
        <v>2.4399999999971063</v>
      </c>
      <c r="L131" s="97" t="s">
        <v>165</v>
      </c>
      <c r="M131" s="98">
        <v>3.15E-2</v>
      </c>
      <c r="N131" s="98">
        <v>1.1599999999956589E-2</v>
      </c>
      <c r="O131" s="94">
        <v>131031.75606599997</v>
      </c>
      <c r="P131" s="96">
        <v>105.49</v>
      </c>
      <c r="Q131" s="94"/>
      <c r="R131" s="94">
        <v>138.225403185</v>
      </c>
      <c r="S131" s="95">
        <v>2.7605799619090149E-4</v>
      </c>
      <c r="T131" s="95">
        <f t="shared" si="1"/>
        <v>1.9851498784389243E-3</v>
      </c>
      <c r="U131" s="95">
        <f>R131/'סכום נכסי הקרן'!$C$42</f>
        <v>5.7864549429089286E-4</v>
      </c>
    </row>
    <row r="132" spans="2:21" s="131" customFormat="1">
      <c r="B132" s="87" t="s">
        <v>627</v>
      </c>
      <c r="C132" s="84" t="s">
        <v>628</v>
      </c>
      <c r="D132" s="97" t="s">
        <v>121</v>
      </c>
      <c r="E132" s="97" t="s">
        <v>339</v>
      </c>
      <c r="F132" s="84" t="s">
        <v>625</v>
      </c>
      <c r="G132" s="97" t="s">
        <v>157</v>
      </c>
      <c r="H132" s="84" t="s">
        <v>626</v>
      </c>
      <c r="I132" s="84" t="s">
        <v>343</v>
      </c>
      <c r="J132" s="84"/>
      <c r="K132" s="94">
        <v>1.5599999999902794</v>
      </c>
      <c r="L132" s="97" t="s">
        <v>165</v>
      </c>
      <c r="M132" s="98">
        <v>2.8500000000000001E-2</v>
      </c>
      <c r="N132" s="98">
        <v>9.7999999999745426E-3</v>
      </c>
      <c r="O132" s="94">
        <v>81453.904652999991</v>
      </c>
      <c r="P132" s="96">
        <v>106.09</v>
      </c>
      <c r="Q132" s="84"/>
      <c r="R132" s="94">
        <v>86.414443388999985</v>
      </c>
      <c r="S132" s="95">
        <v>2.7930242497977597E-4</v>
      </c>
      <c r="T132" s="95">
        <f t="shared" si="1"/>
        <v>1.2410571272448744E-3</v>
      </c>
      <c r="U132" s="95">
        <f>R132/'סכום נכסי הקרן'!$C$42</f>
        <v>3.6175208866474521E-4</v>
      </c>
    </row>
    <row r="133" spans="2:21" s="131" customFormat="1">
      <c r="B133" s="87" t="s">
        <v>629</v>
      </c>
      <c r="C133" s="84" t="s">
        <v>630</v>
      </c>
      <c r="D133" s="97" t="s">
        <v>121</v>
      </c>
      <c r="E133" s="97" t="s">
        <v>339</v>
      </c>
      <c r="F133" s="84" t="s">
        <v>631</v>
      </c>
      <c r="G133" s="97" t="s">
        <v>400</v>
      </c>
      <c r="H133" s="84" t="s">
        <v>622</v>
      </c>
      <c r="I133" s="84" t="s">
        <v>161</v>
      </c>
      <c r="J133" s="84"/>
      <c r="K133" s="94">
        <v>4.8200000000220822</v>
      </c>
      <c r="L133" s="97" t="s">
        <v>165</v>
      </c>
      <c r="M133" s="98">
        <v>2.5000000000000001E-2</v>
      </c>
      <c r="N133" s="98">
        <v>7.9000000000844332E-3</v>
      </c>
      <c r="O133" s="94">
        <v>69162.283478999991</v>
      </c>
      <c r="P133" s="96">
        <v>111.31</v>
      </c>
      <c r="Q133" s="84"/>
      <c r="R133" s="94">
        <v>76.984539164999987</v>
      </c>
      <c r="S133" s="95">
        <v>2.8926581898658903E-4</v>
      </c>
      <c r="T133" s="95">
        <f t="shared" si="1"/>
        <v>1.1056278009949818E-3</v>
      </c>
      <c r="U133" s="95">
        <f>R133/'סכום נכסי הקרן'!$C$42</f>
        <v>3.2227619302558242E-4</v>
      </c>
    </row>
    <row r="134" spans="2:21" s="131" customFormat="1">
      <c r="B134" s="87" t="s">
        <v>632</v>
      </c>
      <c r="C134" s="84" t="s">
        <v>633</v>
      </c>
      <c r="D134" s="97" t="s">
        <v>121</v>
      </c>
      <c r="E134" s="97" t="s">
        <v>339</v>
      </c>
      <c r="F134" s="84" t="s">
        <v>631</v>
      </c>
      <c r="G134" s="97" t="s">
        <v>400</v>
      </c>
      <c r="H134" s="84" t="s">
        <v>622</v>
      </c>
      <c r="I134" s="84" t="s">
        <v>161</v>
      </c>
      <c r="J134" s="84"/>
      <c r="K134" s="94">
        <v>6.9600000000167794</v>
      </c>
      <c r="L134" s="97" t="s">
        <v>165</v>
      </c>
      <c r="M134" s="98">
        <v>1.9E-2</v>
      </c>
      <c r="N134" s="98">
        <v>1.5100000000019742E-2</v>
      </c>
      <c r="O134" s="94">
        <v>154862.52493499999</v>
      </c>
      <c r="P134" s="96">
        <v>104.67</v>
      </c>
      <c r="Q134" s="84"/>
      <c r="R134" s="94">
        <v>162.09460086799999</v>
      </c>
      <c r="S134" s="95">
        <v>6.2508486474475511E-4</v>
      </c>
      <c r="T134" s="95">
        <f t="shared" si="1"/>
        <v>2.3279518076575619E-3</v>
      </c>
      <c r="U134" s="95">
        <f>R134/'סכום נכסי הקרן'!$C$42</f>
        <v>6.7856781951732698E-4</v>
      </c>
    </row>
    <row r="135" spans="2:21" s="131" customFormat="1">
      <c r="B135" s="87" t="s">
        <v>634</v>
      </c>
      <c r="C135" s="84" t="s">
        <v>635</v>
      </c>
      <c r="D135" s="97" t="s">
        <v>121</v>
      </c>
      <c r="E135" s="97" t="s">
        <v>339</v>
      </c>
      <c r="F135" s="84" t="s">
        <v>636</v>
      </c>
      <c r="G135" s="97" t="s">
        <v>400</v>
      </c>
      <c r="H135" s="84" t="s">
        <v>622</v>
      </c>
      <c r="I135" s="84" t="s">
        <v>161</v>
      </c>
      <c r="J135" s="84"/>
      <c r="K135" s="94">
        <v>1.2699999999940605</v>
      </c>
      <c r="L135" s="97" t="s">
        <v>165</v>
      </c>
      <c r="M135" s="98">
        <v>4.5999999999999999E-2</v>
      </c>
      <c r="N135" s="98">
        <v>-2.3999999999236334E-3</v>
      </c>
      <c r="O135" s="94">
        <v>36198.303455999994</v>
      </c>
      <c r="P135" s="96">
        <v>130.22999999999999</v>
      </c>
      <c r="Q135" s="84"/>
      <c r="R135" s="94">
        <v>47.141051063999996</v>
      </c>
      <c r="S135" s="95">
        <v>1.8847080986089253E-4</v>
      </c>
      <c r="T135" s="95">
        <f t="shared" si="1"/>
        <v>6.7702498696229577E-4</v>
      </c>
      <c r="U135" s="95">
        <f>R135/'סכום נכסי הקרן'!$C$42</f>
        <v>1.9734402046063743E-4</v>
      </c>
    </row>
    <row r="136" spans="2:21" s="131" customFormat="1">
      <c r="B136" s="87" t="s">
        <v>637</v>
      </c>
      <c r="C136" s="84" t="s">
        <v>638</v>
      </c>
      <c r="D136" s="97" t="s">
        <v>121</v>
      </c>
      <c r="E136" s="97" t="s">
        <v>339</v>
      </c>
      <c r="F136" s="84" t="s">
        <v>639</v>
      </c>
      <c r="G136" s="97" t="s">
        <v>400</v>
      </c>
      <c r="H136" s="84" t="s">
        <v>622</v>
      </c>
      <c r="I136" s="84" t="s">
        <v>161</v>
      </c>
      <c r="J136" s="84"/>
      <c r="K136" s="94">
        <v>6.590000000003096</v>
      </c>
      <c r="L136" s="97" t="s">
        <v>165</v>
      </c>
      <c r="M136" s="98">
        <v>2.6000000000000002E-2</v>
      </c>
      <c r="N136" s="98">
        <v>8.5000000000017804E-3</v>
      </c>
      <c r="O136" s="94">
        <v>246234.23593599998</v>
      </c>
      <c r="P136" s="96">
        <v>114.12</v>
      </c>
      <c r="Q136" s="84"/>
      <c r="R136" s="94">
        <v>281.00249960699989</v>
      </c>
      <c r="S136" s="95">
        <v>4.1855386786551567E-4</v>
      </c>
      <c r="T136" s="95">
        <f t="shared" si="1"/>
        <v>4.035669747255291E-3</v>
      </c>
      <c r="U136" s="95">
        <f>R136/'סכום נכסי הקרן'!$C$42</f>
        <v>1.1763454946443163E-3</v>
      </c>
    </row>
    <row r="137" spans="2:21" s="131" customFormat="1">
      <c r="B137" s="87" t="s">
        <v>640</v>
      </c>
      <c r="C137" s="84" t="s">
        <v>641</v>
      </c>
      <c r="D137" s="97" t="s">
        <v>121</v>
      </c>
      <c r="E137" s="97" t="s">
        <v>339</v>
      </c>
      <c r="F137" s="84" t="s">
        <v>639</v>
      </c>
      <c r="G137" s="97" t="s">
        <v>400</v>
      </c>
      <c r="H137" s="84" t="s">
        <v>622</v>
      </c>
      <c r="I137" s="84" t="s">
        <v>161</v>
      </c>
      <c r="J137" s="84"/>
      <c r="K137" s="94">
        <v>3.489999999917953</v>
      </c>
      <c r="L137" s="97" t="s">
        <v>165</v>
      </c>
      <c r="M137" s="98">
        <v>4.4000000000000004E-2</v>
      </c>
      <c r="N137" s="98">
        <v>1.8000000001823281E-3</v>
      </c>
      <c r="O137" s="94">
        <v>4666.1817940000001</v>
      </c>
      <c r="P137" s="96">
        <v>117.54</v>
      </c>
      <c r="Q137" s="84"/>
      <c r="R137" s="94">
        <v>5.4846303049999987</v>
      </c>
      <c r="S137" s="95">
        <v>1.7988225973585399E-5</v>
      </c>
      <c r="T137" s="95">
        <f t="shared" si="1"/>
        <v>7.8768539880335941E-5</v>
      </c>
      <c r="U137" s="95">
        <f>R137/'סכום נכסי הקרן'!$C$42</f>
        <v>2.296000981521416E-5</v>
      </c>
    </row>
    <row r="138" spans="2:21" s="131" customFormat="1">
      <c r="B138" s="87" t="s">
        <v>642</v>
      </c>
      <c r="C138" s="84" t="s">
        <v>643</v>
      </c>
      <c r="D138" s="97" t="s">
        <v>121</v>
      </c>
      <c r="E138" s="97" t="s">
        <v>339</v>
      </c>
      <c r="F138" s="84" t="s">
        <v>639</v>
      </c>
      <c r="G138" s="97" t="s">
        <v>400</v>
      </c>
      <c r="H138" s="84" t="s">
        <v>622</v>
      </c>
      <c r="I138" s="84" t="s">
        <v>161</v>
      </c>
      <c r="J138" s="84"/>
      <c r="K138" s="94">
        <v>5.5800000000216494</v>
      </c>
      <c r="L138" s="97" t="s">
        <v>165</v>
      </c>
      <c r="M138" s="98">
        <v>2.4E-2</v>
      </c>
      <c r="N138" s="98">
        <v>2.6000000000721652E-3</v>
      </c>
      <c r="O138" s="94">
        <v>36465.997506273729</v>
      </c>
      <c r="P138" s="96">
        <v>114</v>
      </c>
      <c r="Q138" s="94"/>
      <c r="R138" s="94">
        <v>41.571236994999992</v>
      </c>
      <c r="S138" s="95">
        <v>7.4261236994024001E-5</v>
      </c>
      <c r="T138" s="95">
        <f t="shared" si="1"/>
        <v>5.9703306458602854E-4</v>
      </c>
      <c r="U138" s="95">
        <f>R138/'סכום נכסי הקרן'!$C$42</f>
        <v>1.740274104830105E-4</v>
      </c>
    </row>
    <row r="139" spans="2:21" s="131" customFormat="1">
      <c r="B139" s="87" t="s">
        <v>644</v>
      </c>
      <c r="C139" s="84" t="s">
        <v>645</v>
      </c>
      <c r="D139" s="97" t="s">
        <v>121</v>
      </c>
      <c r="E139" s="97" t="s">
        <v>339</v>
      </c>
      <c r="F139" s="84" t="s">
        <v>574</v>
      </c>
      <c r="G139" s="97" t="s">
        <v>400</v>
      </c>
      <c r="H139" s="84" t="s">
        <v>626</v>
      </c>
      <c r="I139" s="84" t="s">
        <v>343</v>
      </c>
      <c r="J139" s="84"/>
      <c r="K139" s="94">
        <v>6.4200000000699271</v>
      </c>
      <c r="L139" s="97" t="s">
        <v>165</v>
      </c>
      <c r="M139" s="98">
        <v>2.81E-2</v>
      </c>
      <c r="N139" s="98">
        <v>9.5000000000602831E-3</v>
      </c>
      <c r="O139" s="94">
        <v>21569.559569999998</v>
      </c>
      <c r="P139" s="96">
        <v>115.36</v>
      </c>
      <c r="Q139" s="84"/>
      <c r="R139" s="94">
        <v>24.882644002999999</v>
      </c>
      <c r="S139" s="95">
        <v>4.1200944317419926E-5</v>
      </c>
      <c r="T139" s="95">
        <f t="shared" si="1"/>
        <v>3.5735672734253833E-4</v>
      </c>
      <c r="U139" s="95">
        <f>R139/'סכום נכסי הקרן'!$C$42</f>
        <v>1.0416486048595392E-4</v>
      </c>
    </row>
    <row r="140" spans="2:21" s="131" customFormat="1">
      <c r="B140" s="87" t="s">
        <v>646</v>
      </c>
      <c r="C140" s="84" t="s">
        <v>647</v>
      </c>
      <c r="D140" s="97" t="s">
        <v>121</v>
      </c>
      <c r="E140" s="97" t="s">
        <v>339</v>
      </c>
      <c r="F140" s="84" t="s">
        <v>574</v>
      </c>
      <c r="G140" s="97" t="s">
        <v>400</v>
      </c>
      <c r="H140" s="84" t="s">
        <v>626</v>
      </c>
      <c r="I140" s="84" t="s">
        <v>343</v>
      </c>
      <c r="J140" s="84"/>
      <c r="K140" s="94">
        <v>4.6700000000251407</v>
      </c>
      <c r="L140" s="97" t="s">
        <v>165</v>
      </c>
      <c r="M140" s="98">
        <v>3.7000000000000005E-2</v>
      </c>
      <c r="N140" s="98">
        <v>5.4000000000239438E-3</v>
      </c>
      <c r="O140" s="94">
        <v>56909.094653999993</v>
      </c>
      <c r="P140" s="96">
        <v>117.42</v>
      </c>
      <c r="Q140" s="84"/>
      <c r="R140" s="94">
        <v>66.822660095999993</v>
      </c>
      <c r="S140" s="95">
        <v>8.9048103896928121E-5</v>
      </c>
      <c r="T140" s="95">
        <f t="shared" ref="T140:T164" si="2">R140/$R$11</f>
        <v>9.5968608164591861E-4</v>
      </c>
      <c r="U140" s="95">
        <f>R140/'סכום נכסי הקרן'!$C$42</f>
        <v>2.7973607086774824E-4</v>
      </c>
    </row>
    <row r="141" spans="2:21" s="131" customFormat="1">
      <c r="B141" s="87" t="s">
        <v>648</v>
      </c>
      <c r="C141" s="84" t="s">
        <v>649</v>
      </c>
      <c r="D141" s="97" t="s">
        <v>121</v>
      </c>
      <c r="E141" s="97" t="s">
        <v>339</v>
      </c>
      <c r="F141" s="84" t="s">
        <v>650</v>
      </c>
      <c r="G141" s="97" t="s">
        <v>400</v>
      </c>
      <c r="H141" s="84" t="s">
        <v>622</v>
      </c>
      <c r="I141" s="84" t="s">
        <v>161</v>
      </c>
      <c r="J141" s="84"/>
      <c r="K141" s="94">
        <v>0.74999999999043809</v>
      </c>
      <c r="L141" s="97" t="s">
        <v>165</v>
      </c>
      <c r="M141" s="98">
        <v>4.4999999999999998E-2</v>
      </c>
      <c r="N141" s="98">
        <v>-8.0000000003059774E-4</v>
      </c>
      <c r="O141" s="94">
        <v>45978.446768999995</v>
      </c>
      <c r="P141" s="96">
        <v>113.73</v>
      </c>
      <c r="Q141" s="84"/>
      <c r="R141" s="94">
        <v>52.291289997999996</v>
      </c>
      <c r="S141" s="95">
        <v>2.6462415406618703E-4</v>
      </c>
      <c r="T141" s="95">
        <f t="shared" si="2"/>
        <v>7.5099110287282626E-4</v>
      </c>
      <c r="U141" s="95">
        <f>R141/'סכום נכסי הקרן'!$C$42</f>
        <v>2.1890418585000511E-4</v>
      </c>
    </row>
    <row r="142" spans="2:21" s="131" customFormat="1">
      <c r="B142" s="87" t="s">
        <v>651</v>
      </c>
      <c r="C142" s="84" t="s">
        <v>652</v>
      </c>
      <c r="D142" s="97" t="s">
        <v>121</v>
      </c>
      <c r="E142" s="97" t="s">
        <v>339</v>
      </c>
      <c r="F142" s="84" t="s">
        <v>650</v>
      </c>
      <c r="G142" s="97" t="s">
        <v>400</v>
      </c>
      <c r="H142" s="84" t="s">
        <v>622</v>
      </c>
      <c r="I142" s="84" t="s">
        <v>161</v>
      </c>
      <c r="J142" s="84"/>
      <c r="K142" s="94">
        <v>2.7097353073126964</v>
      </c>
      <c r="L142" s="97" t="s">
        <v>165</v>
      </c>
      <c r="M142" s="98">
        <v>3.3000000000000002E-2</v>
      </c>
      <c r="N142" s="98">
        <v>1.3997308209959618E-3</v>
      </c>
      <c r="O142" s="94">
        <v>1.9980000000000002E-3</v>
      </c>
      <c r="P142" s="96">
        <v>110.61</v>
      </c>
      <c r="Q142" s="84"/>
      <c r="R142" s="94">
        <v>2.2290000000000002E-6</v>
      </c>
      <c r="S142" s="95">
        <v>3.6236986627953431E-12</v>
      </c>
      <c r="T142" s="95">
        <f t="shared" si="2"/>
        <v>3.2012198749878888E-11</v>
      </c>
      <c r="U142" s="95">
        <f>R142/'סכום נכסי הקרן'!$C$42</f>
        <v>9.3311415778483131E-12</v>
      </c>
    </row>
    <row r="143" spans="2:21" s="131" customFormat="1">
      <c r="B143" s="87" t="s">
        <v>653</v>
      </c>
      <c r="C143" s="84" t="s">
        <v>654</v>
      </c>
      <c r="D143" s="97" t="s">
        <v>121</v>
      </c>
      <c r="E143" s="97" t="s">
        <v>339</v>
      </c>
      <c r="F143" s="84" t="s">
        <v>650</v>
      </c>
      <c r="G143" s="97" t="s">
        <v>400</v>
      </c>
      <c r="H143" s="84" t="s">
        <v>622</v>
      </c>
      <c r="I143" s="84" t="s">
        <v>161</v>
      </c>
      <c r="J143" s="84"/>
      <c r="K143" s="94">
        <v>4.6599999999580035</v>
      </c>
      <c r="L143" s="97" t="s">
        <v>165</v>
      </c>
      <c r="M143" s="98">
        <v>1.6E-2</v>
      </c>
      <c r="N143" s="98">
        <v>-2.8999999998950078E-3</v>
      </c>
      <c r="O143" s="94">
        <v>30592.527812999993</v>
      </c>
      <c r="P143" s="96">
        <v>112.08</v>
      </c>
      <c r="Q143" s="84"/>
      <c r="R143" s="94">
        <v>34.288106183999986</v>
      </c>
      <c r="S143" s="95">
        <v>1.900036903443687E-4</v>
      </c>
      <c r="T143" s="95">
        <f t="shared" si="2"/>
        <v>4.9243502463847415E-4</v>
      </c>
      <c r="U143" s="95">
        <f>R143/'סכום נכסי הקרן'!$C$42</f>
        <v>1.4353843572866763E-4</v>
      </c>
    </row>
    <row r="144" spans="2:21" s="131" customFormat="1">
      <c r="B144" s="87" t="s">
        <v>655</v>
      </c>
      <c r="C144" s="84" t="s">
        <v>656</v>
      </c>
      <c r="D144" s="97" t="s">
        <v>121</v>
      </c>
      <c r="E144" s="97" t="s">
        <v>339</v>
      </c>
      <c r="F144" s="84" t="s">
        <v>621</v>
      </c>
      <c r="G144" s="97" t="s">
        <v>347</v>
      </c>
      <c r="H144" s="84" t="s">
        <v>657</v>
      </c>
      <c r="I144" s="84" t="s">
        <v>161</v>
      </c>
      <c r="J144" s="84"/>
      <c r="K144" s="94">
        <v>0.94000000000177175</v>
      </c>
      <c r="L144" s="97" t="s">
        <v>165</v>
      </c>
      <c r="M144" s="98">
        <v>5.2999999999999999E-2</v>
      </c>
      <c r="N144" s="98">
        <v>5.4000000000374035E-3</v>
      </c>
      <c r="O144" s="94">
        <v>88220.874056999979</v>
      </c>
      <c r="P144" s="96">
        <v>115.16</v>
      </c>
      <c r="Q144" s="84"/>
      <c r="R144" s="94">
        <v>101.59516470299999</v>
      </c>
      <c r="S144" s="95">
        <v>3.3930322399098472E-4</v>
      </c>
      <c r="T144" s="95">
        <f t="shared" si="2"/>
        <v>1.4590778844769474E-3</v>
      </c>
      <c r="U144" s="95">
        <f>R144/'סכום נכסי הקרן'!$C$42</f>
        <v>4.2530231739278178E-4</v>
      </c>
    </row>
    <row r="145" spans="2:21" s="131" customFormat="1">
      <c r="B145" s="87" t="s">
        <v>658</v>
      </c>
      <c r="C145" s="84" t="s">
        <v>659</v>
      </c>
      <c r="D145" s="97" t="s">
        <v>121</v>
      </c>
      <c r="E145" s="97" t="s">
        <v>339</v>
      </c>
      <c r="F145" s="84" t="s">
        <v>660</v>
      </c>
      <c r="G145" s="97" t="s">
        <v>661</v>
      </c>
      <c r="H145" s="84" t="s">
        <v>657</v>
      </c>
      <c r="I145" s="84" t="s">
        <v>161</v>
      </c>
      <c r="J145" s="84"/>
      <c r="K145" s="94">
        <v>1.2399998797550609</v>
      </c>
      <c r="L145" s="97" t="s">
        <v>165</v>
      </c>
      <c r="M145" s="98">
        <v>5.3499999999999999E-2</v>
      </c>
      <c r="N145" s="98">
        <v>5.2999960920394832E-3</v>
      </c>
      <c r="O145" s="94">
        <v>0.90635399999999988</v>
      </c>
      <c r="P145" s="96">
        <v>110.11</v>
      </c>
      <c r="Q145" s="84"/>
      <c r="R145" s="94">
        <v>9.9796299999999993E-4</v>
      </c>
      <c r="S145" s="95">
        <v>5.1437801807707116E-9</v>
      </c>
      <c r="T145" s="95">
        <f t="shared" si="2"/>
        <v>1.4332431539266657E-8</v>
      </c>
      <c r="U145" s="95">
        <f>R145/'סכום נכסי הקרן'!$C$42</f>
        <v>4.177718278355422E-9</v>
      </c>
    </row>
    <row r="146" spans="2:21" s="131" customFormat="1">
      <c r="B146" s="87" t="s">
        <v>662</v>
      </c>
      <c r="C146" s="84" t="s">
        <v>663</v>
      </c>
      <c r="D146" s="97" t="s">
        <v>121</v>
      </c>
      <c r="E146" s="97" t="s">
        <v>339</v>
      </c>
      <c r="F146" s="84" t="s">
        <v>664</v>
      </c>
      <c r="G146" s="97" t="s">
        <v>400</v>
      </c>
      <c r="H146" s="84" t="s">
        <v>665</v>
      </c>
      <c r="I146" s="84" t="s">
        <v>343</v>
      </c>
      <c r="J146" s="84"/>
      <c r="K146" s="94">
        <v>0.66999999999251758</v>
      </c>
      <c r="L146" s="97" t="s">
        <v>165</v>
      </c>
      <c r="M146" s="98">
        <v>4.8499999999999995E-2</v>
      </c>
      <c r="N146" s="98">
        <v>6.6999999999251755E-3</v>
      </c>
      <c r="O146" s="94">
        <v>2097.7712799999995</v>
      </c>
      <c r="P146" s="96">
        <v>127.42</v>
      </c>
      <c r="Q146" s="84"/>
      <c r="R146" s="94">
        <v>2.6729801059999998</v>
      </c>
      <c r="S146" s="95">
        <v>3.084687809159524E-5</v>
      </c>
      <c r="T146" s="95">
        <f t="shared" si="2"/>
        <v>3.8388501753137878E-5</v>
      </c>
      <c r="U146" s="95">
        <f>R146/'סכום נכסי הקרן'!$C$42</f>
        <v>1.1189751370057421E-5</v>
      </c>
    </row>
    <row r="147" spans="2:21" s="131" customFormat="1">
      <c r="B147" s="87" t="s">
        <v>666</v>
      </c>
      <c r="C147" s="84" t="s">
        <v>667</v>
      </c>
      <c r="D147" s="97" t="s">
        <v>121</v>
      </c>
      <c r="E147" s="97" t="s">
        <v>339</v>
      </c>
      <c r="F147" s="84" t="s">
        <v>668</v>
      </c>
      <c r="G147" s="97" t="s">
        <v>400</v>
      </c>
      <c r="H147" s="84" t="s">
        <v>665</v>
      </c>
      <c r="I147" s="84" t="s">
        <v>343</v>
      </c>
      <c r="J147" s="84"/>
      <c r="K147" s="94">
        <v>1</v>
      </c>
      <c r="L147" s="97" t="s">
        <v>165</v>
      </c>
      <c r="M147" s="98">
        <v>4.2500000000000003E-2</v>
      </c>
      <c r="N147" s="98">
        <v>6.6000000016096568E-3</v>
      </c>
      <c r="O147" s="94">
        <v>1314.0041259999998</v>
      </c>
      <c r="P147" s="96">
        <v>113.47</v>
      </c>
      <c r="Q147" s="84"/>
      <c r="R147" s="94">
        <v>1.4910004859999999</v>
      </c>
      <c r="S147" s="95">
        <v>1.2803117118562503E-5</v>
      </c>
      <c r="T147" s="95">
        <f t="shared" si="2"/>
        <v>2.1413281244503367E-5</v>
      </c>
      <c r="U147" s="95">
        <f>R147/'סכום נכסי הקרן'!$C$42</f>
        <v>6.2416943147180978E-6</v>
      </c>
    </row>
    <row r="148" spans="2:21" s="131" customFormat="1">
      <c r="B148" s="87" t="s">
        <v>669</v>
      </c>
      <c r="C148" s="84" t="s">
        <v>670</v>
      </c>
      <c r="D148" s="97" t="s">
        <v>121</v>
      </c>
      <c r="E148" s="97" t="s">
        <v>339</v>
      </c>
      <c r="F148" s="84" t="s">
        <v>671</v>
      </c>
      <c r="G148" s="97" t="s">
        <v>471</v>
      </c>
      <c r="H148" s="84" t="s">
        <v>665</v>
      </c>
      <c r="I148" s="84" t="s">
        <v>343</v>
      </c>
      <c r="J148" s="84"/>
      <c r="K148" s="94">
        <v>0.51000000000850931</v>
      </c>
      <c r="L148" s="97" t="s">
        <v>165</v>
      </c>
      <c r="M148" s="98">
        <v>4.8000000000000001E-2</v>
      </c>
      <c r="N148" s="98">
        <v>6.0000000001001093E-4</v>
      </c>
      <c r="O148" s="94">
        <v>48656.012927999989</v>
      </c>
      <c r="P148" s="96">
        <v>123.18</v>
      </c>
      <c r="Q148" s="84"/>
      <c r="R148" s="94">
        <v>59.934476698999994</v>
      </c>
      <c r="S148" s="95">
        <v>2.3782636830140571E-4</v>
      </c>
      <c r="T148" s="95">
        <f t="shared" si="2"/>
        <v>8.6076015256095683E-4</v>
      </c>
      <c r="U148" s="95">
        <f>R148/'סכום נכסי הקרן'!$C$42</f>
        <v>2.5090044301149384E-4</v>
      </c>
    </row>
    <row r="149" spans="2:21" s="131" customFormat="1">
      <c r="B149" s="87" t="s">
        <v>672</v>
      </c>
      <c r="C149" s="84" t="s">
        <v>673</v>
      </c>
      <c r="D149" s="97" t="s">
        <v>121</v>
      </c>
      <c r="E149" s="97" t="s">
        <v>339</v>
      </c>
      <c r="F149" s="84" t="s">
        <v>394</v>
      </c>
      <c r="G149" s="97" t="s">
        <v>347</v>
      </c>
      <c r="H149" s="84" t="s">
        <v>665</v>
      </c>
      <c r="I149" s="84" t="s">
        <v>343</v>
      </c>
      <c r="J149" s="84"/>
      <c r="K149" s="94">
        <v>2.1599999999987269</v>
      </c>
      <c r="L149" s="97" t="s">
        <v>165</v>
      </c>
      <c r="M149" s="98">
        <v>5.0999999999999997E-2</v>
      </c>
      <c r="N149" s="98">
        <v>1.0000000000015157E-3</v>
      </c>
      <c r="O149" s="94">
        <v>481620.41819099995</v>
      </c>
      <c r="P149" s="96">
        <v>135.44</v>
      </c>
      <c r="Q149" s="94">
        <v>7.4777402349999997</v>
      </c>
      <c r="R149" s="94">
        <v>659.78447764899988</v>
      </c>
      <c r="S149" s="95">
        <v>4.1980702840905919E-4</v>
      </c>
      <c r="T149" s="95">
        <f t="shared" si="2"/>
        <v>9.4756176898092449E-3</v>
      </c>
      <c r="U149" s="95">
        <f>R149/'סכום נכסי הקרן'!$C$42</f>
        <v>2.7620199065991539E-3</v>
      </c>
    </row>
    <row r="150" spans="2:21" s="131" customFormat="1">
      <c r="B150" s="87" t="s">
        <v>674</v>
      </c>
      <c r="C150" s="84" t="s">
        <v>675</v>
      </c>
      <c r="D150" s="97" t="s">
        <v>121</v>
      </c>
      <c r="E150" s="97" t="s">
        <v>339</v>
      </c>
      <c r="F150" s="84" t="s">
        <v>563</v>
      </c>
      <c r="G150" s="97" t="s">
        <v>347</v>
      </c>
      <c r="H150" s="84" t="s">
        <v>665</v>
      </c>
      <c r="I150" s="84" t="s">
        <v>343</v>
      </c>
      <c r="J150" s="84"/>
      <c r="K150" s="94">
        <v>1.2400000000049782</v>
      </c>
      <c r="L150" s="97" t="s">
        <v>165</v>
      </c>
      <c r="M150" s="98">
        <v>2.4E-2</v>
      </c>
      <c r="N150" s="98">
        <v>2.2999999999958522E-3</v>
      </c>
      <c r="O150" s="94">
        <v>22740.452928999999</v>
      </c>
      <c r="P150" s="96">
        <v>106</v>
      </c>
      <c r="Q150" s="84"/>
      <c r="R150" s="94">
        <v>24.104879686999997</v>
      </c>
      <c r="S150" s="95">
        <v>2.6128227697063322E-4</v>
      </c>
      <c r="T150" s="95">
        <f t="shared" si="2"/>
        <v>3.4618672022528589E-4</v>
      </c>
      <c r="U150" s="95">
        <f>R150/'סכום נכסי הקרן'!$C$42</f>
        <v>1.0090894799299995E-4</v>
      </c>
    </row>
    <row r="151" spans="2:21" s="131" customFormat="1">
      <c r="B151" s="87" t="s">
        <v>676</v>
      </c>
      <c r="C151" s="84" t="s">
        <v>677</v>
      </c>
      <c r="D151" s="97" t="s">
        <v>121</v>
      </c>
      <c r="E151" s="97" t="s">
        <v>339</v>
      </c>
      <c r="F151" s="84" t="s">
        <v>678</v>
      </c>
      <c r="G151" s="97" t="s">
        <v>400</v>
      </c>
      <c r="H151" s="84" t="s">
        <v>665</v>
      </c>
      <c r="I151" s="84" t="s">
        <v>343</v>
      </c>
      <c r="J151" s="84"/>
      <c r="K151" s="94">
        <v>3.9999999997284055E-2</v>
      </c>
      <c r="L151" s="97" t="s">
        <v>165</v>
      </c>
      <c r="M151" s="98">
        <v>5.4000000000000006E-2</v>
      </c>
      <c r="N151" s="98">
        <v>0.15479999999990043</v>
      </c>
      <c r="O151" s="94">
        <v>34594.139591999992</v>
      </c>
      <c r="P151" s="96">
        <v>127.72</v>
      </c>
      <c r="Q151" s="84"/>
      <c r="R151" s="94">
        <v>44.183635977999998</v>
      </c>
      <c r="S151" s="95">
        <v>3.3951544814572645E-4</v>
      </c>
      <c r="T151" s="95">
        <f t="shared" si="2"/>
        <v>6.3455151925528722E-4</v>
      </c>
      <c r="U151" s="95">
        <f>R151/'סכום נכסי הקרן'!$C$42</f>
        <v>1.8496355438978482E-4</v>
      </c>
    </row>
    <row r="152" spans="2:21" s="131" customFormat="1">
      <c r="B152" s="87" t="s">
        <v>679</v>
      </c>
      <c r="C152" s="84" t="s">
        <v>680</v>
      </c>
      <c r="D152" s="97" t="s">
        <v>121</v>
      </c>
      <c r="E152" s="97" t="s">
        <v>339</v>
      </c>
      <c r="F152" s="84" t="s">
        <v>577</v>
      </c>
      <c r="G152" s="97" t="s">
        <v>400</v>
      </c>
      <c r="H152" s="84" t="s">
        <v>665</v>
      </c>
      <c r="I152" s="84" t="s">
        <v>343</v>
      </c>
      <c r="J152" s="84"/>
      <c r="K152" s="94">
        <v>4.3700000000584511</v>
      </c>
      <c r="L152" s="97" t="s">
        <v>165</v>
      </c>
      <c r="M152" s="98">
        <v>2.0499999999999997E-2</v>
      </c>
      <c r="N152" s="98">
        <v>3.8000000002750612E-3</v>
      </c>
      <c r="O152" s="94">
        <v>10549.324777999998</v>
      </c>
      <c r="P152" s="96">
        <v>110.28</v>
      </c>
      <c r="Q152" s="84"/>
      <c r="R152" s="94">
        <v>11.633795835999997</v>
      </c>
      <c r="S152" s="95">
        <v>1.8594750385367814E-5</v>
      </c>
      <c r="T152" s="95">
        <f t="shared" si="2"/>
        <v>1.6708092620796111E-4</v>
      </c>
      <c r="U152" s="95">
        <f>R152/'סכום נכסי הקרן'!$C$42</f>
        <v>4.8701927336697239E-5</v>
      </c>
    </row>
    <row r="153" spans="2:21" s="131" customFormat="1">
      <c r="B153" s="87" t="s">
        <v>681</v>
      </c>
      <c r="C153" s="84" t="s">
        <v>682</v>
      </c>
      <c r="D153" s="97" t="s">
        <v>121</v>
      </c>
      <c r="E153" s="97" t="s">
        <v>339</v>
      </c>
      <c r="F153" s="84" t="s">
        <v>577</v>
      </c>
      <c r="G153" s="97" t="s">
        <v>400</v>
      </c>
      <c r="H153" s="84" t="s">
        <v>665</v>
      </c>
      <c r="I153" s="84" t="s">
        <v>343</v>
      </c>
      <c r="J153" s="84"/>
      <c r="K153" s="94">
        <v>5.2700000000133933</v>
      </c>
      <c r="L153" s="97" t="s">
        <v>165</v>
      </c>
      <c r="M153" s="98">
        <v>2.0499999999999997E-2</v>
      </c>
      <c r="N153" s="98">
        <v>6.2000000000240925E-3</v>
      </c>
      <c r="O153" s="94">
        <v>128088.44999999998</v>
      </c>
      <c r="P153" s="96">
        <v>110.18</v>
      </c>
      <c r="Q153" s="84"/>
      <c r="R153" s="94">
        <v>141.12785559299996</v>
      </c>
      <c r="S153" s="95">
        <v>2.5527374150256392E-4</v>
      </c>
      <c r="T153" s="95">
        <f t="shared" si="2"/>
        <v>2.0268339894066044E-3</v>
      </c>
      <c r="U153" s="95">
        <f>R153/'סכום נכסי הקרן'!$C$42</f>
        <v>5.9079587308946365E-4</v>
      </c>
    </row>
    <row r="154" spans="2:21" s="131" customFormat="1">
      <c r="B154" s="87" t="s">
        <v>683</v>
      </c>
      <c r="C154" s="84" t="s">
        <v>684</v>
      </c>
      <c r="D154" s="97" t="s">
        <v>121</v>
      </c>
      <c r="E154" s="97" t="s">
        <v>339</v>
      </c>
      <c r="F154" s="84" t="s">
        <v>685</v>
      </c>
      <c r="G154" s="97" t="s">
        <v>400</v>
      </c>
      <c r="H154" s="84" t="s">
        <v>657</v>
      </c>
      <c r="I154" s="84" t="s">
        <v>161</v>
      </c>
      <c r="J154" s="84"/>
      <c r="K154" s="94">
        <v>2.1798792756539243</v>
      </c>
      <c r="L154" s="97" t="s">
        <v>165</v>
      </c>
      <c r="M154" s="98">
        <v>4.9500000000000002E-2</v>
      </c>
      <c r="N154" s="98">
        <v>6.9014084507042252E-3</v>
      </c>
      <c r="O154" s="94">
        <v>2.2029999999999997E-3</v>
      </c>
      <c r="P154" s="96">
        <v>113.58</v>
      </c>
      <c r="Q154" s="84"/>
      <c r="R154" s="94">
        <v>2.4849999999999995E-6</v>
      </c>
      <c r="S154" s="95">
        <v>3.5628498857471019E-12</v>
      </c>
      <c r="T154" s="95">
        <f t="shared" si="2"/>
        <v>3.5688790441206378E-11</v>
      </c>
      <c r="U154" s="95">
        <f>R154/'סכום נכסי הקרן'!$C$42</f>
        <v>1.0402820467004511E-11</v>
      </c>
    </row>
    <row r="155" spans="2:21" s="131" customFormat="1">
      <c r="B155" s="87" t="s">
        <v>686</v>
      </c>
      <c r="C155" s="84" t="s">
        <v>687</v>
      </c>
      <c r="D155" s="97" t="s">
        <v>121</v>
      </c>
      <c r="E155" s="97" t="s">
        <v>339</v>
      </c>
      <c r="F155" s="84" t="s">
        <v>688</v>
      </c>
      <c r="G155" s="97" t="s">
        <v>192</v>
      </c>
      <c r="H155" s="84" t="s">
        <v>665</v>
      </c>
      <c r="I155" s="84" t="s">
        <v>343</v>
      </c>
      <c r="J155" s="84"/>
      <c r="K155" s="94">
        <v>0.269999999944112</v>
      </c>
      <c r="L155" s="97" t="s">
        <v>165</v>
      </c>
      <c r="M155" s="98">
        <v>4.5999999999999999E-2</v>
      </c>
      <c r="N155" s="98">
        <v>5.8899999997142322E-2</v>
      </c>
      <c r="O155" s="94">
        <v>9046.3202779999974</v>
      </c>
      <c r="P155" s="96">
        <v>104.83</v>
      </c>
      <c r="Q155" s="84"/>
      <c r="R155" s="94">
        <v>9.4832572389999985</v>
      </c>
      <c r="S155" s="95">
        <v>4.2185669495422029E-5</v>
      </c>
      <c r="T155" s="95">
        <f t="shared" si="2"/>
        <v>1.361955655141748E-4</v>
      </c>
      <c r="U155" s="95">
        <f>R155/'סכום נכסי הקרן'!$C$42</f>
        <v>3.9699244466695328E-5</v>
      </c>
    </row>
    <row r="156" spans="2:21" s="131" customFormat="1">
      <c r="B156" s="87" t="s">
        <v>689</v>
      </c>
      <c r="C156" s="84" t="s">
        <v>690</v>
      </c>
      <c r="D156" s="97" t="s">
        <v>121</v>
      </c>
      <c r="E156" s="97" t="s">
        <v>339</v>
      </c>
      <c r="F156" s="84" t="s">
        <v>688</v>
      </c>
      <c r="G156" s="97" t="s">
        <v>192</v>
      </c>
      <c r="H156" s="84" t="s">
        <v>665</v>
      </c>
      <c r="I156" s="84" t="s">
        <v>343</v>
      </c>
      <c r="J156" s="84"/>
      <c r="K156" s="94">
        <v>2.739999999995407</v>
      </c>
      <c r="L156" s="97" t="s">
        <v>165</v>
      </c>
      <c r="M156" s="98">
        <v>1.9799999999999998E-2</v>
      </c>
      <c r="N156" s="98">
        <v>4.5099999999914993E-2</v>
      </c>
      <c r="O156" s="94">
        <v>261978.11791899998</v>
      </c>
      <c r="P156" s="96">
        <v>94.75</v>
      </c>
      <c r="Q156" s="84"/>
      <c r="R156" s="94">
        <v>248.22426746099998</v>
      </c>
      <c r="S156" s="95">
        <v>3.6299436834536343E-4</v>
      </c>
      <c r="T156" s="95">
        <f t="shared" si="2"/>
        <v>3.5649190598944034E-3</v>
      </c>
      <c r="U156" s="95">
        <f>R156/'סכום נכסי הקרן'!$C$42</f>
        <v>1.0391277625555304E-3</v>
      </c>
    </row>
    <row r="157" spans="2:21" s="131" customFormat="1">
      <c r="B157" s="87" t="s">
        <v>691</v>
      </c>
      <c r="C157" s="84" t="s">
        <v>692</v>
      </c>
      <c r="D157" s="97" t="s">
        <v>121</v>
      </c>
      <c r="E157" s="97" t="s">
        <v>339</v>
      </c>
      <c r="F157" s="84" t="s">
        <v>693</v>
      </c>
      <c r="G157" s="97" t="s">
        <v>661</v>
      </c>
      <c r="H157" s="84" t="s">
        <v>657</v>
      </c>
      <c r="I157" s="84" t="s">
        <v>161</v>
      </c>
      <c r="J157" s="84"/>
      <c r="K157" s="94">
        <v>3.4703350753150941</v>
      </c>
      <c r="L157" s="97" t="s">
        <v>165</v>
      </c>
      <c r="M157" s="98">
        <v>4.3400000000000001E-2</v>
      </c>
      <c r="N157" s="98">
        <v>9.0009222256378727E-3</v>
      </c>
      <c r="O157" s="94">
        <v>2.8179999999999998E-3</v>
      </c>
      <c r="P157" s="96">
        <v>113.14</v>
      </c>
      <c r="Q157" s="94">
        <v>7.6999999999999988E-8</v>
      </c>
      <c r="R157" s="94">
        <v>3.2529999999999992E-6</v>
      </c>
      <c r="S157" s="95">
        <v>1.8322506779941943E-12</v>
      </c>
      <c r="T157" s="95">
        <f t="shared" si="2"/>
        <v>4.6718565515188868E-11</v>
      </c>
      <c r="U157" s="95">
        <f>R157/'סכום נכסי הקרן'!$C$42</f>
        <v>1.3617857134473107E-11</v>
      </c>
    </row>
    <row r="158" spans="2:21" s="131" customFormat="1">
      <c r="B158" s="87" t="s">
        <v>694</v>
      </c>
      <c r="C158" s="84" t="s">
        <v>695</v>
      </c>
      <c r="D158" s="97" t="s">
        <v>121</v>
      </c>
      <c r="E158" s="97" t="s">
        <v>339</v>
      </c>
      <c r="F158" s="84" t="s">
        <v>696</v>
      </c>
      <c r="G158" s="97" t="s">
        <v>400</v>
      </c>
      <c r="H158" s="84" t="s">
        <v>697</v>
      </c>
      <c r="I158" s="84" t="s">
        <v>161</v>
      </c>
      <c r="J158" s="84"/>
      <c r="K158" s="94">
        <v>3.5001467566774287</v>
      </c>
      <c r="L158" s="97" t="s">
        <v>165</v>
      </c>
      <c r="M158" s="98">
        <v>4.6500000000000007E-2</v>
      </c>
      <c r="N158" s="98">
        <v>1.179923686527737E-2</v>
      </c>
      <c r="O158" s="94">
        <v>2.945999999999999E-3</v>
      </c>
      <c r="P158" s="96">
        <v>115.3</v>
      </c>
      <c r="Q158" s="84"/>
      <c r="R158" s="94">
        <v>3.4069999999999993E-6</v>
      </c>
      <c r="S158" s="95">
        <v>4.1109538920100118E-12</v>
      </c>
      <c r="T158" s="95">
        <f t="shared" si="2"/>
        <v>4.8930265204503065E-11</v>
      </c>
      <c r="U158" s="95">
        <f>R158/'סכום נכסי הקרן'!$C$42</f>
        <v>1.4262538966231133E-11</v>
      </c>
    </row>
    <row r="159" spans="2:21" s="131" customFormat="1">
      <c r="B159" s="87" t="s">
        <v>698</v>
      </c>
      <c r="C159" s="84" t="s">
        <v>699</v>
      </c>
      <c r="D159" s="97" t="s">
        <v>121</v>
      </c>
      <c r="E159" s="97" t="s">
        <v>339</v>
      </c>
      <c r="F159" s="84" t="s">
        <v>696</v>
      </c>
      <c r="G159" s="97" t="s">
        <v>400</v>
      </c>
      <c r="H159" s="84" t="s">
        <v>697</v>
      </c>
      <c r="I159" s="84" t="s">
        <v>161</v>
      </c>
      <c r="J159" s="84"/>
      <c r="K159" s="94">
        <v>0.26000000000615714</v>
      </c>
      <c r="L159" s="97" t="s">
        <v>165</v>
      </c>
      <c r="M159" s="98">
        <v>5.5999999999999994E-2</v>
      </c>
      <c r="N159" s="98">
        <v>-3.8999999998999457E-3</v>
      </c>
      <c r="O159" s="94">
        <v>23655.900338999996</v>
      </c>
      <c r="P159" s="96">
        <v>109.85</v>
      </c>
      <c r="Q159" s="84"/>
      <c r="R159" s="94">
        <v>25.986007134000001</v>
      </c>
      <c r="S159" s="95">
        <v>3.7366368135148792E-4</v>
      </c>
      <c r="T159" s="95">
        <f t="shared" si="2"/>
        <v>3.7320288249859964E-4</v>
      </c>
      <c r="U159" s="95">
        <f>R159/'סכום נכסי הקרן'!$C$42</f>
        <v>1.087838096053523E-4</v>
      </c>
    </row>
    <row r="160" spans="2:21" s="131" customFormat="1">
      <c r="B160" s="87" t="s">
        <v>700</v>
      </c>
      <c r="C160" s="84" t="s">
        <v>701</v>
      </c>
      <c r="D160" s="97" t="s">
        <v>121</v>
      </c>
      <c r="E160" s="97" t="s">
        <v>339</v>
      </c>
      <c r="F160" s="84" t="s">
        <v>702</v>
      </c>
      <c r="G160" s="97" t="s">
        <v>400</v>
      </c>
      <c r="H160" s="84" t="s">
        <v>697</v>
      </c>
      <c r="I160" s="84" t="s">
        <v>161</v>
      </c>
      <c r="J160" s="84"/>
      <c r="K160" s="94">
        <v>0.81999999999903106</v>
      </c>
      <c r="L160" s="97" t="s">
        <v>165</v>
      </c>
      <c r="M160" s="98">
        <v>4.8000000000000001E-2</v>
      </c>
      <c r="N160" s="98">
        <v>0</v>
      </c>
      <c r="O160" s="94">
        <v>38982.259625999992</v>
      </c>
      <c r="P160" s="96">
        <v>105.9</v>
      </c>
      <c r="Q160" s="84"/>
      <c r="R160" s="94">
        <v>41.282215321999992</v>
      </c>
      <c r="S160" s="95">
        <v>2.7820783751263204E-4</v>
      </c>
      <c r="T160" s="95">
        <f t="shared" si="2"/>
        <v>5.9288222598616379E-4</v>
      </c>
      <c r="U160" s="95">
        <f>R160/'סכום נכסי הקרן'!$C$42</f>
        <v>1.7281749475854679E-4</v>
      </c>
    </row>
    <row r="161" spans="2:21" s="131" customFormat="1">
      <c r="B161" s="87" t="s">
        <v>703</v>
      </c>
      <c r="C161" s="84" t="s">
        <v>704</v>
      </c>
      <c r="D161" s="97" t="s">
        <v>121</v>
      </c>
      <c r="E161" s="97" t="s">
        <v>339</v>
      </c>
      <c r="F161" s="84" t="s">
        <v>705</v>
      </c>
      <c r="G161" s="97" t="s">
        <v>400</v>
      </c>
      <c r="H161" s="84" t="s">
        <v>706</v>
      </c>
      <c r="I161" s="84" t="s">
        <v>343</v>
      </c>
      <c r="J161" s="84"/>
      <c r="K161" s="94">
        <v>0.88999999998988688</v>
      </c>
      <c r="L161" s="97" t="s">
        <v>165</v>
      </c>
      <c r="M161" s="98">
        <v>5.4000000000000006E-2</v>
      </c>
      <c r="N161" s="98">
        <v>2.9999999999999995E-2</v>
      </c>
      <c r="O161" s="94">
        <v>17916.798632000002</v>
      </c>
      <c r="P161" s="96">
        <v>104.86</v>
      </c>
      <c r="Q161" s="84"/>
      <c r="R161" s="94">
        <v>18.787555570999999</v>
      </c>
      <c r="S161" s="95">
        <v>4.976888508888889E-4</v>
      </c>
      <c r="T161" s="95">
        <f t="shared" si="2"/>
        <v>2.6982097934645413E-4</v>
      </c>
      <c r="U161" s="95">
        <f>R161/'סכום נכסי הקרן'!$C$42</f>
        <v>7.8649322985506408E-5</v>
      </c>
    </row>
    <row r="162" spans="2:21" s="131" customFormat="1">
      <c r="B162" s="87" t="s">
        <v>707</v>
      </c>
      <c r="C162" s="84" t="s">
        <v>708</v>
      </c>
      <c r="D162" s="97" t="s">
        <v>121</v>
      </c>
      <c r="E162" s="97" t="s">
        <v>339</v>
      </c>
      <c r="F162" s="84" t="s">
        <v>705</v>
      </c>
      <c r="G162" s="97" t="s">
        <v>400</v>
      </c>
      <c r="H162" s="84" t="s">
        <v>706</v>
      </c>
      <c r="I162" s="84" t="s">
        <v>343</v>
      </c>
      <c r="J162" s="84"/>
      <c r="K162" s="94">
        <v>1.989999999981855</v>
      </c>
      <c r="L162" s="97" t="s">
        <v>165</v>
      </c>
      <c r="M162" s="98">
        <v>2.5000000000000001E-2</v>
      </c>
      <c r="N162" s="98">
        <v>5.0599999999756957E-2</v>
      </c>
      <c r="O162" s="94">
        <v>61781.85708999999</v>
      </c>
      <c r="P162" s="96">
        <v>97.23</v>
      </c>
      <c r="Q162" s="84"/>
      <c r="R162" s="94">
        <v>60.070499690999981</v>
      </c>
      <c r="S162" s="95">
        <v>1.5861839136004018E-4</v>
      </c>
      <c r="T162" s="95">
        <f t="shared" si="2"/>
        <v>8.6271367210086561E-4</v>
      </c>
      <c r="U162" s="95">
        <f>R162/'סכום נכסי הקרן'!$C$42</f>
        <v>2.5146986867151822E-4</v>
      </c>
    </row>
    <row r="163" spans="2:21" s="131" customFormat="1">
      <c r="B163" s="87" t="s">
        <v>709</v>
      </c>
      <c r="C163" s="84" t="s">
        <v>710</v>
      </c>
      <c r="D163" s="97" t="s">
        <v>121</v>
      </c>
      <c r="E163" s="97" t="s">
        <v>339</v>
      </c>
      <c r="F163" s="84" t="s">
        <v>711</v>
      </c>
      <c r="G163" s="97" t="s">
        <v>400</v>
      </c>
      <c r="H163" s="84" t="s">
        <v>712</v>
      </c>
      <c r="I163" s="84" t="s">
        <v>343</v>
      </c>
      <c r="J163" s="84"/>
      <c r="K163" s="94">
        <v>0.99024024024024027</v>
      </c>
      <c r="L163" s="97" t="s">
        <v>165</v>
      </c>
      <c r="M163" s="98">
        <v>0.05</v>
      </c>
      <c r="N163" s="98">
        <v>1.5900900900900902E-2</v>
      </c>
      <c r="O163" s="94">
        <v>1.281E-3</v>
      </c>
      <c r="P163" s="96">
        <v>104.08</v>
      </c>
      <c r="Q163" s="94"/>
      <c r="R163" s="94">
        <v>1.3319999999999999E-6</v>
      </c>
      <c r="S163" s="95">
        <v>2.2134110071840823E-11</v>
      </c>
      <c r="T163" s="95">
        <f t="shared" si="2"/>
        <v>1.912976614393839E-11</v>
      </c>
      <c r="U163" s="95">
        <f>R163/'סכום נכסי הקרן'!$C$42</f>
        <v>5.5760792201408488E-12</v>
      </c>
    </row>
    <row r="164" spans="2:21" s="131" customFormat="1">
      <c r="B164" s="87" t="s">
        <v>713</v>
      </c>
      <c r="C164" s="84" t="s">
        <v>714</v>
      </c>
      <c r="D164" s="97" t="s">
        <v>121</v>
      </c>
      <c r="E164" s="97" t="s">
        <v>339</v>
      </c>
      <c r="F164" s="84" t="s">
        <v>715</v>
      </c>
      <c r="G164" s="97" t="s">
        <v>716</v>
      </c>
      <c r="H164" s="84" t="s">
        <v>717</v>
      </c>
      <c r="I164" s="84" t="s">
        <v>343</v>
      </c>
      <c r="J164" s="84"/>
      <c r="K164" s="94">
        <v>0.93999999998899697</v>
      </c>
      <c r="L164" s="97" t="s">
        <v>165</v>
      </c>
      <c r="M164" s="98">
        <v>4.9000000000000002E-2</v>
      </c>
      <c r="N164" s="98">
        <v>0</v>
      </c>
      <c r="O164" s="94">
        <v>96034.585346999986</v>
      </c>
      <c r="P164" s="96">
        <v>20.82</v>
      </c>
      <c r="Q164" s="84"/>
      <c r="R164" s="94">
        <v>19.994396262999995</v>
      </c>
      <c r="S164" s="95">
        <v>1.3239234202744437E-4</v>
      </c>
      <c r="T164" s="95">
        <f t="shared" si="2"/>
        <v>2.8715324677209127E-4</v>
      </c>
      <c r="U164" s="95">
        <f>R164/'סכום נכסי הקרן'!$C$42</f>
        <v>8.370145459562772E-5</v>
      </c>
    </row>
    <row r="165" spans="2:21" s="131" customFormat="1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94"/>
      <c r="P165" s="96"/>
      <c r="Q165" s="84"/>
      <c r="R165" s="84"/>
      <c r="S165" s="84"/>
      <c r="T165" s="95"/>
      <c r="U165" s="84"/>
    </row>
    <row r="166" spans="2:21" s="131" customFormat="1">
      <c r="B166" s="102" t="s">
        <v>45</v>
      </c>
      <c r="C166" s="82"/>
      <c r="D166" s="82"/>
      <c r="E166" s="82"/>
      <c r="F166" s="82"/>
      <c r="G166" s="82"/>
      <c r="H166" s="82"/>
      <c r="I166" s="82"/>
      <c r="J166" s="82"/>
      <c r="K166" s="91">
        <v>4.3359747689880379</v>
      </c>
      <c r="L166" s="82"/>
      <c r="M166" s="82"/>
      <c r="N166" s="104">
        <v>1.9080338711766471E-2</v>
      </c>
      <c r="O166" s="91"/>
      <c r="P166" s="93"/>
      <c r="Q166" s="91">
        <f>SUM(Q167:Q250)</f>
        <v>36.251133247999995</v>
      </c>
      <c r="R166" s="91">
        <v>10354.958722652998</v>
      </c>
      <c r="S166" s="82"/>
      <c r="T166" s="92">
        <f t="shared" ref="T166:T229" si="3">R166/$R$11</f>
        <v>0.14871466876462977</v>
      </c>
      <c r="U166" s="92">
        <f>R166/'סכום נכסי הקרן'!$C$42</f>
        <v>4.334840102012133E-2</v>
      </c>
    </row>
    <row r="167" spans="2:21" s="131" customFormat="1">
      <c r="B167" s="87" t="s">
        <v>718</v>
      </c>
      <c r="C167" s="84" t="s">
        <v>719</v>
      </c>
      <c r="D167" s="97" t="s">
        <v>121</v>
      </c>
      <c r="E167" s="97" t="s">
        <v>339</v>
      </c>
      <c r="F167" s="84" t="s">
        <v>346</v>
      </c>
      <c r="G167" s="97" t="s">
        <v>347</v>
      </c>
      <c r="H167" s="84" t="s">
        <v>348</v>
      </c>
      <c r="I167" s="84" t="s">
        <v>161</v>
      </c>
      <c r="J167" s="84"/>
      <c r="K167" s="94">
        <v>0.7899999999979449</v>
      </c>
      <c r="L167" s="97" t="s">
        <v>165</v>
      </c>
      <c r="M167" s="98">
        <v>1.95E-2</v>
      </c>
      <c r="N167" s="98">
        <v>3.9999999999229333E-3</v>
      </c>
      <c r="O167" s="94">
        <v>75880.789568999986</v>
      </c>
      <c r="P167" s="96">
        <v>102.6</v>
      </c>
      <c r="Q167" s="84"/>
      <c r="R167" s="94">
        <v>77.85369010399998</v>
      </c>
      <c r="S167" s="95">
        <v>1.6616222984370255E-4</v>
      </c>
      <c r="T167" s="95">
        <f t="shared" si="3"/>
        <v>1.1181102741232509E-3</v>
      </c>
      <c r="U167" s="95">
        <f>R167/'סכום נכסי הקרן'!$C$42</f>
        <v>3.259146723725222E-4</v>
      </c>
    </row>
    <row r="168" spans="2:21" s="131" customFormat="1">
      <c r="B168" s="87" t="s">
        <v>720</v>
      </c>
      <c r="C168" s="84" t="s">
        <v>721</v>
      </c>
      <c r="D168" s="97" t="s">
        <v>121</v>
      </c>
      <c r="E168" s="97" t="s">
        <v>339</v>
      </c>
      <c r="F168" s="84" t="s">
        <v>394</v>
      </c>
      <c r="G168" s="97" t="s">
        <v>347</v>
      </c>
      <c r="H168" s="84" t="s">
        <v>348</v>
      </c>
      <c r="I168" s="84" t="s">
        <v>161</v>
      </c>
      <c r="J168" s="84"/>
      <c r="K168" s="94">
        <v>2.6200000000087242</v>
      </c>
      <c r="L168" s="97" t="s">
        <v>165</v>
      </c>
      <c r="M168" s="98">
        <v>1.8700000000000001E-2</v>
      </c>
      <c r="N168" s="98">
        <v>6.4999999999999988E-3</v>
      </c>
      <c r="O168" s="94">
        <v>109522.85875199997</v>
      </c>
      <c r="P168" s="96">
        <v>104.65</v>
      </c>
      <c r="Q168" s="84"/>
      <c r="R168" s="94">
        <v>114.61567229999999</v>
      </c>
      <c r="S168" s="95">
        <v>1.5108685163746721E-4</v>
      </c>
      <c r="T168" s="95">
        <f t="shared" si="3"/>
        <v>1.6460743299769346E-3</v>
      </c>
      <c r="U168" s="95">
        <f>R168/'סכום נכסי הקרן'!$C$42</f>
        <v>4.79809360821699E-4</v>
      </c>
    </row>
    <row r="169" spans="2:21" s="131" customFormat="1">
      <c r="B169" s="87" t="s">
        <v>722</v>
      </c>
      <c r="C169" s="84" t="s">
        <v>723</v>
      </c>
      <c r="D169" s="97" t="s">
        <v>121</v>
      </c>
      <c r="E169" s="97" t="s">
        <v>339</v>
      </c>
      <c r="F169" s="84" t="s">
        <v>394</v>
      </c>
      <c r="G169" s="97" t="s">
        <v>347</v>
      </c>
      <c r="H169" s="84" t="s">
        <v>348</v>
      </c>
      <c r="I169" s="84" t="s">
        <v>161</v>
      </c>
      <c r="J169" s="84"/>
      <c r="K169" s="94">
        <v>5.3199999999890606</v>
      </c>
      <c r="L169" s="97" t="s">
        <v>165</v>
      </c>
      <c r="M169" s="98">
        <v>2.6800000000000001E-2</v>
      </c>
      <c r="N169" s="98">
        <v>9.5999999999999992E-3</v>
      </c>
      <c r="O169" s="94">
        <v>164090.56703999997</v>
      </c>
      <c r="P169" s="96">
        <v>111.41</v>
      </c>
      <c r="Q169" s="84"/>
      <c r="R169" s="94">
        <v>182.81330139999997</v>
      </c>
      <c r="S169" s="95">
        <v>2.1351335809068265E-4</v>
      </c>
      <c r="T169" s="95">
        <f t="shared" si="3"/>
        <v>2.6255072851226161E-3</v>
      </c>
      <c r="U169" s="95">
        <f>R169/'סכום נכסי הקרן'!$C$42</f>
        <v>7.6530138971613048E-4</v>
      </c>
    </row>
    <row r="170" spans="2:21" s="131" customFormat="1">
      <c r="B170" s="87" t="s">
        <v>724</v>
      </c>
      <c r="C170" s="84" t="s">
        <v>725</v>
      </c>
      <c r="D170" s="97" t="s">
        <v>121</v>
      </c>
      <c r="E170" s="97" t="s">
        <v>339</v>
      </c>
      <c r="F170" s="84" t="s">
        <v>358</v>
      </c>
      <c r="G170" s="97" t="s">
        <v>347</v>
      </c>
      <c r="H170" s="84" t="s">
        <v>348</v>
      </c>
      <c r="I170" s="84" t="s">
        <v>161</v>
      </c>
      <c r="J170" s="84"/>
      <c r="K170" s="94">
        <v>5.3100000000015655</v>
      </c>
      <c r="L170" s="97" t="s">
        <v>165</v>
      </c>
      <c r="M170" s="98">
        <v>2.98E-2</v>
      </c>
      <c r="N170" s="98">
        <v>1.0500000000002525E-2</v>
      </c>
      <c r="O170" s="94">
        <v>177650.74821599998</v>
      </c>
      <c r="P170" s="96">
        <v>111.51</v>
      </c>
      <c r="Q170" s="84"/>
      <c r="R170" s="94">
        <v>198.09834339899999</v>
      </c>
      <c r="S170" s="95">
        <v>6.9883159396265536E-5</v>
      </c>
      <c r="T170" s="95">
        <f t="shared" si="3"/>
        <v>2.84502626330666E-3</v>
      </c>
      <c r="U170" s="95">
        <f>R170/'סכום נכסי הקרן'!$C$42</f>
        <v>8.2928833045907663E-4</v>
      </c>
    </row>
    <row r="171" spans="2:21" s="131" customFormat="1">
      <c r="B171" s="87" t="s">
        <v>726</v>
      </c>
      <c r="C171" s="84" t="s">
        <v>727</v>
      </c>
      <c r="D171" s="97" t="s">
        <v>121</v>
      </c>
      <c r="E171" s="97" t="s">
        <v>339</v>
      </c>
      <c r="F171" s="84" t="s">
        <v>358</v>
      </c>
      <c r="G171" s="97" t="s">
        <v>347</v>
      </c>
      <c r="H171" s="84" t="s">
        <v>348</v>
      </c>
      <c r="I171" s="84" t="s">
        <v>161</v>
      </c>
      <c r="J171" s="84"/>
      <c r="K171" s="94">
        <v>2.6300000000025259</v>
      </c>
      <c r="L171" s="97" t="s">
        <v>165</v>
      </c>
      <c r="M171" s="98">
        <v>2.4700000000000003E-2</v>
      </c>
      <c r="N171" s="98">
        <v>7.3000000000208324E-3</v>
      </c>
      <c r="O171" s="94">
        <v>214096.85915299997</v>
      </c>
      <c r="P171" s="96">
        <v>105.38</v>
      </c>
      <c r="Q171" s="84"/>
      <c r="R171" s="94">
        <v>225.61526226099997</v>
      </c>
      <c r="S171" s="95">
        <v>6.4269611870990592E-5</v>
      </c>
      <c r="T171" s="95">
        <f t="shared" si="3"/>
        <v>3.2402156197869807E-3</v>
      </c>
      <c r="U171" s="95">
        <f>R171/'סכום נכסי הקרן'!$C$42</f>
        <v>9.4448091264278517E-4</v>
      </c>
    </row>
    <row r="172" spans="2:21" s="131" customFormat="1">
      <c r="B172" s="87" t="s">
        <v>728</v>
      </c>
      <c r="C172" s="84" t="s">
        <v>729</v>
      </c>
      <c r="D172" s="97" t="s">
        <v>121</v>
      </c>
      <c r="E172" s="97" t="s">
        <v>339</v>
      </c>
      <c r="F172" s="84" t="s">
        <v>730</v>
      </c>
      <c r="G172" s="97" t="s">
        <v>347</v>
      </c>
      <c r="H172" s="84" t="s">
        <v>342</v>
      </c>
      <c r="I172" s="84" t="s">
        <v>343</v>
      </c>
      <c r="J172" s="84"/>
      <c r="K172" s="94">
        <v>2.4500000000086848</v>
      </c>
      <c r="L172" s="97" t="s">
        <v>165</v>
      </c>
      <c r="M172" s="98">
        <v>2.07E-2</v>
      </c>
      <c r="N172" s="98">
        <v>6.8000000000926382E-3</v>
      </c>
      <c r="O172" s="94">
        <v>66143.001181999993</v>
      </c>
      <c r="P172" s="96">
        <v>104.45</v>
      </c>
      <c r="Q172" s="84"/>
      <c r="R172" s="94">
        <v>69.086362651999977</v>
      </c>
      <c r="S172" s="95">
        <v>2.609572252439212E-4</v>
      </c>
      <c r="T172" s="95">
        <f t="shared" si="3"/>
        <v>9.9219666761867788E-4</v>
      </c>
      <c r="U172" s="95">
        <f>R172/'סכום נכסי הקרן'!$C$42</f>
        <v>2.8921248587006901E-4</v>
      </c>
    </row>
    <row r="173" spans="2:21" s="131" customFormat="1">
      <c r="B173" s="87" t="s">
        <v>731</v>
      </c>
      <c r="C173" s="84" t="s">
        <v>732</v>
      </c>
      <c r="D173" s="97" t="s">
        <v>121</v>
      </c>
      <c r="E173" s="97" t="s">
        <v>339</v>
      </c>
      <c r="F173" s="84" t="s">
        <v>733</v>
      </c>
      <c r="G173" s="97" t="s">
        <v>400</v>
      </c>
      <c r="H173" s="84" t="s">
        <v>348</v>
      </c>
      <c r="I173" s="84" t="s">
        <v>161</v>
      </c>
      <c r="J173" s="84"/>
      <c r="K173" s="94">
        <v>4.3800000000009023</v>
      </c>
      <c r="L173" s="97" t="s">
        <v>165</v>
      </c>
      <c r="M173" s="98">
        <v>1.44E-2</v>
      </c>
      <c r="N173" s="98">
        <v>7.9999999999899769E-3</v>
      </c>
      <c r="O173" s="94">
        <v>194133.93112030366</v>
      </c>
      <c r="P173" s="96">
        <v>102.79</v>
      </c>
      <c r="Q173" s="94"/>
      <c r="R173" s="94">
        <v>199.55026778899997</v>
      </c>
      <c r="S173" s="95">
        <v>2.2839286014117644E-4</v>
      </c>
      <c r="T173" s="95">
        <f t="shared" si="3"/>
        <v>2.8658783459188076E-3</v>
      </c>
      <c r="U173" s="95">
        <f>R173/'סכום נכסי הקרן'!$C$42</f>
        <v>8.3536644263647493E-4</v>
      </c>
    </row>
    <row r="174" spans="2:21" s="131" customFormat="1">
      <c r="B174" s="87" t="s">
        <v>734</v>
      </c>
      <c r="C174" s="84" t="s">
        <v>735</v>
      </c>
      <c r="D174" s="97" t="s">
        <v>121</v>
      </c>
      <c r="E174" s="97" t="s">
        <v>339</v>
      </c>
      <c r="F174" s="84" t="s">
        <v>736</v>
      </c>
      <c r="G174" s="97" t="s">
        <v>737</v>
      </c>
      <c r="H174" s="84" t="s">
        <v>389</v>
      </c>
      <c r="I174" s="84" t="s">
        <v>161</v>
      </c>
      <c r="J174" s="84"/>
      <c r="K174" s="94">
        <v>0.75</v>
      </c>
      <c r="L174" s="97" t="s">
        <v>165</v>
      </c>
      <c r="M174" s="98">
        <v>4.8399999999999999E-2</v>
      </c>
      <c r="N174" s="98">
        <v>2.8000000001335641E-3</v>
      </c>
      <c r="O174" s="94">
        <v>17175.450401999999</v>
      </c>
      <c r="P174" s="96">
        <v>104.62</v>
      </c>
      <c r="Q174" s="84"/>
      <c r="R174" s="94">
        <v>17.968956991999995</v>
      </c>
      <c r="S174" s="95">
        <v>8.1787859057142853E-5</v>
      </c>
      <c r="T174" s="95">
        <f t="shared" si="3"/>
        <v>2.5806452335393887E-4</v>
      </c>
      <c r="U174" s="95">
        <f>R174/'סכום נכסי הקרן'!$C$42</f>
        <v>7.5222468236258108E-5</v>
      </c>
    </row>
    <row r="175" spans="2:21" s="131" customFormat="1">
      <c r="B175" s="87" t="s">
        <v>738</v>
      </c>
      <c r="C175" s="84" t="s">
        <v>739</v>
      </c>
      <c r="D175" s="97" t="s">
        <v>121</v>
      </c>
      <c r="E175" s="97" t="s">
        <v>339</v>
      </c>
      <c r="F175" s="84" t="s">
        <v>394</v>
      </c>
      <c r="G175" s="97" t="s">
        <v>347</v>
      </c>
      <c r="H175" s="84" t="s">
        <v>389</v>
      </c>
      <c r="I175" s="84" t="s">
        <v>161</v>
      </c>
      <c r="J175" s="84"/>
      <c r="K175" s="94">
        <v>1.6300000000097188</v>
      </c>
      <c r="L175" s="97" t="s">
        <v>165</v>
      </c>
      <c r="M175" s="98">
        <v>6.4000000000000001E-2</v>
      </c>
      <c r="N175" s="98">
        <v>5.899999999967603E-3</v>
      </c>
      <c r="O175" s="94">
        <v>69073.751651999992</v>
      </c>
      <c r="P175" s="96">
        <v>111.72</v>
      </c>
      <c r="Q175" s="84"/>
      <c r="R175" s="94">
        <v>77.169192774999985</v>
      </c>
      <c r="S175" s="95">
        <v>2.8301723190009092E-4</v>
      </c>
      <c r="T175" s="95">
        <f t="shared" si="3"/>
        <v>1.1082797382149022E-3</v>
      </c>
      <c r="U175" s="95">
        <f>R175/'סכום נכסי הקרן'!$C$42</f>
        <v>3.2304919839918977E-4</v>
      </c>
    </row>
    <row r="176" spans="2:21" s="131" customFormat="1">
      <c r="B176" s="87" t="s">
        <v>740</v>
      </c>
      <c r="C176" s="84" t="s">
        <v>741</v>
      </c>
      <c r="D176" s="97" t="s">
        <v>121</v>
      </c>
      <c r="E176" s="97" t="s">
        <v>339</v>
      </c>
      <c r="F176" s="84" t="s">
        <v>408</v>
      </c>
      <c r="G176" s="97" t="s">
        <v>400</v>
      </c>
      <c r="H176" s="84" t="s">
        <v>389</v>
      </c>
      <c r="I176" s="84" t="s">
        <v>161</v>
      </c>
      <c r="J176" s="84"/>
      <c r="K176" s="94">
        <v>3.6600000000037491</v>
      </c>
      <c r="L176" s="97" t="s">
        <v>165</v>
      </c>
      <c r="M176" s="98">
        <v>1.6299999999999999E-2</v>
      </c>
      <c r="N176" s="98">
        <v>7.7999999999875027E-3</v>
      </c>
      <c r="O176" s="94">
        <v>200905.360717</v>
      </c>
      <c r="P176" s="96">
        <v>103.55</v>
      </c>
      <c r="Q176" s="84"/>
      <c r="R176" s="94">
        <v>208.03750101699998</v>
      </c>
      <c r="S176" s="95">
        <v>3.6859649157791418E-4</v>
      </c>
      <c r="T176" s="95">
        <f t="shared" si="3"/>
        <v>2.9877693270454618E-3</v>
      </c>
      <c r="U176" s="95">
        <f>R176/'סכום נכסי הקרן'!$C$42</f>
        <v>8.7089608590910244E-4</v>
      </c>
    </row>
    <row r="177" spans="2:21" s="131" customFormat="1">
      <c r="B177" s="87" t="s">
        <v>742</v>
      </c>
      <c r="C177" s="84" t="s">
        <v>743</v>
      </c>
      <c r="D177" s="97" t="s">
        <v>121</v>
      </c>
      <c r="E177" s="97" t="s">
        <v>339</v>
      </c>
      <c r="F177" s="84" t="s">
        <v>378</v>
      </c>
      <c r="G177" s="97" t="s">
        <v>347</v>
      </c>
      <c r="H177" s="84" t="s">
        <v>389</v>
      </c>
      <c r="I177" s="84" t="s">
        <v>161</v>
      </c>
      <c r="J177" s="84"/>
      <c r="K177" s="94">
        <v>0.98999999999743826</v>
      </c>
      <c r="L177" s="97" t="s">
        <v>165</v>
      </c>
      <c r="M177" s="98">
        <v>6.0999999999999999E-2</v>
      </c>
      <c r="N177" s="98">
        <v>3.09999999996777E-3</v>
      </c>
      <c r="O177" s="94">
        <v>111199.16389099999</v>
      </c>
      <c r="P177" s="96">
        <v>108.82</v>
      </c>
      <c r="Q177" s="84"/>
      <c r="R177" s="94">
        <v>121.00693016899997</v>
      </c>
      <c r="S177" s="95">
        <v>1.6228624375419471E-4</v>
      </c>
      <c r="T177" s="95">
        <f t="shared" si="3"/>
        <v>1.7378635705171568E-3</v>
      </c>
      <c r="U177" s="95">
        <f>R177/'סכום נכסי הקרן'!$C$42</f>
        <v>5.0656473634263935E-4</v>
      </c>
    </row>
    <row r="178" spans="2:21" s="131" customFormat="1">
      <c r="B178" s="87" t="s">
        <v>744</v>
      </c>
      <c r="C178" s="84" t="s">
        <v>745</v>
      </c>
      <c r="D178" s="97" t="s">
        <v>121</v>
      </c>
      <c r="E178" s="97" t="s">
        <v>339</v>
      </c>
      <c r="F178" s="84" t="s">
        <v>746</v>
      </c>
      <c r="G178" s="97" t="s">
        <v>747</v>
      </c>
      <c r="H178" s="84" t="s">
        <v>389</v>
      </c>
      <c r="I178" s="84" t="s">
        <v>161</v>
      </c>
      <c r="J178" s="84"/>
      <c r="K178" s="94">
        <v>5.129999999989205</v>
      </c>
      <c r="L178" s="97" t="s">
        <v>165</v>
      </c>
      <c r="M178" s="98">
        <v>2.6099999999999998E-2</v>
      </c>
      <c r="N178" s="98">
        <v>9.3999999999599352E-3</v>
      </c>
      <c r="O178" s="94">
        <v>164134.93764599998</v>
      </c>
      <c r="P178" s="96">
        <v>109.49</v>
      </c>
      <c r="Q178" s="84"/>
      <c r="R178" s="94">
        <v>179.71134323799998</v>
      </c>
      <c r="S178" s="95">
        <v>2.7214669521747199E-4</v>
      </c>
      <c r="T178" s="95">
        <f t="shared" si="3"/>
        <v>2.58095793510209E-3</v>
      </c>
      <c r="U178" s="95">
        <f>R178/'סכום נכסי הקרן'!$C$42</f>
        <v>7.5231583082057915E-4</v>
      </c>
    </row>
    <row r="179" spans="2:21" s="131" customFormat="1">
      <c r="B179" s="87" t="s">
        <v>748</v>
      </c>
      <c r="C179" s="84" t="s">
        <v>749</v>
      </c>
      <c r="D179" s="97" t="s">
        <v>121</v>
      </c>
      <c r="E179" s="97" t="s">
        <v>339</v>
      </c>
      <c r="F179" s="84" t="s">
        <v>439</v>
      </c>
      <c r="G179" s="97" t="s">
        <v>400</v>
      </c>
      <c r="H179" s="84" t="s">
        <v>440</v>
      </c>
      <c r="I179" s="84" t="s">
        <v>161</v>
      </c>
      <c r="J179" s="84"/>
      <c r="K179" s="94">
        <v>3.8999999999996322</v>
      </c>
      <c r="L179" s="97" t="s">
        <v>165</v>
      </c>
      <c r="M179" s="98">
        <v>3.39E-2</v>
      </c>
      <c r="N179" s="98">
        <v>1.1099999999985675E-2</v>
      </c>
      <c r="O179" s="94">
        <v>243835.77765999996</v>
      </c>
      <c r="P179" s="96">
        <v>111.66</v>
      </c>
      <c r="Q179" s="84"/>
      <c r="R179" s="94">
        <v>272.26702934899998</v>
      </c>
      <c r="S179" s="95">
        <v>2.246893468184906E-4</v>
      </c>
      <c r="T179" s="95">
        <f t="shared" si="3"/>
        <v>3.9102136637771626E-3</v>
      </c>
      <c r="U179" s="95">
        <f>R179/'סכום נכסי הקרן'!$C$42</f>
        <v>1.1397766701820103E-3</v>
      </c>
    </row>
    <row r="180" spans="2:21" s="131" customFormat="1">
      <c r="B180" s="87" t="s">
        <v>750</v>
      </c>
      <c r="C180" s="84" t="s">
        <v>751</v>
      </c>
      <c r="D180" s="97" t="s">
        <v>121</v>
      </c>
      <c r="E180" s="97" t="s">
        <v>339</v>
      </c>
      <c r="F180" s="84" t="s">
        <v>353</v>
      </c>
      <c r="G180" s="97" t="s">
        <v>347</v>
      </c>
      <c r="H180" s="84" t="s">
        <v>440</v>
      </c>
      <c r="I180" s="84" t="s">
        <v>161</v>
      </c>
      <c r="J180" s="84"/>
      <c r="K180" s="94">
        <v>1.3400000000004149</v>
      </c>
      <c r="L180" s="97" t="s">
        <v>165</v>
      </c>
      <c r="M180" s="98">
        <v>1.67E-2</v>
      </c>
      <c r="N180" s="98">
        <v>7.5000000000172776E-3</v>
      </c>
      <c r="O180" s="94">
        <v>285434.77194099996</v>
      </c>
      <c r="P180" s="96">
        <v>101.39</v>
      </c>
      <c r="Q180" s="84"/>
      <c r="R180" s="94">
        <v>289.40232498199993</v>
      </c>
      <c r="S180" s="95">
        <v>3.5232545756348147E-4</v>
      </c>
      <c r="T180" s="95">
        <f t="shared" si="3"/>
        <v>4.1563054042175057E-3</v>
      </c>
      <c r="U180" s="95">
        <f>R180/'סכום נכסי הקרן'!$C$42</f>
        <v>1.2115092271716057E-3</v>
      </c>
    </row>
    <row r="181" spans="2:21" s="131" customFormat="1">
      <c r="B181" s="87" t="s">
        <v>752</v>
      </c>
      <c r="C181" s="84" t="s">
        <v>753</v>
      </c>
      <c r="D181" s="97" t="s">
        <v>121</v>
      </c>
      <c r="E181" s="97" t="s">
        <v>339</v>
      </c>
      <c r="F181" s="84" t="s">
        <v>456</v>
      </c>
      <c r="G181" s="97" t="s">
        <v>400</v>
      </c>
      <c r="H181" s="84" t="s">
        <v>434</v>
      </c>
      <c r="I181" s="84" t="s">
        <v>343</v>
      </c>
      <c r="J181" s="84"/>
      <c r="K181" s="94">
        <v>6.819999999998509</v>
      </c>
      <c r="L181" s="97" t="s">
        <v>165</v>
      </c>
      <c r="M181" s="98">
        <v>2.5499999999999998E-2</v>
      </c>
      <c r="N181" s="98">
        <v>1.7899999999994733E-2</v>
      </c>
      <c r="O181" s="94">
        <v>519281.26604999992</v>
      </c>
      <c r="P181" s="96">
        <v>105.9</v>
      </c>
      <c r="Q181" s="84"/>
      <c r="R181" s="94">
        <v>549.91887805099987</v>
      </c>
      <c r="S181" s="95">
        <v>6.2185679275817861E-4</v>
      </c>
      <c r="T181" s="95">
        <f t="shared" si="3"/>
        <v>7.8977624138533049E-3</v>
      </c>
      <c r="U181" s="95">
        <f>R181/'סכום נכסי הקרן'!$C$42</f>
        <v>2.3020955170145272E-3</v>
      </c>
    </row>
    <row r="182" spans="2:21" s="131" customFormat="1">
      <c r="B182" s="87" t="s">
        <v>754</v>
      </c>
      <c r="C182" s="84" t="s">
        <v>755</v>
      </c>
      <c r="D182" s="97" t="s">
        <v>121</v>
      </c>
      <c r="E182" s="97" t="s">
        <v>339</v>
      </c>
      <c r="F182" s="84" t="s">
        <v>756</v>
      </c>
      <c r="G182" s="97" t="s">
        <v>400</v>
      </c>
      <c r="H182" s="84" t="s">
        <v>434</v>
      </c>
      <c r="I182" s="84" t="s">
        <v>343</v>
      </c>
      <c r="J182" s="84"/>
      <c r="K182" s="94">
        <v>4.1600002194328134</v>
      </c>
      <c r="L182" s="97" t="s">
        <v>165</v>
      </c>
      <c r="M182" s="98">
        <v>3.15E-2</v>
      </c>
      <c r="N182" s="98">
        <v>3.4400004075180818E-2</v>
      </c>
      <c r="O182" s="94">
        <v>1.9729999999999999E-3</v>
      </c>
      <c r="P182" s="96">
        <v>99.21</v>
      </c>
      <c r="Q182" s="84"/>
      <c r="R182" s="94">
        <v>1.2760169999999997E-3</v>
      </c>
      <c r="S182" s="95">
        <v>8.4513790301068056E-12</v>
      </c>
      <c r="T182" s="95">
        <f t="shared" si="3"/>
        <v>1.83257558601275E-8</v>
      </c>
      <c r="U182" s="95">
        <f>R182/'סכום נכסי הקרן'!$C$42</f>
        <v>5.3417206293141628E-9</v>
      </c>
    </row>
    <row r="183" spans="2:21" s="131" customFormat="1">
      <c r="B183" s="87" t="s">
        <v>757</v>
      </c>
      <c r="C183" s="84" t="s">
        <v>758</v>
      </c>
      <c r="D183" s="97" t="s">
        <v>121</v>
      </c>
      <c r="E183" s="97" t="s">
        <v>339</v>
      </c>
      <c r="F183" s="84" t="s">
        <v>459</v>
      </c>
      <c r="G183" s="97" t="s">
        <v>347</v>
      </c>
      <c r="H183" s="84" t="s">
        <v>434</v>
      </c>
      <c r="I183" s="84" t="s">
        <v>343</v>
      </c>
      <c r="J183" s="84"/>
      <c r="K183" s="94">
        <v>0.50999999999318613</v>
      </c>
      <c r="L183" s="97" t="s">
        <v>165</v>
      </c>
      <c r="M183" s="98">
        <v>1.2E-2</v>
      </c>
      <c r="N183" s="98">
        <v>3.500000000113565E-3</v>
      </c>
      <c r="O183" s="94">
        <v>43711.776859999991</v>
      </c>
      <c r="P183" s="96">
        <v>100.42</v>
      </c>
      <c r="Q183" s="94">
        <v>0.13221501699999996</v>
      </c>
      <c r="R183" s="94">
        <v>44.027581329999997</v>
      </c>
      <c r="S183" s="95">
        <v>1.4570592286666665E-4</v>
      </c>
      <c r="T183" s="95">
        <f t="shared" si="3"/>
        <v>6.3231031135595195E-4</v>
      </c>
      <c r="U183" s="95">
        <f>R183/'סכום נכסי הקרן'!$C$42</f>
        <v>1.843102712967524E-4</v>
      </c>
    </row>
    <row r="184" spans="2:21" s="131" customFormat="1">
      <c r="B184" s="87" t="s">
        <v>759</v>
      </c>
      <c r="C184" s="84" t="s">
        <v>760</v>
      </c>
      <c r="D184" s="97" t="s">
        <v>121</v>
      </c>
      <c r="E184" s="97" t="s">
        <v>339</v>
      </c>
      <c r="F184" s="84" t="s">
        <v>470</v>
      </c>
      <c r="G184" s="97" t="s">
        <v>471</v>
      </c>
      <c r="H184" s="84" t="s">
        <v>440</v>
      </c>
      <c r="I184" s="84" t="s">
        <v>161</v>
      </c>
      <c r="J184" s="84"/>
      <c r="K184" s="94">
        <v>2.7399999999990103</v>
      </c>
      <c r="L184" s="97" t="s">
        <v>165</v>
      </c>
      <c r="M184" s="98">
        <v>4.8000000000000001E-2</v>
      </c>
      <c r="N184" s="98">
        <v>7.1000000000053971E-3</v>
      </c>
      <c r="O184" s="94">
        <v>389909.72699400003</v>
      </c>
      <c r="P184" s="96">
        <v>114.04</v>
      </c>
      <c r="Q184" s="84"/>
      <c r="R184" s="94">
        <v>444.65306565599991</v>
      </c>
      <c r="S184" s="95">
        <v>1.8963999581195456E-4</v>
      </c>
      <c r="T184" s="95">
        <f t="shared" si="3"/>
        <v>6.3859678387271487E-3</v>
      </c>
      <c r="U184" s="95">
        <f>R184/'סכום נכסי הקרן'!$C$42</f>
        <v>1.8614269666489083E-3</v>
      </c>
    </row>
    <row r="185" spans="2:21" s="131" customFormat="1">
      <c r="B185" s="87" t="s">
        <v>761</v>
      </c>
      <c r="C185" s="84" t="s">
        <v>762</v>
      </c>
      <c r="D185" s="97" t="s">
        <v>121</v>
      </c>
      <c r="E185" s="97" t="s">
        <v>339</v>
      </c>
      <c r="F185" s="84" t="s">
        <v>470</v>
      </c>
      <c r="G185" s="97" t="s">
        <v>471</v>
      </c>
      <c r="H185" s="84" t="s">
        <v>440</v>
      </c>
      <c r="I185" s="84" t="s">
        <v>161</v>
      </c>
      <c r="J185" s="84"/>
      <c r="K185" s="94">
        <v>1.3899999999189447</v>
      </c>
      <c r="L185" s="97" t="s">
        <v>165</v>
      </c>
      <c r="M185" s="98">
        <v>4.4999999999999998E-2</v>
      </c>
      <c r="N185" s="98">
        <v>5.5000000000445361E-3</v>
      </c>
      <c r="O185" s="94">
        <v>10597.438898999999</v>
      </c>
      <c r="P185" s="96">
        <v>105.94</v>
      </c>
      <c r="Q185" s="84"/>
      <c r="R185" s="94">
        <v>11.226926768999999</v>
      </c>
      <c r="S185" s="95">
        <v>1.7647456651701559E-5</v>
      </c>
      <c r="T185" s="95">
        <f t="shared" si="3"/>
        <v>1.6123760030487374E-4</v>
      </c>
      <c r="U185" s="95">
        <f>R185/'סכום נכסי הקרן'!$C$42</f>
        <v>4.6998673470468419E-5</v>
      </c>
    </row>
    <row r="186" spans="2:21" s="131" customFormat="1">
      <c r="B186" s="87" t="s">
        <v>763</v>
      </c>
      <c r="C186" s="84" t="s">
        <v>764</v>
      </c>
      <c r="D186" s="97" t="s">
        <v>121</v>
      </c>
      <c r="E186" s="97" t="s">
        <v>339</v>
      </c>
      <c r="F186" s="84" t="s">
        <v>765</v>
      </c>
      <c r="G186" s="97" t="s">
        <v>158</v>
      </c>
      <c r="H186" s="84" t="s">
        <v>440</v>
      </c>
      <c r="I186" s="84" t="s">
        <v>161</v>
      </c>
      <c r="J186" s="84"/>
      <c r="K186" s="94">
        <v>2.6199999999989609</v>
      </c>
      <c r="L186" s="97" t="s">
        <v>165</v>
      </c>
      <c r="M186" s="98">
        <v>1.49E-2</v>
      </c>
      <c r="N186" s="98">
        <v>7.2999999999909084E-3</v>
      </c>
      <c r="O186" s="94">
        <v>149966.33640199996</v>
      </c>
      <c r="P186" s="96">
        <v>102.67</v>
      </c>
      <c r="Q186" s="84"/>
      <c r="R186" s="94">
        <v>153.97044331799998</v>
      </c>
      <c r="S186" s="95">
        <v>1.3909817842696584E-4</v>
      </c>
      <c r="T186" s="95">
        <f t="shared" si="3"/>
        <v>2.2112752055194152E-3</v>
      </c>
      <c r="U186" s="95">
        <f>R186/'סכום נכסי הקרן'!$C$42</f>
        <v>6.4455810022625692E-4</v>
      </c>
    </row>
    <row r="187" spans="2:21" s="131" customFormat="1">
      <c r="B187" s="87" t="s">
        <v>766</v>
      </c>
      <c r="C187" s="84" t="s">
        <v>767</v>
      </c>
      <c r="D187" s="97" t="s">
        <v>121</v>
      </c>
      <c r="E187" s="97" t="s">
        <v>339</v>
      </c>
      <c r="F187" s="84" t="s">
        <v>768</v>
      </c>
      <c r="G187" s="97" t="s">
        <v>520</v>
      </c>
      <c r="H187" s="84" t="s">
        <v>434</v>
      </c>
      <c r="I187" s="84" t="s">
        <v>343</v>
      </c>
      <c r="J187" s="84"/>
      <c r="K187" s="94">
        <v>2.9299999998009092</v>
      </c>
      <c r="L187" s="97" t="s">
        <v>165</v>
      </c>
      <c r="M187" s="98">
        <v>2.4500000000000001E-2</v>
      </c>
      <c r="N187" s="98">
        <v>8.7999999983107476E-3</v>
      </c>
      <c r="O187" s="94">
        <v>1584.1877029999998</v>
      </c>
      <c r="P187" s="96">
        <v>104.63</v>
      </c>
      <c r="Q187" s="94"/>
      <c r="R187" s="94">
        <v>1.6575355809999999</v>
      </c>
      <c r="S187" s="95">
        <v>1.0098974176718758E-6</v>
      </c>
      <c r="T187" s="95">
        <f t="shared" si="3"/>
        <v>2.3805006035876161E-5</v>
      </c>
      <c r="U187" s="95">
        <f>R187/'סכום נכסי הקרן'!$C$42</f>
        <v>6.938851133527169E-6</v>
      </c>
    </row>
    <row r="188" spans="2:21" s="131" customFormat="1">
      <c r="B188" s="87" t="s">
        <v>769</v>
      </c>
      <c r="C188" s="84" t="s">
        <v>770</v>
      </c>
      <c r="D188" s="97" t="s">
        <v>121</v>
      </c>
      <c r="E188" s="97" t="s">
        <v>339</v>
      </c>
      <c r="F188" s="84" t="s">
        <v>353</v>
      </c>
      <c r="G188" s="97" t="s">
        <v>347</v>
      </c>
      <c r="H188" s="84" t="s">
        <v>434</v>
      </c>
      <c r="I188" s="84" t="s">
        <v>343</v>
      </c>
      <c r="J188" s="84"/>
      <c r="K188" s="94">
        <v>1.3000000000090151</v>
      </c>
      <c r="L188" s="97" t="s">
        <v>165</v>
      </c>
      <c r="M188" s="98">
        <v>3.2500000000000001E-2</v>
      </c>
      <c r="N188" s="98">
        <v>1.4500000000135231E-2</v>
      </c>
      <c r="O188" s="94">
        <f>21683.5536/50000</f>
        <v>0.43367107199999999</v>
      </c>
      <c r="P188" s="96">
        <v>5115500</v>
      </c>
      <c r="Q188" s="94"/>
      <c r="R188" s="94">
        <v>22.184443225999996</v>
      </c>
      <c r="S188" s="95">
        <f>117.113440993789%/50000</f>
        <v>2.3422688198757798E-5</v>
      </c>
      <c r="T188" s="95">
        <f t="shared" si="3"/>
        <v>3.1860601422436792E-4</v>
      </c>
      <c r="U188" s="95">
        <f>R188/'סכום נכסי הקרן'!$C$42</f>
        <v>9.2869529191361109E-5</v>
      </c>
    </row>
    <row r="189" spans="2:21" s="131" customFormat="1">
      <c r="B189" s="87" t="s">
        <v>771</v>
      </c>
      <c r="C189" s="84" t="s">
        <v>772</v>
      </c>
      <c r="D189" s="97" t="s">
        <v>121</v>
      </c>
      <c r="E189" s="97" t="s">
        <v>339</v>
      </c>
      <c r="F189" s="84" t="s">
        <v>353</v>
      </c>
      <c r="G189" s="97" t="s">
        <v>347</v>
      </c>
      <c r="H189" s="84" t="s">
        <v>440</v>
      </c>
      <c r="I189" s="84" t="s">
        <v>161</v>
      </c>
      <c r="J189" s="84"/>
      <c r="K189" s="94">
        <v>0.85999999997731624</v>
      </c>
      <c r="L189" s="97" t="s">
        <v>165</v>
      </c>
      <c r="M189" s="98">
        <v>2.2700000000000001E-2</v>
      </c>
      <c r="N189" s="98">
        <v>4.2999999998865812E-3</v>
      </c>
      <c r="O189" s="94">
        <v>20778.189289999995</v>
      </c>
      <c r="P189" s="96">
        <v>101.84</v>
      </c>
      <c r="Q189" s="84"/>
      <c r="R189" s="94">
        <v>21.160508467999996</v>
      </c>
      <c r="S189" s="95">
        <v>2.0778210068210063E-5</v>
      </c>
      <c r="T189" s="95">
        <f t="shared" si="3"/>
        <v>3.0390058444419515E-4</v>
      </c>
      <c r="U189" s="95">
        <f>R189/'סכום נכסי הקרן'!$C$42</f>
        <v>8.8583086753775715E-5</v>
      </c>
    </row>
    <row r="190" spans="2:21" s="131" customFormat="1">
      <c r="B190" s="87" t="s">
        <v>773</v>
      </c>
      <c r="C190" s="84" t="s">
        <v>774</v>
      </c>
      <c r="D190" s="97" t="s">
        <v>121</v>
      </c>
      <c r="E190" s="97" t="s">
        <v>339</v>
      </c>
      <c r="F190" s="84" t="s">
        <v>775</v>
      </c>
      <c r="G190" s="97" t="s">
        <v>400</v>
      </c>
      <c r="H190" s="84" t="s">
        <v>434</v>
      </c>
      <c r="I190" s="84" t="s">
        <v>343</v>
      </c>
      <c r="J190" s="84"/>
      <c r="K190" s="94">
        <v>3.540000000009309</v>
      </c>
      <c r="L190" s="97" t="s">
        <v>165</v>
      </c>
      <c r="M190" s="98">
        <v>3.3799999999999997E-2</v>
      </c>
      <c r="N190" s="98">
        <v>2.4200000000082347E-2</v>
      </c>
      <c r="O190" s="94">
        <v>107133.18982699998</v>
      </c>
      <c r="P190" s="96">
        <v>104.28</v>
      </c>
      <c r="Q190" s="84"/>
      <c r="R190" s="94">
        <v>111.71849037399998</v>
      </c>
      <c r="S190" s="95">
        <v>1.3088502646454796E-4</v>
      </c>
      <c r="T190" s="95">
        <f t="shared" si="3"/>
        <v>1.6044659120183573E-3</v>
      </c>
      <c r="U190" s="95">
        <f>R190/'סכום נכסי הקרן'!$C$42</f>
        <v>4.6768104555553066E-4</v>
      </c>
    </row>
    <row r="191" spans="2:21" s="131" customFormat="1">
      <c r="B191" s="87" t="s">
        <v>776</v>
      </c>
      <c r="C191" s="84" t="s">
        <v>777</v>
      </c>
      <c r="D191" s="97" t="s">
        <v>121</v>
      </c>
      <c r="E191" s="97" t="s">
        <v>339</v>
      </c>
      <c r="F191" s="84" t="s">
        <v>611</v>
      </c>
      <c r="G191" s="97" t="s">
        <v>467</v>
      </c>
      <c r="H191" s="84" t="s">
        <v>440</v>
      </c>
      <c r="I191" s="84" t="s">
        <v>161</v>
      </c>
      <c r="J191" s="84"/>
      <c r="K191" s="94">
        <v>4.0400000000280878</v>
      </c>
      <c r="L191" s="97" t="s">
        <v>165</v>
      </c>
      <c r="M191" s="98">
        <v>3.85E-2</v>
      </c>
      <c r="N191" s="98">
        <v>1.1400000000202857E-2</v>
      </c>
      <c r="O191" s="94">
        <v>22873.202825999997</v>
      </c>
      <c r="P191" s="96">
        <v>112.07</v>
      </c>
      <c r="Q191" s="84"/>
      <c r="R191" s="94">
        <v>25.633997631999996</v>
      </c>
      <c r="S191" s="95">
        <v>5.7350614235102076E-5</v>
      </c>
      <c r="T191" s="95">
        <f t="shared" si="3"/>
        <v>3.6814743245828108E-4</v>
      </c>
      <c r="U191" s="95">
        <f>R191/'סכום נכסי הקרן'!$C$42</f>
        <v>1.0731021135505625E-4</v>
      </c>
    </row>
    <row r="192" spans="2:21" s="131" customFormat="1">
      <c r="B192" s="87" t="s">
        <v>778</v>
      </c>
      <c r="C192" s="84" t="s">
        <v>779</v>
      </c>
      <c r="D192" s="97" t="s">
        <v>121</v>
      </c>
      <c r="E192" s="97" t="s">
        <v>339</v>
      </c>
      <c r="F192" s="84" t="s">
        <v>516</v>
      </c>
      <c r="G192" s="97" t="s">
        <v>152</v>
      </c>
      <c r="H192" s="84" t="s">
        <v>434</v>
      </c>
      <c r="I192" s="84" t="s">
        <v>343</v>
      </c>
      <c r="J192" s="84"/>
      <c r="K192" s="94">
        <v>5.0999999999999996</v>
      </c>
      <c r="L192" s="97" t="s">
        <v>165</v>
      </c>
      <c r="M192" s="98">
        <v>5.0900000000000001E-2</v>
      </c>
      <c r="N192" s="98">
        <v>1.2800000000019322E-2</v>
      </c>
      <c r="O192" s="94">
        <v>150623.49962599998</v>
      </c>
      <c r="P192" s="96">
        <v>119.85</v>
      </c>
      <c r="Q192" s="94">
        <v>23.495759521999997</v>
      </c>
      <c r="R192" s="94">
        <v>207.00789656999999</v>
      </c>
      <c r="S192" s="95">
        <v>1.6048125051424731E-4</v>
      </c>
      <c r="T192" s="95">
        <f t="shared" si="3"/>
        <v>2.9729824709704851E-3</v>
      </c>
      <c r="U192" s="95">
        <f>R192/'סכום נכסי הקרן'!$C$42</f>
        <v>8.6658590876054285E-4</v>
      </c>
    </row>
    <row r="193" spans="2:21" s="131" customFormat="1">
      <c r="B193" s="87" t="s">
        <v>780</v>
      </c>
      <c r="C193" s="84" t="s">
        <v>781</v>
      </c>
      <c r="D193" s="97" t="s">
        <v>121</v>
      </c>
      <c r="E193" s="97" t="s">
        <v>339</v>
      </c>
      <c r="F193" s="84" t="s">
        <v>782</v>
      </c>
      <c r="G193" s="97" t="s">
        <v>737</v>
      </c>
      <c r="H193" s="84" t="s">
        <v>434</v>
      </c>
      <c r="I193" s="84" t="s">
        <v>343</v>
      </c>
      <c r="J193" s="84"/>
      <c r="K193" s="94">
        <v>0.7599999998997643</v>
      </c>
      <c r="L193" s="97" t="s">
        <v>165</v>
      </c>
      <c r="M193" s="98">
        <v>4.0999999999999995E-2</v>
      </c>
      <c r="N193" s="98">
        <v>3.1999999929835043E-3</v>
      </c>
      <c r="O193" s="94">
        <v>768.53072599999985</v>
      </c>
      <c r="P193" s="96">
        <v>103.85</v>
      </c>
      <c r="Q193" s="84"/>
      <c r="R193" s="94">
        <v>0.79811915799999988</v>
      </c>
      <c r="S193" s="95">
        <v>1.2808845433333331E-6</v>
      </c>
      <c r="T193" s="95">
        <f t="shared" si="3"/>
        <v>1.1462336972625386E-5</v>
      </c>
      <c r="U193" s="95">
        <f>R193/'סכום נכסי הקרן'!$C$42</f>
        <v>3.3411228619520349E-6</v>
      </c>
    </row>
    <row r="194" spans="2:21" s="131" customFormat="1">
      <c r="B194" s="87" t="s">
        <v>783</v>
      </c>
      <c r="C194" s="84" t="s">
        <v>784</v>
      </c>
      <c r="D194" s="97" t="s">
        <v>121</v>
      </c>
      <c r="E194" s="97" t="s">
        <v>339</v>
      </c>
      <c r="F194" s="84" t="s">
        <v>782</v>
      </c>
      <c r="G194" s="97" t="s">
        <v>737</v>
      </c>
      <c r="H194" s="84" t="s">
        <v>434</v>
      </c>
      <c r="I194" s="84" t="s">
        <v>343</v>
      </c>
      <c r="J194" s="84"/>
      <c r="K194" s="94">
        <v>3.1200000000209376</v>
      </c>
      <c r="L194" s="97" t="s">
        <v>165</v>
      </c>
      <c r="M194" s="98">
        <v>1.2E-2</v>
      </c>
      <c r="N194" s="98">
        <v>1.0100000000235547E-2</v>
      </c>
      <c r="O194" s="94">
        <v>37841.608845999996</v>
      </c>
      <c r="P194" s="96">
        <v>100.97</v>
      </c>
      <c r="Q194" s="84"/>
      <c r="R194" s="94">
        <v>38.208673709999992</v>
      </c>
      <c r="S194" s="95">
        <v>8.1671009418528848E-5</v>
      </c>
      <c r="T194" s="95">
        <f t="shared" si="3"/>
        <v>5.4874098554230232E-4</v>
      </c>
      <c r="U194" s="95">
        <f>R194/'סכום נכסי הקרן'!$C$42</f>
        <v>1.5995089452212682E-4</v>
      </c>
    </row>
    <row r="195" spans="2:21" s="131" customFormat="1">
      <c r="B195" s="87" t="s">
        <v>785</v>
      </c>
      <c r="C195" s="84" t="s">
        <v>786</v>
      </c>
      <c r="D195" s="97" t="s">
        <v>121</v>
      </c>
      <c r="E195" s="97" t="s">
        <v>339</v>
      </c>
      <c r="F195" s="84" t="s">
        <v>524</v>
      </c>
      <c r="G195" s="97" t="s">
        <v>192</v>
      </c>
      <c r="H195" s="84" t="s">
        <v>521</v>
      </c>
      <c r="I195" s="84" t="s">
        <v>343</v>
      </c>
      <c r="J195" s="84"/>
      <c r="K195" s="94">
        <v>4.5699999999992142</v>
      </c>
      <c r="L195" s="97" t="s">
        <v>165</v>
      </c>
      <c r="M195" s="98">
        <v>3.6499999999999998E-2</v>
      </c>
      <c r="N195" s="98">
        <v>2.0999999999988778E-2</v>
      </c>
      <c r="O195" s="94">
        <v>410818.95156299992</v>
      </c>
      <c r="P195" s="96">
        <v>108.49</v>
      </c>
      <c r="Q195" s="84"/>
      <c r="R195" s="94">
        <v>445.69746685499996</v>
      </c>
      <c r="S195" s="95">
        <v>1.9152684401958442E-4</v>
      </c>
      <c r="T195" s="95">
        <f t="shared" si="3"/>
        <v>6.4009672011125238E-3</v>
      </c>
      <c r="U195" s="95">
        <f>R195/'סכום נכסי הקרן'!$C$42</f>
        <v>1.8657990866363214E-3</v>
      </c>
    </row>
    <row r="196" spans="2:21" s="131" customFormat="1">
      <c r="B196" s="87" t="s">
        <v>787</v>
      </c>
      <c r="C196" s="84" t="s">
        <v>788</v>
      </c>
      <c r="D196" s="97" t="s">
        <v>121</v>
      </c>
      <c r="E196" s="97" t="s">
        <v>339</v>
      </c>
      <c r="F196" s="84" t="s">
        <v>449</v>
      </c>
      <c r="G196" s="97" t="s">
        <v>400</v>
      </c>
      <c r="H196" s="84" t="s">
        <v>529</v>
      </c>
      <c r="I196" s="84" t="s">
        <v>161</v>
      </c>
      <c r="J196" s="84"/>
      <c r="K196" s="94">
        <v>3.1999999999728939</v>
      </c>
      <c r="L196" s="97" t="s">
        <v>165</v>
      </c>
      <c r="M196" s="98">
        <v>3.5000000000000003E-2</v>
      </c>
      <c r="N196" s="98">
        <v>9.6999999999352465E-3</v>
      </c>
      <c r="O196" s="94">
        <v>60821.369042999984</v>
      </c>
      <c r="P196" s="96">
        <v>109.18</v>
      </c>
      <c r="Q196" s="84"/>
      <c r="R196" s="94">
        <v>66.404768018999988</v>
      </c>
      <c r="S196" s="95">
        <v>4.267904184339557E-4</v>
      </c>
      <c r="T196" s="95">
        <f t="shared" si="3"/>
        <v>9.5368444673119284E-4</v>
      </c>
      <c r="U196" s="95">
        <f>R196/'סכום נכסי הקרן'!$C$42</f>
        <v>2.7798667197373835E-4</v>
      </c>
    </row>
    <row r="197" spans="2:21" s="131" customFormat="1">
      <c r="B197" s="87" t="s">
        <v>789</v>
      </c>
      <c r="C197" s="84" t="s">
        <v>790</v>
      </c>
      <c r="D197" s="97" t="s">
        <v>121</v>
      </c>
      <c r="E197" s="97" t="s">
        <v>339</v>
      </c>
      <c r="F197" s="84" t="s">
        <v>756</v>
      </c>
      <c r="G197" s="97" t="s">
        <v>400</v>
      </c>
      <c r="H197" s="84" t="s">
        <v>529</v>
      </c>
      <c r="I197" s="84" t="s">
        <v>161</v>
      </c>
      <c r="J197" s="84"/>
      <c r="K197" s="94">
        <v>3.4699999999923019</v>
      </c>
      <c r="L197" s="97" t="s">
        <v>165</v>
      </c>
      <c r="M197" s="98">
        <v>4.3499999999999997E-2</v>
      </c>
      <c r="N197" s="98">
        <v>7.819999999989341E-2</v>
      </c>
      <c r="O197" s="94">
        <v>186527.02846999996</v>
      </c>
      <c r="P197" s="96">
        <v>90.54</v>
      </c>
      <c r="Q197" s="84"/>
      <c r="R197" s="94">
        <v>168.88157778999999</v>
      </c>
      <c r="S197" s="95">
        <v>1.052720652595659E-4</v>
      </c>
      <c r="T197" s="95">
        <f t="shared" si="3"/>
        <v>2.4254242410976273E-3</v>
      </c>
      <c r="U197" s="95">
        <f>R197/'סכום נכסי הקרן'!$C$42</f>
        <v>7.0697977220677123E-4</v>
      </c>
    </row>
    <row r="198" spans="2:21" s="131" customFormat="1">
      <c r="B198" s="87" t="s">
        <v>791</v>
      </c>
      <c r="C198" s="84" t="s">
        <v>792</v>
      </c>
      <c r="D198" s="97" t="s">
        <v>121</v>
      </c>
      <c r="E198" s="97" t="s">
        <v>339</v>
      </c>
      <c r="F198" s="84" t="s">
        <v>394</v>
      </c>
      <c r="G198" s="97" t="s">
        <v>347</v>
      </c>
      <c r="H198" s="84" t="s">
        <v>529</v>
      </c>
      <c r="I198" s="84" t="s">
        <v>161</v>
      </c>
      <c r="J198" s="84"/>
      <c r="K198" s="94">
        <v>2.1899999999997339</v>
      </c>
      <c r="L198" s="97" t="s">
        <v>165</v>
      </c>
      <c r="M198" s="98">
        <v>3.6000000000000004E-2</v>
      </c>
      <c r="N198" s="98">
        <v>1.5600000000012154E-2</v>
      </c>
      <c r="O198" s="94">
        <f>245783.6304/50000</f>
        <v>4.9156726079999995</v>
      </c>
      <c r="P198" s="96">
        <v>5354910</v>
      </c>
      <c r="Q198" s="84"/>
      <c r="R198" s="94">
        <v>263.22984405299997</v>
      </c>
      <c r="S198" s="95">
        <f>1567.39768127033%/50000</f>
        <v>3.1347953625406597E-4</v>
      </c>
      <c r="T198" s="95">
        <f t="shared" si="3"/>
        <v>3.7804244435730191E-3</v>
      </c>
      <c r="U198" s="95">
        <f>R198/'סכום נכסי הקרן'!$C$42</f>
        <v>1.1019447924510881E-3</v>
      </c>
    </row>
    <row r="199" spans="2:21" s="131" customFormat="1">
      <c r="B199" s="87" t="s">
        <v>793</v>
      </c>
      <c r="C199" s="84" t="s">
        <v>794</v>
      </c>
      <c r="D199" s="97" t="s">
        <v>121</v>
      </c>
      <c r="E199" s="97" t="s">
        <v>339</v>
      </c>
      <c r="F199" s="84" t="s">
        <v>466</v>
      </c>
      <c r="G199" s="97" t="s">
        <v>467</v>
      </c>
      <c r="H199" s="84" t="s">
        <v>521</v>
      </c>
      <c r="I199" s="84" t="s">
        <v>343</v>
      </c>
      <c r="J199" s="84"/>
      <c r="K199" s="94">
        <v>10.320000000015375</v>
      </c>
      <c r="L199" s="97" t="s">
        <v>165</v>
      </c>
      <c r="M199" s="98">
        <v>3.0499999999999999E-2</v>
      </c>
      <c r="N199" s="98">
        <v>2.5700000000050259E-2</v>
      </c>
      <c r="O199" s="94">
        <v>159605.04093799996</v>
      </c>
      <c r="P199" s="96">
        <v>105.96</v>
      </c>
      <c r="Q199" s="84"/>
      <c r="R199" s="94">
        <v>169.11750139499998</v>
      </c>
      <c r="S199" s="95">
        <v>5.05035292618522E-4</v>
      </c>
      <c r="T199" s="95">
        <f t="shared" si="3"/>
        <v>2.4288125019020453E-3</v>
      </c>
      <c r="U199" s="95">
        <f>R199/'סכום נכסי הקרן'!$C$42</f>
        <v>7.0796740637447486E-4</v>
      </c>
    </row>
    <row r="200" spans="2:21" s="131" customFormat="1">
      <c r="B200" s="87" t="s">
        <v>795</v>
      </c>
      <c r="C200" s="84" t="s">
        <v>796</v>
      </c>
      <c r="D200" s="97" t="s">
        <v>121</v>
      </c>
      <c r="E200" s="97" t="s">
        <v>339</v>
      </c>
      <c r="F200" s="84" t="s">
        <v>466</v>
      </c>
      <c r="G200" s="97" t="s">
        <v>467</v>
      </c>
      <c r="H200" s="84" t="s">
        <v>521</v>
      </c>
      <c r="I200" s="84" t="s">
        <v>343</v>
      </c>
      <c r="J200" s="84"/>
      <c r="K200" s="94">
        <v>9.6200000000241666</v>
      </c>
      <c r="L200" s="97" t="s">
        <v>165</v>
      </c>
      <c r="M200" s="98">
        <v>3.0499999999999999E-2</v>
      </c>
      <c r="N200" s="98">
        <v>2.4200000000086215E-2</v>
      </c>
      <c r="O200" s="94">
        <v>132209.05543699997</v>
      </c>
      <c r="P200" s="96">
        <v>107.03</v>
      </c>
      <c r="Q200" s="84"/>
      <c r="R200" s="94">
        <v>141.50335205900001</v>
      </c>
      <c r="S200" s="95">
        <v>4.1834668007372769E-4</v>
      </c>
      <c r="T200" s="95">
        <f t="shared" si="3"/>
        <v>2.0322267518558959E-3</v>
      </c>
      <c r="U200" s="95">
        <f>R200/'סכום נכסי הקרן'!$C$42</f>
        <v>5.9236779354088947E-4</v>
      </c>
    </row>
    <row r="201" spans="2:21" s="131" customFormat="1">
      <c r="B201" s="87" t="s">
        <v>797</v>
      </c>
      <c r="C201" s="84" t="s">
        <v>798</v>
      </c>
      <c r="D201" s="97" t="s">
        <v>121</v>
      </c>
      <c r="E201" s="97" t="s">
        <v>339</v>
      </c>
      <c r="F201" s="84" t="s">
        <v>466</v>
      </c>
      <c r="G201" s="97" t="s">
        <v>467</v>
      </c>
      <c r="H201" s="84" t="s">
        <v>521</v>
      </c>
      <c r="I201" s="84" t="s">
        <v>343</v>
      </c>
      <c r="J201" s="84"/>
      <c r="K201" s="94">
        <v>6.1399999999851529</v>
      </c>
      <c r="L201" s="97" t="s">
        <v>165</v>
      </c>
      <c r="M201" s="98">
        <v>2.9100000000000001E-2</v>
      </c>
      <c r="N201" s="98">
        <v>1.7299999999948513E-2</v>
      </c>
      <c r="O201" s="94">
        <v>153503.76024899998</v>
      </c>
      <c r="P201" s="96">
        <v>108.81</v>
      </c>
      <c r="Q201" s="84"/>
      <c r="R201" s="94">
        <v>167.02744068199996</v>
      </c>
      <c r="S201" s="95">
        <v>2.55839600415E-4</v>
      </c>
      <c r="T201" s="95">
        <f t="shared" si="3"/>
        <v>2.3987957056060068E-3</v>
      </c>
      <c r="U201" s="95">
        <f>R201/'סכום נכסי הקרן'!$C$42</f>
        <v>6.992178987839402E-4</v>
      </c>
    </row>
    <row r="202" spans="2:21" s="131" customFormat="1">
      <c r="B202" s="87" t="s">
        <v>799</v>
      </c>
      <c r="C202" s="84" t="s">
        <v>800</v>
      </c>
      <c r="D202" s="97" t="s">
        <v>121</v>
      </c>
      <c r="E202" s="97" t="s">
        <v>339</v>
      </c>
      <c r="F202" s="84" t="s">
        <v>466</v>
      </c>
      <c r="G202" s="97" t="s">
        <v>467</v>
      </c>
      <c r="H202" s="84" t="s">
        <v>521</v>
      </c>
      <c r="I202" s="84" t="s">
        <v>343</v>
      </c>
      <c r="J202" s="84"/>
      <c r="K202" s="94">
        <v>7.9199999999649382</v>
      </c>
      <c r="L202" s="97" t="s">
        <v>165</v>
      </c>
      <c r="M202" s="98">
        <v>3.95E-2</v>
      </c>
      <c r="N202" s="98">
        <v>1.949999999994359E-2</v>
      </c>
      <c r="O202" s="94">
        <v>97759.761593999981</v>
      </c>
      <c r="P202" s="96">
        <v>117.87</v>
      </c>
      <c r="Q202" s="84"/>
      <c r="R202" s="94">
        <v>115.22943098699999</v>
      </c>
      <c r="S202" s="95">
        <v>4.0731541432238727E-4</v>
      </c>
      <c r="T202" s="95">
        <f t="shared" si="3"/>
        <v>1.6548889396999983E-3</v>
      </c>
      <c r="U202" s="95">
        <f>R202/'סכום נכסי הקרן'!$C$42</f>
        <v>4.8237870546191045E-4</v>
      </c>
    </row>
    <row r="203" spans="2:21" s="131" customFormat="1">
      <c r="B203" s="87" t="s">
        <v>801</v>
      </c>
      <c r="C203" s="84" t="s">
        <v>802</v>
      </c>
      <c r="D203" s="97" t="s">
        <v>121</v>
      </c>
      <c r="E203" s="97" t="s">
        <v>339</v>
      </c>
      <c r="F203" s="84" t="s">
        <v>466</v>
      </c>
      <c r="G203" s="97" t="s">
        <v>467</v>
      </c>
      <c r="H203" s="84" t="s">
        <v>521</v>
      </c>
      <c r="I203" s="84" t="s">
        <v>343</v>
      </c>
      <c r="J203" s="84"/>
      <c r="K203" s="94">
        <v>8.6299999998752543</v>
      </c>
      <c r="L203" s="97" t="s">
        <v>165</v>
      </c>
      <c r="M203" s="98">
        <v>3.95E-2</v>
      </c>
      <c r="N203" s="98">
        <v>2.0999999999718088E-2</v>
      </c>
      <c r="O203" s="94">
        <v>24036.771114999996</v>
      </c>
      <c r="P203" s="96">
        <v>118.06</v>
      </c>
      <c r="Q203" s="84"/>
      <c r="R203" s="94">
        <v>28.377811957999995</v>
      </c>
      <c r="S203" s="95">
        <v>1.0014905136879456E-4</v>
      </c>
      <c r="T203" s="95">
        <f t="shared" si="3"/>
        <v>4.0755323305795673E-4</v>
      </c>
      <c r="U203" s="95">
        <f>R203/'סכום נכסי הקרן'!$C$42</f>
        <v>1.1879649217122243E-4</v>
      </c>
    </row>
    <row r="204" spans="2:21" s="131" customFormat="1">
      <c r="B204" s="87" t="s">
        <v>803</v>
      </c>
      <c r="C204" s="84" t="s">
        <v>804</v>
      </c>
      <c r="D204" s="97" t="s">
        <v>121</v>
      </c>
      <c r="E204" s="97" t="s">
        <v>339</v>
      </c>
      <c r="F204" s="84" t="s">
        <v>805</v>
      </c>
      <c r="G204" s="97" t="s">
        <v>400</v>
      </c>
      <c r="H204" s="84" t="s">
        <v>521</v>
      </c>
      <c r="I204" s="84" t="s">
        <v>343</v>
      </c>
      <c r="J204" s="84"/>
      <c r="K204" s="94">
        <v>3.0999999999639281</v>
      </c>
      <c r="L204" s="97" t="s">
        <v>165</v>
      </c>
      <c r="M204" s="98">
        <v>3.9E-2</v>
      </c>
      <c r="N204" s="98">
        <v>4.3399999999314626E-2</v>
      </c>
      <c r="O204" s="94">
        <v>22372.595146999996</v>
      </c>
      <c r="P204" s="96">
        <v>99.13</v>
      </c>
      <c r="Q204" s="84"/>
      <c r="R204" s="94">
        <v>22.177953578</v>
      </c>
      <c r="S204" s="95">
        <v>3.3969427106609634E-5</v>
      </c>
      <c r="T204" s="95">
        <f t="shared" si="3"/>
        <v>3.1851281193563192E-4</v>
      </c>
      <c r="U204" s="95">
        <f>R204/'סכום נכסי הקרן'!$C$42</f>
        <v>9.2842361930581225E-5</v>
      </c>
    </row>
    <row r="205" spans="2:21" s="131" customFormat="1">
      <c r="B205" s="87" t="s">
        <v>806</v>
      </c>
      <c r="C205" s="84" t="s">
        <v>807</v>
      </c>
      <c r="D205" s="97" t="s">
        <v>121</v>
      </c>
      <c r="E205" s="97" t="s">
        <v>339</v>
      </c>
      <c r="F205" s="84" t="s">
        <v>478</v>
      </c>
      <c r="G205" s="97" t="s">
        <v>400</v>
      </c>
      <c r="H205" s="84" t="s">
        <v>529</v>
      </c>
      <c r="I205" s="84" t="s">
        <v>161</v>
      </c>
      <c r="J205" s="84"/>
      <c r="K205" s="94">
        <v>3.6800000000395721</v>
      </c>
      <c r="L205" s="97" t="s">
        <v>165</v>
      </c>
      <c r="M205" s="98">
        <v>5.0499999999999996E-2</v>
      </c>
      <c r="N205" s="98">
        <v>1.3700000000076446E-2</v>
      </c>
      <c r="O205" s="94">
        <v>38918.438504999991</v>
      </c>
      <c r="P205" s="96">
        <v>114.28</v>
      </c>
      <c r="Q205" s="84"/>
      <c r="R205" s="94">
        <v>44.475992817999995</v>
      </c>
      <c r="S205" s="95">
        <v>5.2491262443743843E-5</v>
      </c>
      <c r="T205" s="95">
        <f t="shared" si="3"/>
        <v>6.3875025647734489E-4</v>
      </c>
      <c r="U205" s="95">
        <f>R205/'סכום נכסי הקרן'!$C$42</f>
        <v>1.8618743194263019E-4</v>
      </c>
    </row>
    <row r="206" spans="2:21" s="131" customFormat="1">
      <c r="B206" s="87" t="s">
        <v>808</v>
      </c>
      <c r="C206" s="84" t="s">
        <v>809</v>
      </c>
      <c r="D206" s="97" t="s">
        <v>121</v>
      </c>
      <c r="E206" s="97" t="s">
        <v>339</v>
      </c>
      <c r="F206" s="84" t="s">
        <v>483</v>
      </c>
      <c r="G206" s="97" t="s">
        <v>467</v>
      </c>
      <c r="H206" s="84" t="s">
        <v>529</v>
      </c>
      <c r="I206" s="84" t="s">
        <v>161</v>
      </c>
      <c r="J206" s="84"/>
      <c r="K206" s="94">
        <v>4.4600000000022852</v>
      </c>
      <c r="L206" s="97" t="s">
        <v>165</v>
      </c>
      <c r="M206" s="98">
        <v>3.9199999999999999E-2</v>
      </c>
      <c r="N206" s="98">
        <v>1.2900000000003116E-2</v>
      </c>
      <c r="O206" s="94">
        <v>170436.79073199999</v>
      </c>
      <c r="P206" s="96">
        <v>112.96</v>
      </c>
      <c r="Q206" s="84"/>
      <c r="R206" s="94">
        <v>192.52540448599999</v>
      </c>
      <c r="S206" s="95">
        <v>1.7756532840619511E-4</v>
      </c>
      <c r="T206" s="95">
        <f t="shared" si="3"/>
        <v>2.7649894629011465E-3</v>
      </c>
      <c r="U206" s="95">
        <f>R206/'סכום נכסי הקרן'!$C$42</f>
        <v>8.0595863911681412E-4</v>
      </c>
    </row>
    <row r="207" spans="2:21" s="131" customFormat="1">
      <c r="B207" s="87" t="s">
        <v>810</v>
      </c>
      <c r="C207" s="84" t="s">
        <v>811</v>
      </c>
      <c r="D207" s="97" t="s">
        <v>121</v>
      </c>
      <c r="E207" s="97" t="s">
        <v>339</v>
      </c>
      <c r="F207" s="84" t="s">
        <v>483</v>
      </c>
      <c r="G207" s="97" t="s">
        <v>467</v>
      </c>
      <c r="H207" s="84" t="s">
        <v>529</v>
      </c>
      <c r="I207" s="84" t="s">
        <v>161</v>
      </c>
      <c r="J207" s="84"/>
      <c r="K207" s="94">
        <v>9.259999999986821</v>
      </c>
      <c r="L207" s="97" t="s">
        <v>165</v>
      </c>
      <c r="M207" s="98">
        <v>2.64E-2</v>
      </c>
      <c r="N207" s="98">
        <v>2.5299999999967258E-2</v>
      </c>
      <c r="O207" s="94">
        <v>238595.47935299997</v>
      </c>
      <c r="P207" s="96">
        <v>101.13</v>
      </c>
      <c r="Q207" s="84"/>
      <c r="R207" s="94">
        <v>241.29161544299993</v>
      </c>
      <c r="S207" s="95">
        <v>2.8746443295542165E-4</v>
      </c>
      <c r="T207" s="95">
        <f t="shared" si="3"/>
        <v>3.4653544864247012E-3</v>
      </c>
      <c r="U207" s="95">
        <f>R207/'סכום נכסי הקרן'!$C$42</f>
        <v>1.010105978127574E-3</v>
      </c>
    </row>
    <row r="208" spans="2:21" s="131" customFormat="1">
      <c r="B208" s="87" t="s">
        <v>812</v>
      </c>
      <c r="C208" s="84" t="s">
        <v>813</v>
      </c>
      <c r="D208" s="97" t="s">
        <v>121</v>
      </c>
      <c r="E208" s="97" t="s">
        <v>339</v>
      </c>
      <c r="F208" s="84" t="s">
        <v>594</v>
      </c>
      <c r="G208" s="97" t="s">
        <v>467</v>
      </c>
      <c r="H208" s="84" t="s">
        <v>529</v>
      </c>
      <c r="I208" s="84" t="s">
        <v>161</v>
      </c>
      <c r="J208" s="84"/>
      <c r="K208" s="94">
        <v>4.3700000000297425</v>
      </c>
      <c r="L208" s="97" t="s">
        <v>165</v>
      </c>
      <c r="M208" s="98">
        <v>4.0999999999999995E-2</v>
      </c>
      <c r="N208" s="98">
        <v>1.1100000000042489E-2</v>
      </c>
      <c r="O208" s="94">
        <v>61482.455999999984</v>
      </c>
      <c r="P208" s="96">
        <v>114.84</v>
      </c>
      <c r="Q208" s="84"/>
      <c r="R208" s="94">
        <v>70.606452469999994</v>
      </c>
      <c r="S208" s="95">
        <v>2.0494151999999994E-4</v>
      </c>
      <c r="T208" s="95">
        <f t="shared" si="3"/>
        <v>1.0140277207238747E-3</v>
      </c>
      <c r="U208" s="95">
        <f>R208/'סכום נכסי הקרן'!$C$42</f>
        <v>2.9557595527464678E-4</v>
      </c>
    </row>
    <row r="209" spans="2:21" s="131" customFormat="1">
      <c r="B209" s="87" t="s">
        <v>814</v>
      </c>
      <c r="C209" s="84" t="s">
        <v>815</v>
      </c>
      <c r="D209" s="97" t="s">
        <v>121</v>
      </c>
      <c r="E209" s="97" t="s">
        <v>339</v>
      </c>
      <c r="F209" s="84" t="s">
        <v>606</v>
      </c>
      <c r="G209" s="97" t="s">
        <v>471</v>
      </c>
      <c r="H209" s="84" t="s">
        <v>521</v>
      </c>
      <c r="I209" s="84" t="s">
        <v>343</v>
      </c>
      <c r="J209" s="84"/>
      <c r="K209" s="94">
        <v>4.4800000000014659</v>
      </c>
      <c r="L209" s="97" t="s">
        <v>165</v>
      </c>
      <c r="M209" s="98">
        <v>1.9E-2</v>
      </c>
      <c r="N209" s="98">
        <v>1.4700000000012339E-2</v>
      </c>
      <c r="O209" s="94">
        <v>508003.00680999993</v>
      </c>
      <c r="P209" s="96">
        <v>102.11</v>
      </c>
      <c r="Q209" s="84"/>
      <c r="R209" s="94">
        <v>518.72188718799987</v>
      </c>
      <c r="S209" s="95">
        <v>3.5165700548526297E-4</v>
      </c>
      <c r="T209" s="95">
        <f t="shared" si="3"/>
        <v>7.4497210177543764E-3</v>
      </c>
      <c r="U209" s="95">
        <f>R209/'סכום נכסי הקרן'!$C$42</f>
        <v>2.1714972493853241E-3</v>
      </c>
    </row>
    <row r="210" spans="2:21" s="131" customFormat="1">
      <c r="B210" s="87" t="s">
        <v>816</v>
      </c>
      <c r="C210" s="84" t="s">
        <v>817</v>
      </c>
      <c r="D210" s="97" t="s">
        <v>121</v>
      </c>
      <c r="E210" s="97" t="s">
        <v>339</v>
      </c>
      <c r="F210" s="84" t="s">
        <v>606</v>
      </c>
      <c r="G210" s="97" t="s">
        <v>471</v>
      </c>
      <c r="H210" s="84" t="s">
        <v>521</v>
      </c>
      <c r="I210" s="84" t="s">
        <v>343</v>
      </c>
      <c r="J210" s="84"/>
      <c r="K210" s="94">
        <v>3.0299999999921168</v>
      </c>
      <c r="L210" s="97" t="s">
        <v>165</v>
      </c>
      <c r="M210" s="98">
        <v>2.9600000000000001E-2</v>
      </c>
      <c r="N210" s="98">
        <v>1.0199999999947447E-2</v>
      </c>
      <c r="O210" s="94">
        <v>74675.643202999985</v>
      </c>
      <c r="P210" s="96">
        <v>107.02</v>
      </c>
      <c r="Q210" s="84"/>
      <c r="R210" s="94">
        <v>79.917872520999978</v>
      </c>
      <c r="S210" s="95">
        <v>1.8285195963456855E-4</v>
      </c>
      <c r="T210" s="95">
        <f t="shared" si="3"/>
        <v>1.1477554144503075E-3</v>
      </c>
      <c r="U210" s="95">
        <f>R210/'סכום נכסי הקרן'!$C$42</f>
        <v>3.3455584705871874E-4</v>
      </c>
    </row>
    <row r="211" spans="2:21" s="131" customFormat="1">
      <c r="B211" s="87" t="s">
        <v>818</v>
      </c>
      <c r="C211" s="84" t="s">
        <v>819</v>
      </c>
      <c r="D211" s="97" t="s">
        <v>121</v>
      </c>
      <c r="E211" s="97" t="s">
        <v>339</v>
      </c>
      <c r="F211" s="84" t="s">
        <v>611</v>
      </c>
      <c r="G211" s="97" t="s">
        <v>467</v>
      </c>
      <c r="H211" s="84" t="s">
        <v>529</v>
      </c>
      <c r="I211" s="84" t="s">
        <v>161</v>
      </c>
      <c r="J211" s="84"/>
      <c r="K211" s="94">
        <v>5.3399999999962793</v>
      </c>
      <c r="L211" s="97" t="s">
        <v>165</v>
      </c>
      <c r="M211" s="98">
        <v>3.61E-2</v>
      </c>
      <c r="N211" s="98">
        <v>1.3000000000002619E-2</v>
      </c>
      <c r="O211" s="94">
        <v>336080.77301699994</v>
      </c>
      <c r="P211" s="96">
        <v>113.57</v>
      </c>
      <c r="Q211" s="84"/>
      <c r="R211" s="94">
        <v>381.686922713</v>
      </c>
      <c r="S211" s="95">
        <v>4.3789025800260579E-4</v>
      </c>
      <c r="T211" s="95">
        <f t="shared" si="3"/>
        <v>5.4816678466210033E-3</v>
      </c>
      <c r="U211" s="95">
        <f>R211/'סכום נכסי הקרן'!$C$42</f>
        <v>1.5978352239785778E-3</v>
      </c>
    </row>
    <row r="212" spans="2:21" s="131" customFormat="1">
      <c r="B212" s="87" t="s">
        <v>820</v>
      </c>
      <c r="C212" s="84" t="s">
        <v>821</v>
      </c>
      <c r="D212" s="97" t="s">
        <v>121</v>
      </c>
      <c r="E212" s="97" t="s">
        <v>339</v>
      </c>
      <c r="F212" s="84" t="s">
        <v>611</v>
      </c>
      <c r="G212" s="97" t="s">
        <v>467</v>
      </c>
      <c r="H212" s="84" t="s">
        <v>529</v>
      </c>
      <c r="I212" s="84" t="s">
        <v>161</v>
      </c>
      <c r="J212" s="84"/>
      <c r="K212" s="94">
        <v>6.2799999999794576</v>
      </c>
      <c r="L212" s="97" t="s">
        <v>165</v>
      </c>
      <c r="M212" s="98">
        <v>3.3000000000000002E-2</v>
      </c>
      <c r="N212" s="98">
        <v>1.7899999999959539E-2</v>
      </c>
      <c r="O212" s="94">
        <v>116727.84730699999</v>
      </c>
      <c r="P212" s="96">
        <v>110.1</v>
      </c>
      <c r="Q212" s="84"/>
      <c r="R212" s="94">
        <v>128.51735988799999</v>
      </c>
      <c r="S212" s="95">
        <v>3.7856247809109925E-4</v>
      </c>
      <c r="T212" s="95">
        <f t="shared" si="3"/>
        <v>1.8457260060764323E-3</v>
      </c>
      <c r="U212" s="95">
        <f>R212/'סכום נכסי הקרן'!$C$42</f>
        <v>5.380052401642942E-4</v>
      </c>
    </row>
    <row r="213" spans="2:21" s="131" customFormat="1">
      <c r="B213" s="87" t="s">
        <v>822</v>
      </c>
      <c r="C213" s="84" t="s">
        <v>823</v>
      </c>
      <c r="D213" s="97" t="s">
        <v>121</v>
      </c>
      <c r="E213" s="97" t="s">
        <v>339</v>
      </c>
      <c r="F213" s="84" t="s">
        <v>611</v>
      </c>
      <c r="G213" s="97" t="s">
        <v>467</v>
      </c>
      <c r="H213" s="84" t="s">
        <v>529</v>
      </c>
      <c r="I213" s="84" t="s">
        <v>161</v>
      </c>
      <c r="J213" s="84"/>
      <c r="K213" s="94">
        <v>8.5299999999996849</v>
      </c>
      <c r="L213" s="97" t="s">
        <v>165</v>
      </c>
      <c r="M213" s="98">
        <v>2.6200000000000001E-2</v>
      </c>
      <c r="N213" s="98">
        <v>2.1899999999979956E-2</v>
      </c>
      <c r="O213" s="94">
        <v>181793.37531599996</v>
      </c>
      <c r="P213" s="96">
        <v>104.3</v>
      </c>
      <c r="Q213" s="84"/>
      <c r="R213" s="94">
        <v>189.61048620199998</v>
      </c>
      <c r="S213" s="95">
        <v>6.0597791771999988E-4</v>
      </c>
      <c r="T213" s="95">
        <f t="shared" si="3"/>
        <v>2.7231263209329705E-3</v>
      </c>
      <c r="U213" s="95">
        <f>R213/'סכום נכסי הקרן'!$C$42</f>
        <v>7.9375607509893039E-4</v>
      </c>
    </row>
    <row r="214" spans="2:21" s="131" customFormat="1">
      <c r="B214" s="87" t="s">
        <v>824</v>
      </c>
      <c r="C214" s="84" t="s">
        <v>825</v>
      </c>
      <c r="D214" s="97" t="s">
        <v>121</v>
      </c>
      <c r="E214" s="97" t="s">
        <v>339</v>
      </c>
      <c r="F214" s="84" t="s">
        <v>826</v>
      </c>
      <c r="G214" s="97" t="s">
        <v>152</v>
      </c>
      <c r="H214" s="84" t="s">
        <v>529</v>
      </c>
      <c r="I214" s="84" t="s">
        <v>161</v>
      </c>
      <c r="J214" s="84"/>
      <c r="K214" s="94">
        <v>3.5299999999893457</v>
      </c>
      <c r="L214" s="97" t="s">
        <v>165</v>
      </c>
      <c r="M214" s="98">
        <v>2.75E-2</v>
      </c>
      <c r="N214" s="98">
        <v>1.2999999999953675E-2</v>
      </c>
      <c r="O214" s="94">
        <v>102435.49366299999</v>
      </c>
      <c r="P214" s="96">
        <v>105.37</v>
      </c>
      <c r="Q214" s="84"/>
      <c r="R214" s="94">
        <v>107.936276255</v>
      </c>
      <c r="S214" s="95">
        <v>2.3561155269213126E-4</v>
      </c>
      <c r="T214" s="95">
        <f t="shared" si="3"/>
        <v>1.5501469393436038E-3</v>
      </c>
      <c r="U214" s="95">
        <f>R214/'סכום נכסי הקרן'!$C$42</f>
        <v>4.5184776811177748E-4</v>
      </c>
    </row>
    <row r="215" spans="2:21" s="131" customFormat="1">
      <c r="B215" s="87" t="s">
        <v>827</v>
      </c>
      <c r="C215" s="84" t="s">
        <v>828</v>
      </c>
      <c r="D215" s="97" t="s">
        <v>121</v>
      </c>
      <c r="E215" s="97" t="s">
        <v>339</v>
      </c>
      <c r="F215" s="84" t="s">
        <v>826</v>
      </c>
      <c r="G215" s="97" t="s">
        <v>152</v>
      </c>
      <c r="H215" s="84" t="s">
        <v>529</v>
      </c>
      <c r="I215" s="84" t="s">
        <v>161</v>
      </c>
      <c r="J215" s="84"/>
      <c r="K215" s="94">
        <v>4.5699999999968419</v>
      </c>
      <c r="L215" s="97" t="s">
        <v>165</v>
      </c>
      <c r="M215" s="98">
        <v>2.3E-2</v>
      </c>
      <c r="N215" s="98">
        <v>1.569999999996842E-2</v>
      </c>
      <c r="O215" s="94">
        <v>189650.96122999996</v>
      </c>
      <c r="P215" s="96">
        <v>103.52</v>
      </c>
      <c r="Q215" s="84"/>
      <c r="R215" s="94">
        <v>196.32667086599997</v>
      </c>
      <c r="S215" s="95">
        <v>6.2814523952614922E-4</v>
      </c>
      <c r="T215" s="95">
        <f t="shared" si="3"/>
        <v>2.819582058171578E-3</v>
      </c>
      <c r="U215" s="95">
        <f>R215/'סכום נכסי הקרן'!$C$42</f>
        <v>8.218716740055062E-4</v>
      </c>
    </row>
    <row r="216" spans="2:21" s="131" customFormat="1">
      <c r="B216" s="87" t="s">
        <v>829</v>
      </c>
      <c r="C216" s="84" t="s">
        <v>830</v>
      </c>
      <c r="D216" s="97" t="s">
        <v>121</v>
      </c>
      <c r="E216" s="97" t="s">
        <v>339</v>
      </c>
      <c r="F216" s="84" t="s">
        <v>831</v>
      </c>
      <c r="G216" s="97" t="s">
        <v>157</v>
      </c>
      <c r="H216" s="84" t="s">
        <v>626</v>
      </c>
      <c r="I216" s="84" t="s">
        <v>343</v>
      </c>
      <c r="J216" s="84"/>
      <c r="K216" s="94">
        <v>1.1200000000074977</v>
      </c>
      <c r="L216" s="97" t="s">
        <v>165</v>
      </c>
      <c r="M216" s="98">
        <v>3.3000000000000002E-2</v>
      </c>
      <c r="N216" s="98">
        <v>1.6800000000246354E-2</v>
      </c>
      <c r="O216" s="94">
        <v>36541.096891999994</v>
      </c>
      <c r="P216" s="96">
        <v>102.2</v>
      </c>
      <c r="Q216" s="84"/>
      <c r="R216" s="94">
        <v>37.34499980599999</v>
      </c>
      <c r="S216" s="95">
        <v>1.0691053516604866E-4</v>
      </c>
      <c r="T216" s="95">
        <f t="shared" si="3"/>
        <v>5.3633717187252577E-4</v>
      </c>
      <c r="U216" s="95">
        <f>R216/'סכום נכסי הקרן'!$C$42</f>
        <v>1.5633534338918963E-4</v>
      </c>
    </row>
    <row r="217" spans="2:21" s="131" customFormat="1">
      <c r="B217" s="87" t="s">
        <v>832</v>
      </c>
      <c r="C217" s="84" t="s">
        <v>833</v>
      </c>
      <c r="D217" s="97" t="s">
        <v>121</v>
      </c>
      <c r="E217" s="97" t="s">
        <v>339</v>
      </c>
      <c r="F217" s="84" t="s">
        <v>625</v>
      </c>
      <c r="G217" s="97" t="s">
        <v>157</v>
      </c>
      <c r="H217" s="84" t="s">
        <v>626</v>
      </c>
      <c r="I217" s="84" t="s">
        <v>343</v>
      </c>
      <c r="J217" s="84"/>
      <c r="K217" s="94">
        <v>0.90999999999884273</v>
      </c>
      <c r="L217" s="97" t="s">
        <v>165</v>
      </c>
      <c r="M217" s="98">
        <v>4.2999999999999997E-2</v>
      </c>
      <c r="N217" s="98">
        <v>1.7200000000092572E-2</v>
      </c>
      <c r="O217" s="94">
        <v>58915.968067999995</v>
      </c>
      <c r="P217" s="96">
        <v>102.68</v>
      </c>
      <c r="Q217" s="84"/>
      <c r="R217" s="94">
        <v>60.494917976999993</v>
      </c>
      <c r="S217" s="95">
        <v>2.7206252807106718E-4</v>
      </c>
      <c r="T217" s="95">
        <f t="shared" si="3"/>
        <v>8.6880903438194023E-4</v>
      </c>
      <c r="U217" s="95">
        <f>R217/'סכום נכסי הקרן'!$C$42</f>
        <v>2.532465878796357E-4</v>
      </c>
    </row>
    <row r="218" spans="2:21" s="131" customFormat="1">
      <c r="B218" s="87" t="s">
        <v>834</v>
      </c>
      <c r="C218" s="84" t="s">
        <v>835</v>
      </c>
      <c r="D218" s="97" t="s">
        <v>121</v>
      </c>
      <c r="E218" s="97" t="s">
        <v>339</v>
      </c>
      <c r="F218" s="84" t="s">
        <v>625</v>
      </c>
      <c r="G218" s="97" t="s">
        <v>157</v>
      </c>
      <c r="H218" s="84" t="s">
        <v>626</v>
      </c>
      <c r="I218" s="84" t="s">
        <v>343</v>
      </c>
      <c r="J218" s="84"/>
      <c r="K218" s="94">
        <v>1.62</v>
      </c>
      <c r="L218" s="97" t="s">
        <v>165</v>
      </c>
      <c r="M218" s="98">
        <v>4.2500000000000003E-2</v>
      </c>
      <c r="N218" s="98">
        <v>1.9099999999999999E-2</v>
      </c>
      <c r="O218" s="94">
        <v>50449.276050999993</v>
      </c>
      <c r="P218" s="96">
        <v>105.53</v>
      </c>
      <c r="Q218" s="84"/>
      <c r="R218" s="94">
        <v>53.23912159999999</v>
      </c>
      <c r="S218" s="95">
        <v>1.3429096825310629E-4</v>
      </c>
      <c r="T218" s="95">
        <f t="shared" si="3"/>
        <v>7.6460356300052477E-4</v>
      </c>
      <c r="U218" s="95">
        <f>R218/'סכום נכסי הקרן'!$C$42</f>
        <v>2.2287204178101486E-4</v>
      </c>
    </row>
    <row r="219" spans="2:21" s="131" customFormat="1">
      <c r="B219" s="87" t="s">
        <v>836</v>
      </c>
      <c r="C219" s="84" t="s">
        <v>837</v>
      </c>
      <c r="D219" s="97" t="s">
        <v>121</v>
      </c>
      <c r="E219" s="97" t="s">
        <v>339</v>
      </c>
      <c r="F219" s="84" t="s">
        <v>625</v>
      </c>
      <c r="G219" s="97" t="s">
        <v>157</v>
      </c>
      <c r="H219" s="84" t="s">
        <v>626</v>
      </c>
      <c r="I219" s="84" t="s">
        <v>343</v>
      </c>
      <c r="J219" s="84"/>
      <c r="K219" s="94">
        <v>1.5399999999995284</v>
      </c>
      <c r="L219" s="97" t="s">
        <v>165</v>
      </c>
      <c r="M219" s="98">
        <v>3.7000000000000005E-2</v>
      </c>
      <c r="N219" s="98">
        <v>1.9500000000035368E-2</v>
      </c>
      <c r="O219" s="94">
        <v>122080.07288899999</v>
      </c>
      <c r="P219" s="96">
        <v>104.22</v>
      </c>
      <c r="Q219" s="84"/>
      <c r="R219" s="94">
        <v>127.23185738899998</v>
      </c>
      <c r="S219" s="95">
        <v>4.6281980871010583E-4</v>
      </c>
      <c r="T219" s="95">
        <f t="shared" si="3"/>
        <v>1.8272640224553224E-3</v>
      </c>
      <c r="U219" s="95">
        <f>R219/'סכום נכסי הקרן'!$C$42</f>
        <v>5.3262381090595108E-4</v>
      </c>
    </row>
    <row r="220" spans="2:21" s="131" customFormat="1">
      <c r="B220" s="87" t="s">
        <v>838</v>
      </c>
      <c r="C220" s="84" t="s">
        <v>839</v>
      </c>
      <c r="D220" s="97" t="s">
        <v>121</v>
      </c>
      <c r="E220" s="97" t="s">
        <v>339</v>
      </c>
      <c r="F220" s="84" t="s">
        <v>840</v>
      </c>
      <c r="G220" s="97" t="s">
        <v>716</v>
      </c>
      <c r="H220" s="84" t="s">
        <v>622</v>
      </c>
      <c r="I220" s="84" t="s">
        <v>161</v>
      </c>
      <c r="J220" s="84"/>
      <c r="K220" s="94">
        <v>3.5399999996393405</v>
      </c>
      <c r="L220" s="97" t="s">
        <v>165</v>
      </c>
      <c r="M220" s="98">
        <v>3.7499999999999999E-2</v>
      </c>
      <c r="N220" s="98">
        <v>1.3099999998399892E-2</v>
      </c>
      <c r="O220" s="94">
        <v>3586.4770099999996</v>
      </c>
      <c r="P220" s="96">
        <v>109.78</v>
      </c>
      <c r="Q220" s="84"/>
      <c r="R220" s="94">
        <v>3.9372344729999997</v>
      </c>
      <c r="S220" s="95">
        <v>7.7772230840277185E-6</v>
      </c>
      <c r="T220" s="95">
        <f t="shared" si="3"/>
        <v>5.6545326368125005E-5</v>
      </c>
      <c r="U220" s="95">
        <f>R220/'סכום נכסי הקרן'!$C$42</f>
        <v>1.6482230728016146E-5</v>
      </c>
    </row>
    <row r="221" spans="2:21" s="131" customFormat="1">
      <c r="B221" s="87" t="s">
        <v>841</v>
      </c>
      <c r="C221" s="84" t="s">
        <v>842</v>
      </c>
      <c r="D221" s="97" t="s">
        <v>121</v>
      </c>
      <c r="E221" s="97" t="s">
        <v>339</v>
      </c>
      <c r="F221" s="84" t="s">
        <v>840</v>
      </c>
      <c r="G221" s="97" t="s">
        <v>716</v>
      </c>
      <c r="H221" s="84" t="s">
        <v>626</v>
      </c>
      <c r="I221" s="84" t="s">
        <v>343</v>
      </c>
      <c r="J221" s="84"/>
      <c r="K221" s="94">
        <v>6.4500000000017863</v>
      </c>
      <c r="L221" s="97" t="s">
        <v>165</v>
      </c>
      <c r="M221" s="98">
        <v>3.7499999999999999E-2</v>
      </c>
      <c r="N221" s="98">
        <v>2.0599999999960743E-2</v>
      </c>
      <c r="O221" s="94">
        <v>99939.732227999979</v>
      </c>
      <c r="P221" s="96">
        <v>112.15</v>
      </c>
      <c r="Q221" s="84"/>
      <c r="R221" s="94">
        <v>112.08241302399998</v>
      </c>
      <c r="S221" s="95">
        <v>4.5427151012727263E-4</v>
      </c>
      <c r="T221" s="95">
        <f t="shared" si="3"/>
        <v>1.6096924549530286E-3</v>
      </c>
      <c r="U221" s="95">
        <f>R221/'סכום נכסי הקרן'!$C$42</f>
        <v>4.6920451516994769E-4</v>
      </c>
    </row>
    <row r="222" spans="2:21" s="131" customFormat="1">
      <c r="B222" s="87" t="s">
        <v>843</v>
      </c>
      <c r="C222" s="84" t="s">
        <v>844</v>
      </c>
      <c r="D222" s="97" t="s">
        <v>121</v>
      </c>
      <c r="E222" s="97" t="s">
        <v>339</v>
      </c>
      <c r="F222" s="84" t="s">
        <v>845</v>
      </c>
      <c r="G222" s="97" t="s">
        <v>747</v>
      </c>
      <c r="H222" s="84" t="s">
        <v>622</v>
      </c>
      <c r="I222" s="84" t="s">
        <v>161</v>
      </c>
      <c r="J222" s="84"/>
      <c r="K222" s="94">
        <v>0.41000000009942567</v>
      </c>
      <c r="L222" s="97" t="s">
        <v>165</v>
      </c>
      <c r="M222" s="98">
        <v>5.5500000000000001E-2</v>
      </c>
      <c r="N222" s="98">
        <v>1.1500000004447992E-2</v>
      </c>
      <c r="O222" s="94">
        <v>1868.1930219999997</v>
      </c>
      <c r="P222" s="96">
        <v>102.29</v>
      </c>
      <c r="Q222" s="84"/>
      <c r="R222" s="94">
        <v>1.9109746409999997</v>
      </c>
      <c r="S222" s="95">
        <v>1.5568275183333331E-4</v>
      </c>
      <c r="T222" s="95">
        <f t="shared" si="3"/>
        <v>2.7444818310305266E-5</v>
      </c>
      <c r="U222" s="95">
        <f>R222/'סכום נכסי הקרן'!$C$42</f>
        <v>7.999809298720884E-6</v>
      </c>
    </row>
    <row r="223" spans="2:21" s="131" customFormat="1">
      <c r="B223" s="87" t="s">
        <v>846</v>
      </c>
      <c r="C223" s="84" t="s">
        <v>847</v>
      </c>
      <c r="D223" s="97" t="s">
        <v>121</v>
      </c>
      <c r="E223" s="97" t="s">
        <v>339</v>
      </c>
      <c r="F223" s="84" t="s">
        <v>848</v>
      </c>
      <c r="G223" s="97" t="s">
        <v>152</v>
      </c>
      <c r="H223" s="84" t="s">
        <v>626</v>
      </c>
      <c r="I223" s="84" t="s">
        <v>343</v>
      </c>
      <c r="J223" s="84"/>
      <c r="K223" s="94">
        <v>1.929999999956139</v>
      </c>
      <c r="L223" s="97" t="s">
        <v>165</v>
      </c>
      <c r="M223" s="98">
        <v>3.4000000000000002E-2</v>
      </c>
      <c r="N223" s="98">
        <v>1.5499999999948999E-2</v>
      </c>
      <c r="O223" s="94">
        <v>9421.1056489999974</v>
      </c>
      <c r="P223" s="96">
        <v>104.06</v>
      </c>
      <c r="Q223" s="84"/>
      <c r="R223" s="94">
        <v>9.8036022509999992</v>
      </c>
      <c r="S223" s="95">
        <v>1.6709766239802635E-5</v>
      </c>
      <c r="T223" s="95">
        <f t="shared" si="3"/>
        <v>1.4079626008244595E-4</v>
      </c>
      <c r="U223" s="95">
        <f>R223/'סכום נכסי הקרן'!$C$42</f>
        <v>4.1040287383128491E-5</v>
      </c>
    </row>
    <row r="224" spans="2:21" s="131" customFormat="1">
      <c r="B224" s="87" t="s">
        <v>849</v>
      </c>
      <c r="C224" s="84" t="s">
        <v>850</v>
      </c>
      <c r="D224" s="97" t="s">
        <v>121</v>
      </c>
      <c r="E224" s="97" t="s">
        <v>339</v>
      </c>
      <c r="F224" s="84" t="s">
        <v>621</v>
      </c>
      <c r="G224" s="97" t="s">
        <v>347</v>
      </c>
      <c r="H224" s="84" t="s">
        <v>622</v>
      </c>
      <c r="I224" s="84" t="s">
        <v>161</v>
      </c>
      <c r="J224" s="84"/>
      <c r="K224" s="94">
        <v>0.17999999999648181</v>
      </c>
      <c r="L224" s="97" t="s">
        <v>165</v>
      </c>
      <c r="M224" s="98">
        <v>1.5600000000000001E-2</v>
      </c>
      <c r="N224" s="98">
        <v>7.8999999999959398E-3</v>
      </c>
      <c r="O224" s="94">
        <v>73716.871214999992</v>
      </c>
      <c r="P224" s="96">
        <v>100.25</v>
      </c>
      <c r="Q224" s="84"/>
      <c r="R224" s="94">
        <v>73.901165856999981</v>
      </c>
      <c r="S224" s="95">
        <v>1.432341180876695E-4</v>
      </c>
      <c r="T224" s="95">
        <f t="shared" si="3"/>
        <v>1.061345360817428E-3</v>
      </c>
      <c r="U224" s="95">
        <f>R224/'סכום נכסי הקרן'!$C$42</f>
        <v>3.0936843489444443E-4</v>
      </c>
    </row>
    <row r="225" spans="2:21" s="131" customFormat="1">
      <c r="B225" s="87" t="s">
        <v>851</v>
      </c>
      <c r="C225" s="84" t="s">
        <v>852</v>
      </c>
      <c r="D225" s="97" t="s">
        <v>121</v>
      </c>
      <c r="E225" s="97" t="s">
        <v>339</v>
      </c>
      <c r="F225" s="84" t="s">
        <v>853</v>
      </c>
      <c r="G225" s="97" t="s">
        <v>400</v>
      </c>
      <c r="H225" s="84" t="s">
        <v>622</v>
      </c>
      <c r="I225" s="84" t="s">
        <v>161</v>
      </c>
      <c r="J225" s="84"/>
      <c r="K225" s="94">
        <v>2.459999997695935</v>
      </c>
      <c r="L225" s="97" t="s">
        <v>165</v>
      </c>
      <c r="M225" s="98">
        <v>6.7500000000000004E-2</v>
      </c>
      <c r="N225" s="98">
        <v>3.1699999980101257E-2</v>
      </c>
      <c r="O225" s="94">
        <v>260.78864799999997</v>
      </c>
      <c r="P225" s="96">
        <v>109.84</v>
      </c>
      <c r="Q225" s="84"/>
      <c r="R225" s="94">
        <v>0.28645022099999995</v>
      </c>
      <c r="S225" s="95">
        <v>3.9133068700742864E-7</v>
      </c>
      <c r="T225" s="95">
        <f t="shared" si="3"/>
        <v>4.113908212920022E-6</v>
      </c>
      <c r="U225" s="95">
        <f>R225/'סכום נכסי הקרן'!$C$42</f>
        <v>1.199150994686827E-6</v>
      </c>
    </row>
    <row r="226" spans="2:21" s="131" customFormat="1">
      <c r="B226" s="87" t="s">
        <v>854</v>
      </c>
      <c r="C226" s="84" t="s">
        <v>855</v>
      </c>
      <c r="D226" s="97" t="s">
        <v>121</v>
      </c>
      <c r="E226" s="97" t="s">
        <v>339</v>
      </c>
      <c r="F226" s="84" t="s">
        <v>574</v>
      </c>
      <c r="G226" s="97" t="s">
        <v>400</v>
      </c>
      <c r="H226" s="84" t="s">
        <v>626</v>
      </c>
      <c r="I226" s="84" t="s">
        <v>343</v>
      </c>
      <c r="J226" s="84"/>
      <c r="K226" s="94">
        <v>2.4100000295312767</v>
      </c>
      <c r="L226" s="97" t="s">
        <v>165</v>
      </c>
      <c r="M226" s="98">
        <v>5.74E-2</v>
      </c>
      <c r="N226" s="98">
        <v>1.3900000026116095E-2</v>
      </c>
      <c r="O226" s="94">
        <v>43.872496999999996</v>
      </c>
      <c r="P226" s="96">
        <v>110.59</v>
      </c>
      <c r="Q226" s="94">
        <v>1.2591349999999998E-3</v>
      </c>
      <c r="R226" s="94">
        <v>4.9777732999999991E-2</v>
      </c>
      <c r="S226" s="95">
        <v>2.8425391610859549E-7</v>
      </c>
      <c r="T226" s="95">
        <f t="shared" si="3"/>
        <v>7.1489218578483834E-7</v>
      </c>
      <c r="U226" s="95">
        <f>R226/'סכום נכסי הקרן'!$C$42</f>
        <v>2.0838181877403855E-7</v>
      </c>
    </row>
    <row r="227" spans="2:21" s="131" customFormat="1">
      <c r="B227" s="87" t="s">
        <v>856</v>
      </c>
      <c r="C227" s="84" t="s">
        <v>857</v>
      </c>
      <c r="D227" s="97" t="s">
        <v>121</v>
      </c>
      <c r="E227" s="97" t="s">
        <v>339</v>
      </c>
      <c r="F227" s="84" t="s">
        <v>574</v>
      </c>
      <c r="G227" s="97" t="s">
        <v>400</v>
      </c>
      <c r="H227" s="84" t="s">
        <v>626</v>
      </c>
      <c r="I227" s="84" t="s">
        <v>343</v>
      </c>
      <c r="J227" s="84"/>
      <c r="K227" s="94">
        <v>4.4700000002139824</v>
      </c>
      <c r="L227" s="97" t="s">
        <v>165</v>
      </c>
      <c r="M227" s="98">
        <v>5.6500000000000002E-2</v>
      </c>
      <c r="N227" s="98">
        <v>1.8100000000525349E-2</v>
      </c>
      <c r="O227" s="94">
        <v>6532.510949999999</v>
      </c>
      <c r="P227" s="96">
        <v>119.47</v>
      </c>
      <c r="Q227" s="84"/>
      <c r="R227" s="94">
        <v>7.804391138999998</v>
      </c>
      <c r="S227" s="95">
        <v>7.4457763740469097E-5</v>
      </c>
      <c r="T227" s="95">
        <f t="shared" si="3"/>
        <v>1.1208421725592714E-4</v>
      </c>
      <c r="U227" s="95">
        <f>R227/'סכום נכסי הקרן'!$C$42</f>
        <v>3.2671098540562509E-5</v>
      </c>
    </row>
    <row r="228" spans="2:21" s="131" customFormat="1">
      <c r="B228" s="87" t="s">
        <v>858</v>
      </c>
      <c r="C228" s="84" t="s">
        <v>859</v>
      </c>
      <c r="D228" s="97" t="s">
        <v>121</v>
      </c>
      <c r="E228" s="97" t="s">
        <v>339</v>
      </c>
      <c r="F228" s="84" t="s">
        <v>577</v>
      </c>
      <c r="G228" s="97" t="s">
        <v>400</v>
      </c>
      <c r="H228" s="84" t="s">
        <v>626</v>
      </c>
      <c r="I228" s="84" t="s">
        <v>343</v>
      </c>
      <c r="J228" s="84"/>
      <c r="K228" s="94">
        <v>2.8699999999687722</v>
      </c>
      <c r="L228" s="97" t="s">
        <v>165</v>
      </c>
      <c r="M228" s="98">
        <v>3.7000000000000005E-2</v>
      </c>
      <c r="N228" s="98">
        <v>1.0999999999784633E-2</v>
      </c>
      <c r="O228" s="94">
        <v>34223.272011999994</v>
      </c>
      <c r="P228" s="96">
        <v>108.54</v>
      </c>
      <c r="Q228" s="84"/>
      <c r="R228" s="94">
        <v>37.145939467999987</v>
      </c>
      <c r="S228" s="95">
        <v>1.5137814215462748E-4</v>
      </c>
      <c r="T228" s="95">
        <f t="shared" si="3"/>
        <v>5.3347832974454286E-4</v>
      </c>
      <c r="U228" s="95">
        <f>R228/'סכום נכסי הקרן'!$C$42</f>
        <v>1.5550202791300642E-4</v>
      </c>
    </row>
    <row r="229" spans="2:21" s="131" customFormat="1">
      <c r="B229" s="87" t="s">
        <v>860</v>
      </c>
      <c r="C229" s="84" t="s">
        <v>861</v>
      </c>
      <c r="D229" s="97" t="s">
        <v>121</v>
      </c>
      <c r="E229" s="97" t="s">
        <v>339</v>
      </c>
      <c r="F229" s="84" t="s">
        <v>862</v>
      </c>
      <c r="G229" s="97" t="s">
        <v>157</v>
      </c>
      <c r="H229" s="84" t="s">
        <v>626</v>
      </c>
      <c r="I229" s="84" t="s">
        <v>343</v>
      </c>
      <c r="J229" s="84"/>
      <c r="K229" s="94">
        <v>2.6699999999958095</v>
      </c>
      <c r="L229" s="97" t="s">
        <v>165</v>
      </c>
      <c r="M229" s="98">
        <v>2.9500000000000002E-2</v>
      </c>
      <c r="N229" s="98">
        <v>1.1099999999981481E-2</v>
      </c>
      <c r="O229" s="94">
        <v>97084.875591999982</v>
      </c>
      <c r="P229" s="96">
        <v>105.68</v>
      </c>
      <c r="Q229" s="84"/>
      <c r="R229" s="94">
        <v>102.59929652899999</v>
      </c>
      <c r="S229" s="95">
        <v>4.9362065523590216E-4</v>
      </c>
      <c r="T229" s="95">
        <f t="shared" si="3"/>
        <v>1.4734989107600298E-3</v>
      </c>
      <c r="U229" s="95">
        <f>R229/'סכום נכסי הקרן'!$C$42</f>
        <v>4.2950585989221169E-4</v>
      </c>
    </row>
    <row r="230" spans="2:21" s="131" customFormat="1">
      <c r="B230" s="87" t="s">
        <v>863</v>
      </c>
      <c r="C230" s="84" t="s">
        <v>864</v>
      </c>
      <c r="D230" s="97" t="s">
        <v>121</v>
      </c>
      <c r="E230" s="97" t="s">
        <v>339</v>
      </c>
      <c r="F230" s="84" t="s">
        <v>594</v>
      </c>
      <c r="G230" s="97" t="s">
        <v>467</v>
      </c>
      <c r="H230" s="84" t="s">
        <v>622</v>
      </c>
      <c r="I230" s="84" t="s">
        <v>161</v>
      </c>
      <c r="J230" s="84"/>
      <c r="K230" s="94">
        <v>8.4100000000044712</v>
      </c>
      <c r="L230" s="97" t="s">
        <v>165</v>
      </c>
      <c r="M230" s="98">
        <v>3.4300000000000004E-2</v>
      </c>
      <c r="N230" s="98">
        <v>2.1600000000002263E-2</v>
      </c>
      <c r="O230" s="94">
        <v>157743.00889299996</v>
      </c>
      <c r="P230" s="96">
        <v>112.02</v>
      </c>
      <c r="Q230" s="84"/>
      <c r="R230" s="94">
        <v>176.70371858099998</v>
      </c>
      <c r="S230" s="95">
        <v>6.2132900934693544E-4</v>
      </c>
      <c r="T230" s="95">
        <f t="shared" ref="T230:T251" si="4">R230/$R$11</f>
        <v>2.5377633732874103E-3</v>
      </c>
      <c r="U230" s="95">
        <f>R230/'סכום נכסי הקרן'!$C$42</f>
        <v>7.3972517515099884E-4</v>
      </c>
    </row>
    <row r="231" spans="2:21" s="131" customFormat="1">
      <c r="B231" s="87" t="s">
        <v>865</v>
      </c>
      <c r="C231" s="84" t="s">
        <v>866</v>
      </c>
      <c r="D231" s="97" t="s">
        <v>121</v>
      </c>
      <c r="E231" s="97" t="s">
        <v>339</v>
      </c>
      <c r="F231" s="84" t="s">
        <v>867</v>
      </c>
      <c r="G231" s="97" t="s">
        <v>400</v>
      </c>
      <c r="H231" s="84" t="s">
        <v>626</v>
      </c>
      <c r="I231" s="84" t="s">
        <v>343</v>
      </c>
      <c r="J231" s="84"/>
      <c r="K231" s="94">
        <v>4.5399999999937624</v>
      </c>
      <c r="L231" s="97" t="s">
        <v>165</v>
      </c>
      <c r="M231" s="98">
        <v>3.9E-2</v>
      </c>
      <c r="N231" s="98">
        <v>4.1199999999978767E-2</v>
      </c>
      <c r="O231" s="94">
        <v>150063.30448199998</v>
      </c>
      <c r="P231" s="96">
        <v>100.42</v>
      </c>
      <c r="Q231" s="84"/>
      <c r="R231" s="94">
        <v>150.69357036099996</v>
      </c>
      <c r="S231" s="95">
        <v>3.5653806097079991E-4</v>
      </c>
      <c r="T231" s="95">
        <f t="shared" si="4"/>
        <v>2.1642137840848759E-3</v>
      </c>
      <c r="U231" s="95">
        <f>R231/'סכום נכסי הקרן'!$C$42</f>
        <v>6.3084030502913273E-4</v>
      </c>
    </row>
    <row r="232" spans="2:21" s="131" customFormat="1">
      <c r="B232" s="87" t="s">
        <v>868</v>
      </c>
      <c r="C232" s="84" t="s">
        <v>869</v>
      </c>
      <c r="D232" s="97" t="s">
        <v>121</v>
      </c>
      <c r="E232" s="97" t="s">
        <v>339</v>
      </c>
      <c r="F232" s="84" t="s">
        <v>870</v>
      </c>
      <c r="G232" s="97" t="s">
        <v>192</v>
      </c>
      <c r="H232" s="84" t="s">
        <v>626</v>
      </c>
      <c r="I232" s="84" t="s">
        <v>343</v>
      </c>
      <c r="J232" s="84"/>
      <c r="K232" s="94">
        <v>1.2400000000082498</v>
      </c>
      <c r="L232" s="97" t="s">
        <v>165</v>
      </c>
      <c r="M232" s="98">
        <v>1.3999999999999999E-2</v>
      </c>
      <c r="N232" s="98">
        <v>2.0000000000103123E-2</v>
      </c>
      <c r="O232" s="94">
        <v>97682.792091999989</v>
      </c>
      <c r="P232" s="96">
        <v>99.27</v>
      </c>
      <c r="Q232" s="94"/>
      <c r="R232" s="94">
        <v>96.96970770499999</v>
      </c>
      <c r="S232" s="95">
        <v>2.9809949333079426E-4</v>
      </c>
      <c r="T232" s="95">
        <f t="shared" si="4"/>
        <v>1.3926485221041371E-3</v>
      </c>
      <c r="U232" s="95">
        <f>R232/'סכום נכסי הקרן'!$C$42</f>
        <v>4.0593901810584269E-4</v>
      </c>
    </row>
    <row r="233" spans="2:21" s="131" customFormat="1">
      <c r="B233" s="87" t="s">
        <v>871</v>
      </c>
      <c r="C233" s="84" t="s">
        <v>872</v>
      </c>
      <c r="D233" s="97" t="s">
        <v>121</v>
      </c>
      <c r="E233" s="97" t="s">
        <v>339</v>
      </c>
      <c r="F233" s="84" t="s">
        <v>870</v>
      </c>
      <c r="G233" s="97" t="s">
        <v>192</v>
      </c>
      <c r="H233" s="84" t="s">
        <v>626</v>
      </c>
      <c r="I233" s="84" t="s">
        <v>343</v>
      </c>
      <c r="J233" s="84"/>
      <c r="K233" s="94">
        <v>2.650000000009709</v>
      </c>
      <c r="L233" s="97" t="s">
        <v>165</v>
      </c>
      <c r="M233" s="98">
        <v>2.1600000000000001E-2</v>
      </c>
      <c r="N233" s="98">
        <v>1.9300000000084149E-2</v>
      </c>
      <c r="O233" s="94">
        <v>91625.405905999985</v>
      </c>
      <c r="P233" s="96">
        <v>101.17</v>
      </c>
      <c r="Q233" s="84"/>
      <c r="R233" s="94">
        <v>92.697423153999992</v>
      </c>
      <c r="S233" s="95">
        <v>1.1539244074994362E-4</v>
      </c>
      <c r="T233" s="95">
        <f t="shared" si="4"/>
        <v>1.3312913116229127E-3</v>
      </c>
      <c r="U233" s="95">
        <f>R233/'סכום נכסי הקרן'!$C$42</f>
        <v>3.8805418544265958E-4</v>
      </c>
    </row>
    <row r="234" spans="2:21" s="131" customFormat="1">
      <c r="B234" s="87" t="s">
        <v>873</v>
      </c>
      <c r="C234" s="84" t="s">
        <v>874</v>
      </c>
      <c r="D234" s="97" t="s">
        <v>121</v>
      </c>
      <c r="E234" s="97" t="s">
        <v>339</v>
      </c>
      <c r="F234" s="84" t="s">
        <v>826</v>
      </c>
      <c r="G234" s="97" t="s">
        <v>152</v>
      </c>
      <c r="H234" s="84" t="s">
        <v>622</v>
      </c>
      <c r="I234" s="84" t="s">
        <v>161</v>
      </c>
      <c r="J234" s="84"/>
      <c r="K234" s="94">
        <v>2.3600000000151904</v>
      </c>
      <c r="L234" s="97" t="s">
        <v>165</v>
      </c>
      <c r="M234" s="98">
        <v>2.4E-2</v>
      </c>
      <c r="N234" s="98">
        <v>1.4000000000132094E-2</v>
      </c>
      <c r="O234" s="94">
        <v>59052.004508999984</v>
      </c>
      <c r="P234" s="96">
        <v>102.56</v>
      </c>
      <c r="Q234" s="84"/>
      <c r="R234" s="94">
        <v>60.563735827999992</v>
      </c>
      <c r="S234" s="95">
        <v>1.7668891517705958E-4</v>
      </c>
      <c r="T234" s="95">
        <f t="shared" si="4"/>
        <v>8.6979737476944655E-4</v>
      </c>
      <c r="U234" s="95">
        <f>R234/'סכום נכסי הקרן'!$C$42</f>
        <v>2.5353467630976771E-4</v>
      </c>
    </row>
    <row r="235" spans="2:21" s="131" customFormat="1">
      <c r="B235" s="87" t="s">
        <v>875</v>
      </c>
      <c r="C235" s="84" t="s">
        <v>876</v>
      </c>
      <c r="D235" s="97" t="s">
        <v>121</v>
      </c>
      <c r="E235" s="97" t="s">
        <v>339</v>
      </c>
      <c r="F235" s="84" t="s">
        <v>877</v>
      </c>
      <c r="G235" s="97" t="s">
        <v>400</v>
      </c>
      <c r="H235" s="84" t="s">
        <v>626</v>
      </c>
      <c r="I235" s="84" t="s">
        <v>343</v>
      </c>
      <c r="J235" s="84"/>
      <c r="K235" s="94">
        <v>0.96999999999953401</v>
      </c>
      <c r="L235" s="97" t="s">
        <v>165</v>
      </c>
      <c r="M235" s="98">
        <v>5.0999999999999997E-2</v>
      </c>
      <c r="N235" s="98">
        <v>2.1599999999977061E-2</v>
      </c>
      <c r="O235" s="94">
        <v>271349.52117594174</v>
      </c>
      <c r="P235" s="96">
        <v>102.8</v>
      </c>
      <c r="Q235" s="94"/>
      <c r="R235" s="94">
        <v>278.9472987289999</v>
      </c>
      <c r="S235" s="95">
        <v>3.7690050861309809E-4</v>
      </c>
      <c r="T235" s="95">
        <f t="shared" si="4"/>
        <v>4.0061535969737917E-3</v>
      </c>
      <c r="U235" s="95">
        <f>R235/'סכום נכסי הקרן'!$C$42</f>
        <v>1.1677419188867854E-3</v>
      </c>
    </row>
    <row r="236" spans="2:21" s="131" customFormat="1">
      <c r="B236" s="87" t="s">
        <v>878</v>
      </c>
      <c r="C236" s="84" t="s">
        <v>879</v>
      </c>
      <c r="D236" s="97" t="s">
        <v>121</v>
      </c>
      <c r="E236" s="97" t="s">
        <v>339</v>
      </c>
      <c r="F236" s="84" t="s">
        <v>880</v>
      </c>
      <c r="G236" s="97" t="s">
        <v>881</v>
      </c>
      <c r="H236" s="84" t="s">
        <v>626</v>
      </c>
      <c r="I236" s="84" t="s">
        <v>343</v>
      </c>
      <c r="J236" s="84"/>
      <c r="K236" s="94">
        <v>5.3399999999890042</v>
      </c>
      <c r="L236" s="97" t="s">
        <v>165</v>
      </c>
      <c r="M236" s="98">
        <v>2.6200000000000001E-2</v>
      </c>
      <c r="N236" s="98">
        <v>1.9899999999947914E-2</v>
      </c>
      <c r="O236" s="94">
        <v>66459.937788999989</v>
      </c>
      <c r="P236" s="96">
        <v>104</v>
      </c>
      <c r="Q236" s="84"/>
      <c r="R236" s="94">
        <v>69.118334563999994</v>
      </c>
      <c r="S236" s="95">
        <v>1.3785769960843853E-4</v>
      </c>
      <c r="T236" s="95">
        <f t="shared" si="4"/>
        <v>9.9265583818904947E-4</v>
      </c>
      <c r="U236" s="95">
        <f>R236/'סכום נכסי הקרן'!$C$42</f>
        <v>2.8934632814794551E-4</v>
      </c>
    </row>
    <row r="237" spans="2:21" s="131" customFormat="1">
      <c r="B237" s="87" t="s">
        <v>882</v>
      </c>
      <c r="C237" s="84" t="s">
        <v>883</v>
      </c>
      <c r="D237" s="97" t="s">
        <v>121</v>
      </c>
      <c r="E237" s="97" t="s">
        <v>339</v>
      </c>
      <c r="F237" s="84" t="s">
        <v>880</v>
      </c>
      <c r="G237" s="97" t="s">
        <v>881</v>
      </c>
      <c r="H237" s="84" t="s">
        <v>626</v>
      </c>
      <c r="I237" s="84" t="s">
        <v>343</v>
      </c>
      <c r="J237" s="84"/>
      <c r="K237" s="94">
        <v>3.350000000011788</v>
      </c>
      <c r="L237" s="97" t="s">
        <v>165</v>
      </c>
      <c r="M237" s="98">
        <v>3.3500000000000002E-2</v>
      </c>
      <c r="N237" s="98">
        <v>1.6800000000094305E-2</v>
      </c>
      <c r="O237" s="94">
        <v>67783.752566999989</v>
      </c>
      <c r="P237" s="96">
        <v>105.6</v>
      </c>
      <c r="Q237" s="94">
        <v>12.621899573999997</v>
      </c>
      <c r="R237" s="94">
        <v>84.834190639999989</v>
      </c>
      <c r="S237" s="95">
        <v>1.9180313092161301E-4</v>
      </c>
      <c r="T237" s="95">
        <f t="shared" si="4"/>
        <v>1.2183620329981133E-3</v>
      </c>
      <c r="U237" s="95">
        <f>R237/'סכום נכסי הקרן'!$C$42</f>
        <v>3.5513676245132976E-4</v>
      </c>
    </row>
    <row r="238" spans="2:21" s="131" customFormat="1">
      <c r="B238" s="87" t="s">
        <v>884</v>
      </c>
      <c r="C238" s="84" t="s">
        <v>885</v>
      </c>
      <c r="D238" s="97" t="s">
        <v>121</v>
      </c>
      <c r="E238" s="97" t="s">
        <v>339</v>
      </c>
      <c r="F238" s="84" t="s">
        <v>621</v>
      </c>
      <c r="G238" s="97" t="s">
        <v>347</v>
      </c>
      <c r="H238" s="84" t="s">
        <v>657</v>
      </c>
      <c r="I238" s="84" t="s">
        <v>161</v>
      </c>
      <c r="J238" s="84"/>
      <c r="K238" s="94">
        <v>0.94999999995897222</v>
      </c>
      <c r="L238" s="97" t="s">
        <v>165</v>
      </c>
      <c r="M238" s="98">
        <v>2.6800000000000001E-2</v>
      </c>
      <c r="N238" s="98">
        <v>1.1600000000082055E-2</v>
      </c>
      <c r="O238" s="94">
        <v>9597.8540689999991</v>
      </c>
      <c r="P238" s="96">
        <v>101.58</v>
      </c>
      <c r="Q238" s="84"/>
      <c r="R238" s="94">
        <v>9.749500411999998</v>
      </c>
      <c r="S238" s="95">
        <v>9.943077727705949E-5</v>
      </c>
      <c r="T238" s="95">
        <f t="shared" si="4"/>
        <v>1.4001926644278601E-4</v>
      </c>
      <c r="U238" s="95">
        <f>R238/'סכום נכסי הקרן'!$C$42</f>
        <v>4.0813803794375254E-5</v>
      </c>
    </row>
    <row r="239" spans="2:21" s="131" customFormat="1">
      <c r="B239" s="87" t="s">
        <v>886</v>
      </c>
      <c r="C239" s="84" t="s">
        <v>887</v>
      </c>
      <c r="D239" s="97" t="s">
        <v>121</v>
      </c>
      <c r="E239" s="97" t="s">
        <v>339</v>
      </c>
      <c r="F239" s="84" t="s">
        <v>660</v>
      </c>
      <c r="G239" s="97" t="s">
        <v>661</v>
      </c>
      <c r="H239" s="84" t="s">
        <v>657</v>
      </c>
      <c r="I239" s="84" t="s">
        <v>161</v>
      </c>
      <c r="J239" s="84"/>
      <c r="K239" s="94">
        <v>2.1098854476028848</v>
      </c>
      <c r="L239" s="97" t="s">
        <v>165</v>
      </c>
      <c r="M239" s="98">
        <v>4.6500000000000007E-2</v>
      </c>
      <c r="N239" s="98">
        <v>1.9596945269410262E-2</v>
      </c>
      <c r="O239" s="94">
        <v>2.1779999999999994E-3</v>
      </c>
      <c r="P239" s="96">
        <v>106.91</v>
      </c>
      <c r="Q239" s="84"/>
      <c r="R239" s="94">
        <v>2.3569999999999996E-6</v>
      </c>
      <c r="S239" s="95">
        <v>1.7013387473713023E-11</v>
      </c>
      <c r="T239" s="95">
        <f t="shared" si="4"/>
        <v>3.3850494595542627E-11</v>
      </c>
      <c r="U239" s="95">
        <f>R239/'סכום נכסי הקרן'!$C$42</f>
        <v>9.8669810224264119E-12</v>
      </c>
    </row>
    <row r="240" spans="2:21" s="131" customFormat="1">
      <c r="B240" s="87" t="s">
        <v>888</v>
      </c>
      <c r="C240" s="84" t="s">
        <v>889</v>
      </c>
      <c r="D240" s="97" t="s">
        <v>121</v>
      </c>
      <c r="E240" s="97" t="s">
        <v>339</v>
      </c>
      <c r="F240" s="84" t="s">
        <v>890</v>
      </c>
      <c r="G240" s="97" t="s">
        <v>467</v>
      </c>
      <c r="H240" s="84" t="s">
        <v>657</v>
      </c>
      <c r="I240" s="84" t="s">
        <v>161</v>
      </c>
      <c r="J240" s="84"/>
      <c r="K240" s="94">
        <v>5.5799999999772192</v>
      </c>
      <c r="L240" s="97" t="s">
        <v>165</v>
      </c>
      <c r="M240" s="98">
        <v>3.27E-2</v>
      </c>
      <c r="N240" s="98">
        <v>1.929999999993888E-2</v>
      </c>
      <c r="O240" s="94">
        <v>66065.114901999987</v>
      </c>
      <c r="P240" s="96">
        <v>108.97</v>
      </c>
      <c r="Q240" s="84"/>
      <c r="R240" s="94">
        <v>71.991155708000008</v>
      </c>
      <c r="S240" s="95">
        <v>2.9625612063677125E-4</v>
      </c>
      <c r="T240" s="95">
        <f t="shared" si="4"/>
        <v>1.0339143942386603E-3</v>
      </c>
      <c r="U240" s="95">
        <f>R240/'סכום נכסי הקרן'!$C$42</f>
        <v>3.0137266319617354E-4</v>
      </c>
    </row>
    <row r="241" spans="2:21" s="131" customFormat="1">
      <c r="B241" s="87" t="s">
        <v>891</v>
      </c>
      <c r="C241" s="84" t="s">
        <v>892</v>
      </c>
      <c r="D241" s="97" t="s">
        <v>121</v>
      </c>
      <c r="E241" s="97" t="s">
        <v>339</v>
      </c>
      <c r="F241" s="84" t="s">
        <v>671</v>
      </c>
      <c r="G241" s="97" t="s">
        <v>471</v>
      </c>
      <c r="H241" s="84" t="s">
        <v>665</v>
      </c>
      <c r="I241" s="84" t="s">
        <v>343</v>
      </c>
      <c r="J241" s="84"/>
      <c r="K241" s="94">
        <v>1.2299999999919395</v>
      </c>
      <c r="L241" s="97" t="s">
        <v>165</v>
      </c>
      <c r="M241" s="98">
        <v>0.06</v>
      </c>
      <c r="N241" s="98">
        <v>1.3499999999928878E-2</v>
      </c>
      <c r="O241" s="94">
        <v>118031.25956799996</v>
      </c>
      <c r="P241" s="96">
        <v>107.21</v>
      </c>
      <c r="Q241" s="84"/>
      <c r="R241" s="94">
        <v>126.54130947399997</v>
      </c>
      <c r="S241" s="95">
        <v>2.8765411269096993E-4</v>
      </c>
      <c r="T241" s="95">
        <f t="shared" si="4"/>
        <v>1.8173465899289452E-3</v>
      </c>
      <c r="U241" s="95">
        <f>R241/'סכום נכסי הקרן'!$C$42</f>
        <v>5.2973300769323093E-4</v>
      </c>
    </row>
    <row r="242" spans="2:21" s="131" customFormat="1">
      <c r="B242" s="87" t="s">
        <v>893</v>
      </c>
      <c r="C242" s="84" t="s">
        <v>894</v>
      </c>
      <c r="D242" s="97" t="s">
        <v>121</v>
      </c>
      <c r="E242" s="97" t="s">
        <v>339</v>
      </c>
      <c r="F242" s="84" t="s">
        <v>671</v>
      </c>
      <c r="G242" s="97" t="s">
        <v>471</v>
      </c>
      <c r="H242" s="84" t="s">
        <v>665</v>
      </c>
      <c r="I242" s="84" t="s">
        <v>343</v>
      </c>
      <c r="J242" s="84"/>
      <c r="K242" s="94">
        <v>2.9900000004795295</v>
      </c>
      <c r="L242" s="97" t="s">
        <v>165</v>
      </c>
      <c r="M242" s="98">
        <v>5.9000000000000004E-2</v>
      </c>
      <c r="N242" s="98">
        <v>1.6700000003245296E-2</v>
      </c>
      <c r="O242" s="94">
        <v>1800.5634219999995</v>
      </c>
      <c r="P242" s="96">
        <v>114.66</v>
      </c>
      <c r="Q242" s="84"/>
      <c r="R242" s="94">
        <v>2.0645259989999993</v>
      </c>
      <c r="S242" s="95">
        <v>2.131143024723406E-6</v>
      </c>
      <c r="T242" s="95">
        <f t="shared" si="4"/>
        <v>2.9650074743957035E-5</v>
      </c>
      <c r="U242" s="95">
        <f>R242/'סכום נכסי הקרן'!$C$42</f>
        <v>8.6426130048531716E-6</v>
      </c>
    </row>
    <row r="243" spans="2:21" s="131" customFormat="1">
      <c r="B243" s="87" t="s">
        <v>895</v>
      </c>
      <c r="C243" s="84" t="s">
        <v>896</v>
      </c>
      <c r="D243" s="97" t="s">
        <v>121</v>
      </c>
      <c r="E243" s="97" t="s">
        <v>339</v>
      </c>
      <c r="F243" s="84" t="s">
        <v>685</v>
      </c>
      <c r="G243" s="97" t="s">
        <v>400</v>
      </c>
      <c r="H243" s="84" t="s">
        <v>657</v>
      </c>
      <c r="I243" s="84" t="s">
        <v>161</v>
      </c>
      <c r="J243" s="84"/>
      <c r="K243" s="94">
        <v>2.9903295128939829</v>
      </c>
      <c r="L243" s="97" t="s">
        <v>165</v>
      </c>
      <c r="M243" s="98">
        <v>7.0499999999999993E-2</v>
      </c>
      <c r="N243" s="98">
        <v>2.3101719197707732E-2</v>
      </c>
      <c r="O243" s="94">
        <v>2.3819999999999996E-3</v>
      </c>
      <c r="P243" s="96">
        <v>116.33</v>
      </c>
      <c r="Q243" s="84"/>
      <c r="R243" s="94">
        <v>2.7920000000000001E-6</v>
      </c>
      <c r="S243" s="95">
        <v>5.1513662248268623E-12</v>
      </c>
      <c r="T243" s="95">
        <f t="shared" si="4"/>
        <v>4.0097828133540532E-11</v>
      </c>
      <c r="U243" s="95">
        <f>R243/'סכום נכסי הקרן'!$C$42</f>
        <v>1.1687997884859798E-11</v>
      </c>
    </row>
    <row r="244" spans="2:21" s="131" customFormat="1">
      <c r="B244" s="87" t="s">
        <v>897</v>
      </c>
      <c r="C244" s="84" t="s">
        <v>898</v>
      </c>
      <c r="D244" s="97" t="s">
        <v>121</v>
      </c>
      <c r="E244" s="97" t="s">
        <v>339</v>
      </c>
      <c r="F244" s="84" t="s">
        <v>688</v>
      </c>
      <c r="G244" s="97" t="s">
        <v>192</v>
      </c>
      <c r="H244" s="84" t="s">
        <v>665</v>
      </c>
      <c r="I244" s="84" t="s">
        <v>343</v>
      </c>
      <c r="J244" s="84"/>
      <c r="K244" s="94">
        <v>3.080000000019786</v>
      </c>
      <c r="L244" s="97" t="s">
        <v>165</v>
      </c>
      <c r="M244" s="98">
        <v>4.1399999999999999E-2</v>
      </c>
      <c r="N244" s="98">
        <v>5.9800000000251333E-2</v>
      </c>
      <c r="O244" s="94">
        <v>78161.049279999992</v>
      </c>
      <c r="P244" s="96">
        <v>95.7</v>
      </c>
      <c r="Q244" s="84"/>
      <c r="R244" s="94">
        <v>74.80012414399998</v>
      </c>
      <c r="S244" s="95">
        <v>1.2151754495765425E-4</v>
      </c>
      <c r="T244" s="95">
        <f t="shared" si="4"/>
        <v>1.0742559177269366E-3</v>
      </c>
      <c r="U244" s="95">
        <f>R244/'סכום נכסי הקרן'!$C$42</f>
        <v>3.131316951226082E-4</v>
      </c>
    </row>
    <row r="245" spans="2:21" s="131" customFormat="1">
      <c r="B245" s="87" t="s">
        <v>899</v>
      </c>
      <c r="C245" s="84" t="s">
        <v>900</v>
      </c>
      <c r="D245" s="97" t="s">
        <v>121</v>
      </c>
      <c r="E245" s="97" t="s">
        <v>339</v>
      </c>
      <c r="F245" s="84" t="s">
        <v>688</v>
      </c>
      <c r="G245" s="97" t="s">
        <v>192</v>
      </c>
      <c r="H245" s="84" t="s">
        <v>665</v>
      </c>
      <c r="I245" s="84" t="s">
        <v>343</v>
      </c>
      <c r="J245" s="84"/>
      <c r="K245" s="94">
        <v>5.3500000000129706</v>
      </c>
      <c r="L245" s="97" t="s">
        <v>165</v>
      </c>
      <c r="M245" s="98">
        <v>2.5000000000000001E-2</v>
      </c>
      <c r="N245" s="98">
        <v>6.0900000000181587E-2</v>
      </c>
      <c r="O245" s="94">
        <v>200809.94250699997</v>
      </c>
      <c r="P245" s="96">
        <v>84.46</v>
      </c>
      <c r="Q245" s="84"/>
      <c r="R245" s="94">
        <v>169.60407298800001</v>
      </c>
      <c r="S245" s="95">
        <v>3.2708558452577377E-4</v>
      </c>
      <c r="T245" s="95">
        <f t="shared" si="4"/>
        <v>2.4358004904804042E-3</v>
      </c>
      <c r="U245" s="95">
        <f>R245/'סכום נכסי הקרן'!$C$42</f>
        <v>7.1000431459432344E-4</v>
      </c>
    </row>
    <row r="246" spans="2:21" s="131" customFormat="1">
      <c r="B246" s="87" t="s">
        <v>901</v>
      </c>
      <c r="C246" s="84" t="s">
        <v>902</v>
      </c>
      <c r="D246" s="97" t="s">
        <v>121</v>
      </c>
      <c r="E246" s="97" t="s">
        <v>339</v>
      </c>
      <c r="F246" s="84" t="s">
        <v>688</v>
      </c>
      <c r="G246" s="97" t="s">
        <v>192</v>
      </c>
      <c r="H246" s="84" t="s">
        <v>665</v>
      </c>
      <c r="I246" s="84" t="s">
        <v>343</v>
      </c>
      <c r="J246" s="84"/>
      <c r="K246" s="94">
        <v>4.0100000000110674</v>
      </c>
      <c r="L246" s="97" t="s">
        <v>165</v>
      </c>
      <c r="M246" s="98">
        <v>3.5499999999999997E-2</v>
      </c>
      <c r="N246" s="98">
        <v>6.3400000000182283E-2</v>
      </c>
      <c r="O246" s="94">
        <v>101715.49926299999</v>
      </c>
      <c r="P246" s="96">
        <v>90.6</v>
      </c>
      <c r="Q246" s="84"/>
      <c r="R246" s="94">
        <v>92.154237797999997</v>
      </c>
      <c r="S246" s="95">
        <v>1.4313345444068253E-4</v>
      </c>
      <c r="T246" s="95">
        <f t="shared" si="4"/>
        <v>1.3234902539404113E-3</v>
      </c>
      <c r="U246" s="95">
        <f>R246/'סכום נכסי הקרן'!$C$42</f>
        <v>3.8578027810311276E-4</v>
      </c>
    </row>
    <row r="247" spans="2:21" s="131" customFormat="1">
      <c r="B247" s="87" t="s">
        <v>903</v>
      </c>
      <c r="C247" s="84" t="s">
        <v>904</v>
      </c>
      <c r="D247" s="97" t="s">
        <v>121</v>
      </c>
      <c r="E247" s="97" t="s">
        <v>339</v>
      </c>
      <c r="F247" s="84" t="s">
        <v>905</v>
      </c>
      <c r="G247" s="97" t="s">
        <v>471</v>
      </c>
      <c r="H247" s="84" t="s">
        <v>697</v>
      </c>
      <c r="I247" s="84" t="s">
        <v>161</v>
      </c>
      <c r="J247" s="84"/>
      <c r="K247" s="94">
        <v>5.5699999999935743</v>
      </c>
      <c r="L247" s="97" t="s">
        <v>165</v>
      </c>
      <c r="M247" s="98">
        <v>4.4500000000000005E-2</v>
      </c>
      <c r="N247" s="98">
        <v>1.9299999999974182E-2</v>
      </c>
      <c r="O247" s="94">
        <v>144038.98248499996</v>
      </c>
      <c r="P247" s="96">
        <v>115.62</v>
      </c>
      <c r="Q247" s="84"/>
      <c r="R247" s="94">
        <v>166.53787315099999</v>
      </c>
      <c r="S247" s="95">
        <v>4.9627543579451475E-4</v>
      </c>
      <c r="T247" s="95">
        <f t="shared" si="4"/>
        <v>2.3917646903059355E-3</v>
      </c>
      <c r="U247" s="95">
        <f>R247/'סכום נכסי הקרן'!$C$42</f>
        <v>6.9716844883163935E-4</v>
      </c>
    </row>
    <row r="248" spans="2:21" s="131" customFormat="1">
      <c r="B248" s="87" t="s">
        <v>906</v>
      </c>
      <c r="C248" s="84" t="s">
        <v>907</v>
      </c>
      <c r="D248" s="97" t="s">
        <v>121</v>
      </c>
      <c r="E248" s="97" t="s">
        <v>339</v>
      </c>
      <c r="F248" s="84" t="s">
        <v>908</v>
      </c>
      <c r="G248" s="97" t="s">
        <v>400</v>
      </c>
      <c r="H248" s="84" t="s">
        <v>697</v>
      </c>
      <c r="I248" s="84" t="s">
        <v>161</v>
      </c>
      <c r="J248" s="84"/>
      <c r="K248" s="94">
        <v>3.8200000000003578</v>
      </c>
      <c r="L248" s="97" t="s">
        <v>165</v>
      </c>
      <c r="M248" s="98">
        <v>4.2000000000000003E-2</v>
      </c>
      <c r="N248" s="98">
        <v>7.4200000000110747E-2</v>
      </c>
      <c r="O248" s="94">
        <v>125285.86987199998</v>
      </c>
      <c r="P248" s="96">
        <v>89.37</v>
      </c>
      <c r="Q248" s="84"/>
      <c r="R248" s="94">
        <v>111.96798192799999</v>
      </c>
      <c r="S248" s="95">
        <v>2.1063666121227668E-4</v>
      </c>
      <c r="T248" s="95">
        <f t="shared" si="4"/>
        <v>1.6080490314499699E-3</v>
      </c>
      <c r="U248" s="95">
        <f>R248/'סכום נכסי הקרן'!$C$42</f>
        <v>4.68725478490861E-4</v>
      </c>
    </row>
    <row r="249" spans="2:21" s="131" customFormat="1">
      <c r="B249" s="87" t="s">
        <v>909</v>
      </c>
      <c r="C249" s="84" t="s">
        <v>910</v>
      </c>
      <c r="D249" s="97" t="s">
        <v>121</v>
      </c>
      <c r="E249" s="97" t="s">
        <v>339</v>
      </c>
      <c r="F249" s="84" t="s">
        <v>908</v>
      </c>
      <c r="G249" s="97" t="s">
        <v>400</v>
      </c>
      <c r="H249" s="84" t="s">
        <v>697</v>
      </c>
      <c r="I249" s="84" t="s">
        <v>161</v>
      </c>
      <c r="J249" s="84"/>
      <c r="K249" s="94">
        <v>4.3400000000029175</v>
      </c>
      <c r="L249" s="97" t="s">
        <v>165</v>
      </c>
      <c r="M249" s="98">
        <v>3.2500000000000001E-2</v>
      </c>
      <c r="N249" s="98">
        <v>4.619999999999698E-2</v>
      </c>
      <c r="O249" s="94">
        <v>209265.54526599997</v>
      </c>
      <c r="P249" s="96">
        <v>95.01</v>
      </c>
      <c r="Q249" s="84"/>
      <c r="R249" s="94">
        <v>198.82318761299999</v>
      </c>
      <c r="S249" s="95">
        <v>2.5512752413138116E-4</v>
      </c>
      <c r="T249" s="95">
        <f t="shared" si="4"/>
        <v>2.8554362485203287E-3</v>
      </c>
      <c r="U249" s="95">
        <f>R249/'סכום נכסי הקרן'!$C$42</f>
        <v>8.323227064046657E-4</v>
      </c>
    </row>
    <row r="250" spans="2:21" s="131" customFormat="1">
      <c r="B250" s="87" t="s">
        <v>911</v>
      </c>
      <c r="C250" s="84" t="s">
        <v>912</v>
      </c>
      <c r="D250" s="97" t="s">
        <v>121</v>
      </c>
      <c r="E250" s="97" t="s">
        <v>339</v>
      </c>
      <c r="F250" s="84" t="s">
        <v>913</v>
      </c>
      <c r="G250" s="97" t="s">
        <v>400</v>
      </c>
      <c r="H250" s="84" t="s">
        <v>697</v>
      </c>
      <c r="I250" s="84" t="s">
        <v>161</v>
      </c>
      <c r="J250" s="84"/>
      <c r="K250" s="94">
        <v>3.3799999999869526</v>
      </c>
      <c r="L250" s="97" t="s">
        <v>165</v>
      </c>
      <c r="M250" s="98">
        <v>4.5999999999999999E-2</v>
      </c>
      <c r="N250" s="98">
        <v>6.4699999999893246E-2</v>
      </c>
      <c r="O250" s="94">
        <v>71544.635605129675</v>
      </c>
      <c r="P250" s="96">
        <v>94.27</v>
      </c>
      <c r="Q250" s="94"/>
      <c r="R250" s="94">
        <v>67.445127975999995</v>
      </c>
      <c r="S250" s="95">
        <v>2.9941954040580245E-4</v>
      </c>
      <c r="T250" s="95">
        <f t="shared" si="4"/>
        <v>9.6862577006672423E-4</v>
      </c>
      <c r="U250" s="95">
        <f>R250/'סכום נכסי הקרן'!$C$42</f>
        <v>2.8234187432936474E-4</v>
      </c>
    </row>
    <row r="251" spans="2:21" s="131" customFormat="1">
      <c r="B251" s="87" t="s">
        <v>914</v>
      </c>
      <c r="C251" s="84" t="s">
        <v>915</v>
      </c>
      <c r="D251" s="97" t="s">
        <v>121</v>
      </c>
      <c r="E251" s="97" t="s">
        <v>339</v>
      </c>
      <c r="F251" s="84" t="s">
        <v>916</v>
      </c>
      <c r="G251" s="97" t="s">
        <v>471</v>
      </c>
      <c r="H251" s="84" t="s">
        <v>712</v>
      </c>
      <c r="I251" s="84" t="s">
        <v>343</v>
      </c>
      <c r="J251" s="84"/>
      <c r="K251" s="94">
        <v>0.50999999998521539</v>
      </c>
      <c r="L251" s="97" t="s">
        <v>165</v>
      </c>
      <c r="M251" s="98">
        <v>4.7E-2</v>
      </c>
      <c r="N251" s="98">
        <v>1.5200000000197125E-2</v>
      </c>
      <c r="O251" s="94">
        <v>19677.460042999995</v>
      </c>
      <c r="P251" s="96">
        <v>103.12</v>
      </c>
      <c r="Q251" s="84"/>
      <c r="R251" s="94">
        <v>20.291396129999999</v>
      </c>
      <c r="S251" s="95">
        <v>2.9775354752263698E-4</v>
      </c>
      <c r="T251" s="95">
        <f t="shared" si="4"/>
        <v>2.9141866569137875E-4</v>
      </c>
      <c r="U251" s="95">
        <f>R251/'סכום נכסי הקרן'!$C$42</f>
        <v>8.4944769000104689E-5</v>
      </c>
    </row>
    <row r="252" spans="2:21" s="131" customFormat="1">
      <c r="B252" s="83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94"/>
      <c r="P252" s="96"/>
      <c r="Q252" s="84"/>
      <c r="R252" s="84"/>
      <c r="S252" s="84"/>
      <c r="T252" s="95"/>
      <c r="U252" s="84"/>
    </row>
    <row r="253" spans="2:21" s="131" customFormat="1">
      <c r="B253" s="102" t="s">
        <v>46</v>
      </c>
      <c r="C253" s="82"/>
      <c r="D253" s="82"/>
      <c r="E253" s="82"/>
      <c r="F253" s="82"/>
      <c r="G253" s="82"/>
      <c r="H253" s="82"/>
      <c r="I253" s="82"/>
      <c r="J253" s="82"/>
      <c r="K253" s="91">
        <v>4.0911402570096218</v>
      </c>
      <c r="L253" s="82"/>
      <c r="M253" s="82"/>
      <c r="N253" s="104">
        <v>6.4208618439934764E-2</v>
      </c>
      <c r="O253" s="91"/>
      <c r="P253" s="93"/>
      <c r="Q253" s="82"/>
      <c r="R253" s="91">
        <v>1775.0943179029998</v>
      </c>
      <c r="S253" s="82"/>
      <c r="T253" s="92">
        <f t="shared" ref="T253:T257" si="5">R253/$R$11</f>
        <v>2.5493347736425087E-2</v>
      </c>
      <c r="U253" s="92">
        <f>R253/'סכום נכסי הקרן'!$C$42</f>
        <v>7.4309808857725319E-3</v>
      </c>
    </row>
    <row r="254" spans="2:21" s="131" customFormat="1">
      <c r="B254" s="87" t="s">
        <v>917</v>
      </c>
      <c r="C254" s="84" t="s">
        <v>918</v>
      </c>
      <c r="D254" s="97" t="s">
        <v>121</v>
      </c>
      <c r="E254" s="97" t="s">
        <v>339</v>
      </c>
      <c r="F254" s="84" t="s">
        <v>919</v>
      </c>
      <c r="G254" s="97" t="s">
        <v>147</v>
      </c>
      <c r="H254" s="84" t="s">
        <v>434</v>
      </c>
      <c r="I254" s="84" t="s">
        <v>343</v>
      </c>
      <c r="J254" s="84"/>
      <c r="K254" s="94">
        <v>2.930000000000895</v>
      </c>
      <c r="L254" s="97" t="s">
        <v>165</v>
      </c>
      <c r="M254" s="98">
        <v>3.49E-2</v>
      </c>
      <c r="N254" s="98">
        <v>4.6000000000017395E-2</v>
      </c>
      <c r="O254" s="94">
        <v>845112.7365049998</v>
      </c>
      <c r="P254" s="96">
        <v>95.22</v>
      </c>
      <c r="Q254" s="84"/>
      <c r="R254" s="94">
        <v>804.71635469599983</v>
      </c>
      <c r="S254" s="95">
        <v>4.0808009792737531E-4</v>
      </c>
      <c r="T254" s="95">
        <f t="shared" si="5"/>
        <v>1.1557083841994786E-2</v>
      </c>
      <c r="U254" s="95">
        <f>R254/'סכום נכסי הקרן'!$C$42</f>
        <v>3.368740347993887E-3</v>
      </c>
    </row>
    <row r="255" spans="2:21" s="131" customFormat="1">
      <c r="B255" s="87" t="s">
        <v>920</v>
      </c>
      <c r="C255" s="84" t="s">
        <v>921</v>
      </c>
      <c r="D255" s="97" t="s">
        <v>121</v>
      </c>
      <c r="E255" s="97" t="s">
        <v>339</v>
      </c>
      <c r="F255" s="84" t="s">
        <v>922</v>
      </c>
      <c r="G255" s="97" t="s">
        <v>147</v>
      </c>
      <c r="H255" s="84" t="s">
        <v>622</v>
      </c>
      <c r="I255" s="84" t="s">
        <v>161</v>
      </c>
      <c r="J255" s="84"/>
      <c r="K255" s="94">
        <v>5.0400000000001235</v>
      </c>
      <c r="L255" s="97" t="s">
        <v>165</v>
      </c>
      <c r="M255" s="98">
        <v>4.6900000000000004E-2</v>
      </c>
      <c r="N255" s="98">
        <v>8.0100000000000296E-2</v>
      </c>
      <c r="O255" s="94">
        <v>383438.54773999995</v>
      </c>
      <c r="P255" s="96">
        <v>84.71</v>
      </c>
      <c r="Q255" s="84"/>
      <c r="R255" s="94">
        <v>324.81081039899993</v>
      </c>
      <c r="S255" s="95">
        <v>1.8584986139730239E-4</v>
      </c>
      <c r="T255" s="95">
        <f t="shared" si="5"/>
        <v>4.6648309639309169E-3</v>
      </c>
      <c r="U255" s="95">
        <f>R255/'סכום נכסי הקרן'!$C$42</f>
        <v>1.3597378456028325E-3</v>
      </c>
    </row>
    <row r="256" spans="2:21" s="131" customFormat="1">
      <c r="B256" s="87" t="s">
        <v>923</v>
      </c>
      <c r="C256" s="84" t="s">
        <v>924</v>
      </c>
      <c r="D256" s="97" t="s">
        <v>121</v>
      </c>
      <c r="E256" s="97" t="s">
        <v>339</v>
      </c>
      <c r="F256" s="84" t="s">
        <v>922</v>
      </c>
      <c r="G256" s="97" t="s">
        <v>147</v>
      </c>
      <c r="H256" s="84" t="s">
        <v>622</v>
      </c>
      <c r="I256" s="84" t="s">
        <v>161</v>
      </c>
      <c r="J256" s="84"/>
      <c r="K256" s="94">
        <v>5.2299999999971734</v>
      </c>
      <c r="L256" s="97" t="s">
        <v>165</v>
      </c>
      <c r="M256" s="98">
        <v>4.6900000000000004E-2</v>
      </c>
      <c r="N256" s="98">
        <v>8.1499999999974385E-2</v>
      </c>
      <c r="O256" s="94">
        <v>710732.4693789999</v>
      </c>
      <c r="P256" s="96">
        <v>85.15</v>
      </c>
      <c r="Q256" s="84"/>
      <c r="R256" s="94">
        <v>605.18871247699997</v>
      </c>
      <c r="S256" s="95">
        <v>4.1796730074208265E-4</v>
      </c>
      <c r="T256" s="95">
        <f t="shared" si="5"/>
        <v>8.6915304374145484E-3</v>
      </c>
      <c r="U256" s="95">
        <f>R256/'סכום נכסי הקרן'!$C$42</f>
        <v>2.5334686215516475E-3</v>
      </c>
    </row>
    <row r="257" spans="2:21" s="131" customFormat="1">
      <c r="B257" s="87" t="s">
        <v>925</v>
      </c>
      <c r="C257" s="84" t="s">
        <v>926</v>
      </c>
      <c r="D257" s="97" t="s">
        <v>121</v>
      </c>
      <c r="E257" s="97" t="s">
        <v>339</v>
      </c>
      <c r="F257" s="84" t="s">
        <v>671</v>
      </c>
      <c r="G257" s="97" t="s">
        <v>471</v>
      </c>
      <c r="H257" s="84" t="s">
        <v>665</v>
      </c>
      <c r="I257" s="84" t="s">
        <v>343</v>
      </c>
      <c r="J257" s="84"/>
      <c r="K257" s="94">
        <v>2.5300000000141165</v>
      </c>
      <c r="L257" s="97" t="s">
        <v>165</v>
      </c>
      <c r="M257" s="98">
        <v>6.7000000000000004E-2</v>
      </c>
      <c r="N257" s="98">
        <v>4.0100000000170881E-2</v>
      </c>
      <c r="O257" s="94">
        <v>41307.86508499999</v>
      </c>
      <c r="P257" s="96">
        <v>97.75</v>
      </c>
      <c r="Q257" s="84"/>
      <c r="R257" s="94">
        <v>40.378440330999993</v>
      </c>
      <c r="S257" s="95">
        <v>3.6105680946949476E-5</v>
      </c>
      <c r="T257" s="95">
        <f t="shared" si="5"/>
        <v>5.7990249308483499E-4</v>
      </c>
      <c r="U257" s="95">
        <f>R257/'סכום נכסי הקרן'!$C$42</f>
        <v>1.6903407062416386E-4</v>
      </c>
    </row>
    <row r="258" spans="2:21" s="131" customFormat="1">
      <c r="B258" s="83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94"/>
      <c r="P258" s="96"/>
      <c r="Q258" s="84"/>
      <c r="R258" s="84"/>
      <c r="S258" s="84"/>
      <c r="T258" s="95"/>
      <c r="U258" s="84"/>
    </row>
    <row r="259" spans="2:21" s="131" customFormat="1">
      <c r="B259" s="81" t="s">
        <v>230</v>
      </c>
      <c r="C259" s="82"/>
      <c r="D259" s="82"/>
      <c r="E259" s="82"/>
      <c r="F259" s="82"/>
      <c r="G259" s="82"/>
      <c r="H259" s="82"/>
      <c r="I259" s="82"/>
      <c r="J259" s="82"/>
      <c r="K259" s="91">
        <v>6.1396905286067547</v>
      </c>
      <c r="L259" s="82"/>
      <c r="M259" s="82"/>
      <c r="N259" s="104">
        <v>3.7044667600625664E-2</v>
      </c>
      <c r="O259" s="91"/>
      <c r="P259" s="93"/>
      <c r="Q259" s="82"/>
      <c r="R259" s="91">
        <v>10945.549537845001</v>
      </c>
      <c r="S259" s="82"/>
      <c r="T259" s="92">
        <f t="shared" ref="T259:T263" si="6">R259/$R$11</f>
        <v>0.15719654878068154</v>
      </c>
      <c r="U259" s="92">
        <f>R259/'סכום נכסי הקרן'!$C$42</f>
        <v>4.5820759257507351E-2</v>
      </c>
    </row>
    <row r="260" spans="2:21" s="131" customFormat="1">
      <c r="B260" s="102" t="s">
        <v>62</v>
      </c>
      <c r="C260" s="82"/>
      <c r="D260" s="82"/>
      <c r="E260" s="82"/>
      <c r="F260" s="82"/>
      <c r="G260" s="82"/>
      <c r="H260" s="82"/>
      <c r="I260" s="82"/>
      <c r="J260" s="82"/>
      <c r="K260" s="91">
        <v>8.2515083821964605</v>
      </c>
      <c r="L260" s="82"/>
      <c r="M260" s="82"/>
      <c r="N260" s="104">
        <v>4.566907941932042E-2</v>
      </c>
      <c r="O260" s="91"/>
      <c r="P260" s="93"/>
      <c r="Q260" s="82"/>
      <c r="R260" s="91">
        <v>706.43382542699987</v>
      </c>
      <c r="S260" s="82"/>
      <c r="T260" s="92">
        <f t="shared" si="6"/>
        <v>1.0145580988428158E-2</v>
      </c>
      <c r="U260" s="92">
        <f>R260/'סכום נכסי הקרן'!$C$42</f>
        <v>2.9573055363123889E-3</v>
      </c>
    </row>
    <row r="261" spans="2:21" s="131" customFormat="1">
      <c r="B261" s="87" t="s">
        <v>927</v>
      </c>
      <c r="C261" s="84" t="s">
        <v>928</v>
      </c>
      <c r="D261" s="97" t="s">
        <v>29</v>
      </c>
      <c r="E261" s="97" t="s">
        <v>929</v>
      </c>
      <c r="F261" s="84" t="s">
        <v>930</v>
      </c>
      <c r="G261" s="97" t="s">
        <v>931</v>
      </c>
      <c r="H261" s="84" t="s">
        <v>932</v>
      </c>
      <c r="I261" s="84" t="s">
        <v>933</v>
      </c>
      <c r="J261" s="84"/>
      <c r="K261" s="94">
        <v>3.8299999999920931</v>
      </c>
      <c r="L261" s="97" t="s">
        <v>164</v>
      </c>
      <c r="M261" s="98">
        <v>5.0819999999999997E-2</v>
      </c>
      <c r="N261" s="98">
        <v>4.3899999999932222E-2</v>
      </c>
      <c r="O261" s="94">
        <v>39303.841275999992</v>
      </c>
      <c r="P261" s="96">
        <v>103.4816</v>
      </c>
      <c r="Q261" s="84"/>
      <c r="R261" s="94">
        <v>141.62077576399997</v>
      </c>
      <c r="S261" s="95">
        <v>1.2282450398749998E-4</v>
      </c>
      <c r="T261" s="95">
        <f t="shared" si="6"/>
        <v>2.0339131542706137E-3</v>
      </c>
      <c r="U261" s="95">
        <f>R261/'סכום נכסי הקרן'!$C$42</f>
        <v>5.9285935801641669E-4</v>
      </c>
    </row>
    <row r="262" spans="2:21" s="131" customFormat="1">
      <c r="B262" s="87" t="s">
        <v>934</v>
      </c>
      <c r="C262" s="84" t="s">
        <v>935</v>
      </c>
      <c r="D262" s="97" t="s">
        <v>29</v>
      </c>
      <c r="E262" s="97" t="s">
        <v>929</v>
      </c>
      <c r="F262" s="84" t="s">
        <v>930</v>
      </c>
      <c r="G262" s="97" t="s">
        <v>931</v>
      </c>
      <c r="H262" s="84" t="s">
        <v>932</v>
      </c>
      <c r="I262" s="84" t="s">
        <v>933</v>
      </c>
      <c r="J262" s="84"/>
      <c r="K262" s="94">
        <v>5.3299999999905179</v>
      </c>
      <c r="L262" s="97" t="s">
        <v>164</v>
      </c>
      <c r="M262" s="98">
        <v>5.4120000000000001E-2</v>
      </c>
      <c r="N262" s="98">
        <v>4.7799999999895093E-2</v>
      </c>
      <c r="O262" s="94">
        <v>54616.218858999993</v>
      </c>
      <c r="P262" s="96">
        <v>104.253</v>
      </c>
      <c r="Q262" s="84"/>
      <c r="R262" s="94">
        <v>198.26176043599995</v>
      </c>
      <c r="S262" s="95">
        <v>1.7067568393437497E-4</v>
      </c>
      <c r="T262" s="95">
        <f t="shared" si="6"/>
        <v>2.8473732075271888E-3</v>
      </c>
      <c r="U262" s="95">
        <f>R262/'סכום נכסי הקרן'!$C$42</f>
        <v>8.2997243432111293E-4</v>
      </c>
    </row>
    <row r="263" spans="2:21" s="131" customFormat="1">
      <c r="B263" s="87" t="s">
        <v>936</v>
      </c>
      <c r="C263" s="84" t="s">
        <v>937</v>
      </c>
      <c r="D263" s="97" t="s">
        <v>29</v>
      </c>
      <c r="E263" s="97" t="s">
        <v>929</v>
      </c>
      <c r="F263" s="84" t="s">
        <v>768</v>
      </c>
      <c r="G263" s="97" t="s">
        <v>520</v>
      </c>
      <c r="H263" s="84" t="s">
        <v>932</v>
      </c>
      <c r="I263" s="84" t="s">
        <v>938</v>
      </c>
      <c r="J263" s="84"/>
      <c r="K263" s="94">
        <v>11.540000000003873</v>
      </c>
      <c r="L263" s="97" t="s">
        <v>164</v>
      </c>
      <c r="M263" s="98">
        <v>6.3750000000000001E-2</v>
      </c>
      <c r="N263" s="98">
        <v>4.5200000000026191E-2</v>
      </c>
      <c r="O263" s="94">
        <v>84704.16</v>
      </c>
      <c r="P263" s="96">
        <v>124.28</v>
      </c>
      <c r="Q263" s="84"/>
      <c r="R263" s="94">
        <v>366.55128922699998</v>
      </c>
      <c r="S263" s="95">
        <v>1.4117360000000001E-4</v>
      </c>
      <c r="T263" s="95">
        <f t="shared" si="6"/>
        <v>5.2642946266303553E-3</v>
      </c>
      <c r="U263" s="95">
        <f>R263/'סכום נכסי הקרן'!$C$42</f>
        <v>1.5344737439748595E-3</v>
      </c>
    </row>
    <row r="264" spans="2:21" s="131" customFormat="1">
      <c r="B264" s="83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94"/>
      <c r="P264" s="96"/>
      <c r="Q264" s="84"/>
      <c r="R264" s="84"/>
      <c r="S264" s="84"/>
      <c r="T264" s="95"/>
      <c r="U264" s="84"/>
    </row>
    <row r="265" spans="2:21" s="131" customFormat="1">
      <c r="B265" s="102" t="s">
        <v>61</v>
      </c>
      <c r="C265" s="82"/>
      <c r="D265" s="82"/>
      <c r="E265" s="82"/>
      <c r="F265" s="82"/>
      <c r="G265" s="82"/>
      <c r="H265" s="82"/>
      <c r="I265" s="82"/>
      <c r="J265" s="82"/>
      <c r="K265" s="91">
        <v>5.9939885356986089</v>
      </c>
      <c r="L265" s="82"/>
      <c r="M265" s="82"/>
      <c r="N265" s="104">
        <v>3.6449638068363502E-2</v>
      </c>
      <c r="O265" s="91"/>
      <c r="P265" s="93"/>
      <c r="Q265" s="82"/>
      <c r="R265" s="91">
        <v>10239.115712418001</v>
      </c>
      <c r="S265" s="82"/>
      <c r="T265" s="92">
        <f t="shared" ref="T265:T328" si="7">R265/$R$11</f>
        <v>0.14705096779225338</v>
      </c>
      <c r="U265" s="92">
        <f>R265/'סכום נכסי הקרן'!$C$42</f>
        <v>4.2863453721194954E-2</v>
      </c>
    </row>
    <row r="266" spans="2:21" s="131" customFormat="1">
      <c r="B266" s="87" t="s">
        <v>939</v>
      </c>
      <c r="C266" s="84" t="s">
        <v>940</v>
      </c>
      <c r="D266" s="97" t="s">
        <v>29</v>
      </c>
      <c r="E266" s="97" t="s">
        <v>929</v>
      </c>
      <c r="F266" s="84"/>
      <c r="G266" s="97" t="s">
        <v>941</v>
      </c>
      <c r="H266" s="84" t="s">
        <v>942</v>
      </c>
      <c r="I266" s="84" t="s">
        <v>938</v>
      </c>
      <c r="J266" s="84"/>
      <c r="K266" s="94">
        <v>8.4300000000196089</v>
      </c>
      <c r="L266" s="97" t="s">
        <v>164</v>
      </c>
      <c r="M266" s="98">
        <v>3.61E-2</v>
      </c>
      <c r="N266" s="98">
        <v>3.6000000000060962E-2</v>
      </c>
      <c r="O266" s="94">
        <v>56469.439999999988</v>
      </c>
      <c r="P266" s="96">
        <v>100.1065</v>
      </c>
      <c r="Q266" s="84"/>
      <c r="R266" s="94">
        <v>196.83599739799999</v>
      </c>
      <c r="S266" s="95">
        <v>4.517555199999999E-5</v>
      </c>
      <c r="T266" s="95">
        <f t="shared" si="7"/>
        <v>2.8268968460454995E-3</v>
      </c>
      <c r="U266" s="95">
        <f>R266/'סכום נכסי הקרן'!$C$42</f>
        <v>8.2400383999000455E-4</v>
      </c>
    </row>
    <row r="267" spans="2:21" s="131" customFormat="1">
      <c r="B267" s="87" t="s">
        <v>943</v>
      </c>
      <c r="C267" s="84" t="s">
        <v>944</v>
      </c>
      <c r="D267" s="97" t="s">
        <v>29</v>
      </c>
      <c r="E267" s="97" t="s">
        <v>929</v>
      </c>
      <c r="F267" s="84"/>
      <c r="G267" s="97" t="s">
        <v>941</v>
      </c>
      <c r="H267" s="84" t="s">
        <v>942</v>
      </c>
      <c r="I267" s="84" t="s">
        <v>938</v>
      </c>
      <c r="J267" s="84"/>
      <c r="K267" s="94">
        <v>8.21999999998493</v>
      </c>
      <c r="L267" s="97" t="s">
        <v>164</v>
      </c>
      <c r="M267" s="98">
        <v>3.9329999999999997E-2</v>
      </c>
      <c r="N267" s="98">
        <v>3.6099999999951941E-2</v>
      </c>
      <c r="O267" s="94">
        <v>51034.256399999984</v>
      </c>
      <c r="P267" s="96">
        <v>103.0647</v>
      </c>
      <c r="Q267" s="84"/>
      <c r="R267" s="94">
        <v>183.14720310799999</v>
      </c>
      <c r="S267" s="95">
        <v>3.4022837599999986E-5</v>
      </c>
      <c r="T267" s="95">
        <f t="shared" si="7"/>
        <v>2.6303026767060256E-3</v>
      </c>
      <c r="U267" s="95">
        <f>R267/'סכום נכסי הקרן'!$C$42</f>
        <v>7.6669918429236807E-4</v>
      </c>
    </row>
    <row r="268" spans="2:21" s="131" customFormat="1">
      <c r="B268" s="87" t="s">
        <v>945</v>
      </c>
      <c r="C268" s="84" t="s">
        <v>946</v>
      </c>
      <c r="D268" s="97" t="s">
        <v>29</v>
      </c>
      <c r="E268" s="97" t="s">
        <v>929</v>
      </c>
      <c r="F268" s="84"/>
      <c r="G268" s="97" t="s">
        <v>947</v>
      </c>
      <c r="H268" s="84" t="s">
        <v>948</v>
      </c>
      <c r="I268" s="84" t="s">
        <v>938</v>
      </c>
      <c r="J268" s="84"/>
      <c r="K268" s="94">
        <v>3.9600000000013957</v>
      </c>
      <c r="L268" s="97" t="s">
        <v>164</v>
      </c>
      <c r="M268" s="98">
        <v>4.7500000000000001E-2</v>
      </c>
      <c r="N268" s="98">
        <v>2.6400000000038382E-2</v>
      </c>
      <c r="O268" s="94">
        <v>30211.150399999995</v>
      </c>
      <c r="P268" s="96">
        <v>108.9709</v>
      </c>
      <c r="Q268" s="84"/>
      <c r="R268" s="94">
        <v>114.63217252899999</v>
      </c>
      <c r="S268" s="95">
        <v>6.0422300799999992E-5</v>
      </c>
      <c r="T268" s="95">
        <f t="shared" si="7"/>
        <v>1.646311301089616E-3</v>
      </c>
      <c r="U268" s="95">
        <f>R268/'סכום נכסי הקרן'!$C$42</f>
        <v>4.7987843483375189E-4</v>
      </c>
    </row>
    <row r="269" spans="2:21" s="131" customFormat="1">
      <c r="B269" s="87" t="s">
        <v>949</v>
      </c>
      <c r="C269" s="84" t="s">
        <v>950</v>
      </c>
      <c r="D269" s="97" t="s">
        <v>29</v>
      </c>
      <c r="E269" s="97" t="s">
        <v>929</v>
      </c>
      <c r="F269" s="84"/>
      <c r="G269" s="97" t="s">
        <v>951</v>
      </c>
      <c r="H269" s="84" t="s">
        <v>952</v>
      </c>
      <c r="I269" s="84" t="s">
        <v>938</v>
      </c>
      <c r="J269" s="84"/>
      <c r="K269" s="94">
        <v>4.5399999725585527</v>
      </c>
      <c r="L269" s="97" t="s">
        <v>164</v>
      </c>
      <c r="M269" s="98">
        <v>4.4999999999999998E-2</v>
      </c>
      <c r="N269" s="98">
        <v>3.6199999779865315E-2</v>
      </c>
      <c r="O269" s="94">
        <v>18.352567999999998</v>
      </c>
      <c r="P269" s="96">
        <v>103.786</v>
      </c>
      <c r="Q269" s="84"/>
      <c r="R269" s="94">
        <v>6.6323032999999976E-2</v>
      </c>
      <c r="S269" s="95">
        <v>3.6705135999999994E-8</v>
      </c>
      <c r="T269" s="95">
        <f t="shared" si="7"/>
        <v>9.525105940290602E-7</v>
      </c>
      <c r="U269" s="95">
        <f>R269/'סכום נכסי הקרן'!$C$42</f>
        <v>2.7764450910511688E-7</v>
      </c>
    </row>
    <row r="270" spans="2:21" s="131" customFormat="1">
      <c r="B270" s="87" t="s">
        <v>953</v>
      </c>
      <c r="C270" s="84" t="s">
        <v>954</v>
      </c>
      <c r="D270" s="97" t="s">
        <v>29</v>
      </c>
      <c r="E270" s="97" t="s">
        <v>929</v>
      </c>
      <c r="F270" s="84"/>
      <c r="G270" s="97" t="s">
        <v>951</v>
      </c>
      <c r="H270" s="84" t="s">
        <v>952</v>
      </c>
      <c r="I270" s="84" t="s">
        <v>938</v>
      </c>
      <c r="J270" s="84"/>
      <c r="K270" s="94">
        <v>7.1699999999954152</v>
      </c>
      <c r="L270" s="97" t="s">
        <v>164</v>
      </c>
      <c r="M270" s="98">
        <v>5.1249999999999997E-2</v>
      </c>
      <c r="N270" s="98">
        <v>3.8400000000061142E-2</v>
      </c>
      <c r="O270" s="94">
        <v>16990.242759999997</v>
      </c>
      <c r="P270" s="96">
        <v>110.5821</v>
      </c>
      <c r="Q270" s="84"/>
      <c r="R270" s="94">
        <v>65.42039668999999</v>
      </c>
      <c r="S270" s="95">
        <v>3.3980485519999994E-5</v>
      </c>
      <c r="T270" s="95">
        <f t="shared" si="7"/>
        <v>9.3954721450704277E-4</v>
      </c>
      <c r="U270" s="95">
        <f>R270/'סכום נכסי הקרן'!$C$42</f>
        <v>2.7386585176912922E-4</v>
      </c>
    </row>
    <row r="271" spans="2:21" s="131" customFormat="1">
      <c r="B271" s="87" t="s">
        <v>955</v>
      </c>
      <c r="C271" s="84" t="s">
        <v>956</v>
      </c>
      <c r="D271" s="97" t="s">
        <v>29</v>
      </c>
      <c r="E271" s="97" t="s">
        <v>929</v>
      </c>
      <c r="F271" s="84"/>
      <c r="G271" s="97" t="s">
        <v>931</v>
      </c>
      <c r="H271" s="84" t="s">
        <v>957</v>
      </c>
      <c r="I271" s="84" t="s">
        <v>938</v>
      </c>
      <c r="J271" s="84"/>
      <c r="K271" s="94">
        <v>5.0200000000128941</v>
      </c>
      <c r="L271" s="97" t="s">
        <v>164</v>
      </c>
      <c r="M271" s="98">
        <v>6.7500000000000004E-2</v>
      </c>
      <c r="N271" s="98">
        <v>3.5900000000135608E-2</v>
      </c>
      <c r="O271" s="94">
        <v>21581.208232000001</v>
      </c>
      <c r="P271" s="96">
        <v>119.71769999999999</v>
      </c>
      <c r="Q271" s="84"/>
      <c r="R271" s="94">
        <v>89.962821541999986</v>
      </c>
      <c r="S271" s="95">
        <v>9.5916481031111107E-6</v>
      </c>
      <c r="T271" s="95">
        <f t="shared" si="7"/>
        <v>1.2920178211316238E-3</v>
      </c>
      <c r="U271" s="95">
        <f>R271/'סכום נכסי הקרן'!$C$42</f>
        <v>3.7660647131049978E-4</v>
      </c>
    </row>
    <row r="272" spans="2:21" s="131" customFormat="1">
      <c r="B272" s="87" t="s">
        <v>958</v>
      </c>
      <c r="C272" s="84" t="s">
        <v>959</v>
      </c>
      <c r="D272" s="97" t="s">
        <v>29</v>
      </c>
      <c r="E272" s="97" t="s">
        <v>929</v>
      </c>
      <c r="F272" s="84"/>
      <c r="G272" s="97" t="s">
        <v>960</v>
      </c>
      <c r="H272" s="84" t="s">
        <v>961</v>
      </c>
      <c r="I272" s="84" t="s">
        <v>962</v>
      </c>
      <c r="J272" s="84"/>
      <c r="K272" s="94">
        <v>7.4799999999678271</v>
      </c>
      <c r="L272" s="97" t="s">
        <v>164</v>
      </c>
      <c r="M272" s="98">
        <v>4.7500000000000001E-2</v>
      </c>
      <c r="N272" s="98">
        <v>3.0599999999887228E-2</v>
      </c>
      <c r="O272" s="94">
        <v>30634.671199999997</v>
      </c>
      <c r="P272" s="96">
        <v>113.0585</v>
      </c>
      <c r="Q272" s="84"/>
      <c r="R272" s="94">
        <v>120.59941730599999</v>
      </c>
      <c r="S272" s="95">
        <v>3.0634671199999997E-5</v>
      </c>
      <c r="T272" s="95">
        <f t="shared" si="7"/>
        <v>1.7320109986178802E-3</v>
      </c>
      <c r="U272" s="95">
        <f>R272/'סכום נכסי הקרן'!$C$42</f>
        <v>5.0485878738819919E-4</v>
      </c>
    </row>
    <row r="273" spans="2:21" s="131" customFormat="1">
      <c r="B273" s="87" t="s">
        <v>963</v>
      </c>
      <c r="C273" s="84" t="s">
        <v>964</v>
      </c>
      <c r="D273" s="97" t="s">
        <v>29</v>
      </c>
      <c r="E273" s="97" t="s">
        <v>929</v>
      </c>
      <c r="F273" s="84"/>
      <c r="G273" s="97" t="s">
        <v>965</v>
      </c>
      <c r="H273" s="84" t="s">
        <v>957</v>
      </c>
      <c r="I273" s="84" t="s">
        <v>933</v>
      </c>
      <c r="J273" s="84"/>
      <c r="K273" s="94">
        <v>3.2399999999979014</v>
      </c>
      <c r="L273" s="97" t="s">
        <v>164</v>
      </c>
      <c r="M273" s="98">
        <v>3.7499999999999999E-2</v>
      </c>
      <c r="N273" s="98">
        <v>2.7399999999979014E-2</v>
      </c>
      <c r="O273" s="94">
        <v>21176.04</v>
      </c>
      <c r="P273" s="96">
        <v>103.4204</v>
      </c>
      <c r="Q273" s="84"/>
      <c r="R273" s="94">
        <v>76.257014533999993</v>
      </c>
      <c r="S273" s="95">
        <v>4.2352080000000003E-5</v>
      </c>
      <c r="T273" s="95">
        <f t="shared" si="7"/>
        <v>1.0951793204732215E-3</v>
      </c>
      <c r="U273" s="95">
        <f>R273/'סכום נכסי הקרן'!$C$42</f>
        <v>3.1923059619595805E-4</v>
      </c>
    </row>
    <row r="274" spans="2:21" s="131" customFormat="1">
      <c r="B274" s="87" t="s">
        <v>966</v>
      </c>
      <c r="C274" s="84" t="s">
        <v>967</v>
      </c>
      <c r="D274" s="97" t="s">
        <v>29</v>
      </c>
      <c r="E274" s="97" t="s">
        <v>929</v>
      </c>
      <c r="F274" s="84"/>
      <c r="G274" s="97" t="s">
        <v>968</v>
      </c>
      <c r="H274" s="84" t="s">
        <v>969</v>
      </c>
      <c r="I274" s="84" t="s">
        <v>962</v>
      </c>
      <c r="J274" s="84"/>
      <c r="K274" s="94">
        <v>15.639999999996958</v>
      </c>
      <c r="L274" s="97" t="s">
        <v>164</v>
      </c>
      <c r="M274" s="98">
        <v>4.4500000000000005E-2</v>
      </c>
      <c r="N274" s="98">
        <v>4.2099999999996612E-2</v>
      </c>
      <c r="O274" s="94">
        <v>64730.919071999982</v>
      </c>
      <c r="P274" s="96">
        <v>104.9961</v>
      </c>
      <c r="Q274" s="84"/>
      <c r="R274" s="94">
        <v>236.65394794799997</v>
      </c>
      <c r="S274" s="95">
        <v>3.2365459535999991E-5</v>
      </c>
      <c r="T274" s="95">
        <f t="shared" si="7"/>
        <v>3.3987497607244808E-3</v>
      </c>
      <c r="U274" s="95">
        <f>R274/'סכום נכסי הקרן'!$C$42</f>
        <v>9.9069156270055318E-4</v>
      </c>
    </row>
    <row r="275" spans="2:21" s="131" customFormat="1">
      <c r="B275" s="87" t="s">
        <v>970</v>
      </c>
      <c r="C275" s="84" t="s">
        <v>971</v>
      </c>
      <c r="D275" s="97" t="s">
        <v>29</v>
      </c>
      <c r="E275" s="97" t="s">
        <v>929</v>
      </c>
      <c r="F275" s="84"/>
      <c r="G275" s="97" t="s">
        <v>972</v>
      </c>
      <c r="H275" s="84" t="s">
        <v>973</v>
      </c>
      <c r="I275" s="84" t="s">
        <v>938</v>
      </c>
      <c r="J275" s="84"/>
      <c r="K275" s="94">
        <v>16.350000000035759</v>
      </c>
      <c r="L275" s="97" t="s">
        <v>164</v>
      </c>
      <c r="M275" s="98">
        <v>5.5500000000000001E-2</v>
      </c>
      <c r="N275" s="98">
        <v>3.7500000000061651E-2</v>
      </c>
      <c r="O275" s="94">
        <v>35293.399999999994</v>
      </c>
      <c r="P275" s="96">
        <v>131.98689999999999</v>
      </c>
      <c r="Q275" s="84"/>
      <c r="R275" s="94">
        <v>162.20085851199997</v>
      </c>
      <c r="S275" s="95">
        <v>8.8233499999999991E-6</v>
      </c>
      <c r="T275" s="95">
        <f t="shared" si="7"/>
        <v>2.3294778466070557E-3</v>
      </c>
      <c r="U275" s="95">
        <f>R275/'סכום נכסי הקרן'!$C$42</f>
        <v>6.7901264011844523E-4</v>
      </c>
    </row>
    <row r="276" spans="2:21" s="131" customFormat="1">
      <c r="B276" s="87" t="s">
        <v>974</v>
      </c>
      <c r="C276" s="84" t="s">
        <v>975</v>
      </c>
      <c r="D276" s="97" t="s">
        <v>29</v>
      </c>
      <c r="E276" s="97" t="s">
        <v>929</v>
      </c>
      <c r="F276" s="84"/>
      <c r="G276" s="97" t="s">
        <v>941</v>
      </c>
      <c r="H276" s="84" t="s">
        <v>973</v>
      </c>
      <c r="I276" s="84" t="s">
        <v>933</v>
      </c>
      <c r="J276" s="84"/>
      <c r="K276" s="94">
        <v>3.270000000002085</v>
      </c>
      <c r="L276" s="97" t="s">
        <v>164</v>
      </c>
      <c r="M276" s="98">
        <v>4.4000000000000004E-2</v>
      </c>
      <c r="N276" s="98">
        <v>3.4199999999977929E-2</v>
      </c>
      <c r="O276" s="94">
        <v>45457.899199999993</v>
      </c>
      <c r="P276" s="96">
        <v>103.0247</v>
      </c>
      <c r="Q276" s="84"/>
      <c r="R276" s="94">
        <v>163.07198065799994</v>
      </c>
      <c r="S276" s="95">
        <v>3.030526613333333E-5</v>
      </c>
      <c r="T276" s="95">
        <f t="shared" si="7"/>
        <v>2.3419886295918796E-3</v>
      </c>
      <c r="U276" s="95">
        <f>R276/'סכום נכסי הקרן'!$C$42</f>
        <v>6.8265937142213508E-4</v>
      </c>
    </row>
    <row r="277" spans="2:21" s="131" customFormat="1">
      <c r="B277" s="87" t="s">
        <v>976</v>
      </c>
      <c r="C277" s="84" t="s">
        <v>977</v>
      </c>
      <c r="D277" s="97" t="s">
        <v>29</v>
      </c>
      <c r="E277" s="97" t="s">
        <v>929</v>
      </c>
      <c r="F277" s="84"/>
      <c r="G277" s="97" t="s">
        <v>978</v>
      </c>
      <c r="H277" s="84" t="s">
        <v>973</v>
      </c>
      <c r="I277" s="84" t="s">
        <v>938</v>
      </c>
      <c r="J277" s="84"/>
      <c r="K277" s="94">
        <v>6.8900000000056787</v>
      </c>
      <c r="L277" s="97" t="s">
        <v>164</v>
      </c>
      <c r="M277" s="98">
        <v>3.6249999999999998E-2</v>
      </c>
      <c r="N277" s="98">
        <v>3.1900000000246058E-2</v>
      </c>
      <c r="O277" s="94">
        <v>7305.7337999999991</v>
      </c>
      <c r="P277" s="96">
        <v>103.84529999999999</v>
      </c>
      <c r="Q277" s="84"/>
      <c r="R277" s="94">
        <v>26.416745064999997</v>
      </c>
      <c r="S277" s="95">
        <v>1.4611467599999998E-5</v>
      </c>
      <c r="T277" s="95">
        <f t="shared" si="7"/>
        <v>3.7938900553865503E-4</v>
      </c>
      <c r="U277" s="95">
        <f>R277/'סכום נכסי הקרן'!$C$42</f>
        <v>1.1058698439992854E-4</v>
      </c>
    </row>
    <row r="278" spans="2:21" s="131" customFormat="1">
      <c r="B278" s="87" t="s">
        <v>979</v>
      </c>
      <c r="C278" s="84" t="s">
        <v>980</v>
      </c>
      <c r="D278" s="97" t="s">
        <v>29</v>
      </c>
      <c r="E278" s="97" t="s">
        <v>929</v>
      </c>
      <c r="F278" s="84"/>
      <c r="G278" s="97" t="s">
        <v>978</v>
      </c>
      <c r="H278" s="84" t="s">
        <v>973</v>
      </c>
      <c r="I278" s="84" t="s">
        <v>938</v>
      </c>
      <c r="J278" s="84"/>
      <c r="K278" s="94">
        <v>7.3700000000128494</v>
      </c>
      <c r="L278" s="97" t="s">
        <v>164</v>
      </c>
      <c r="M278" s="98">
        <v>4.6249999999999999E-2</v>
      </c>
      <c r="N278" s="98">
        <v>3.2500000000060605E-2</v>
      </c>
      <c r="O278" s="94">
        <v>21176.04</v>
      </c>
      <c r="P278" s="96">
        <v>111.8856</v>
      </c>
      <c r="Q278" s="84"/>
      <c r="R278" s="94">
        <v>82.498853961999984</v>
      </c>
      <c r="S278" s="95">
        <v>4.2352080000000003E-5</v>
      </c>
      <c r="T278" s="95">
        <f t="shared" si="7"/>
        <v>1.1848226602372259E-3</v>
      </c>
      <c r="U278" s="95">
        <f>R278/'סכום נכסי הקרן'!$C$42</f>
        <v>3.4536046941662364E-4</v>
      </c>
    </row>
    <row r="279" spans="2:21" s="131" customFormat="1">
      <c r="B279" s="87" t="s">
        <v>981</v>
      </c>
      <c r="C279" s="84" t="s">
        <v>982</v>
      </c>
      <c r="D279" s="97" t="s">
        <v>29</v>
      </c>
      <c r="E279" s="97" t="s">
        <v>929</v>
      </c>
      <c r="F279" s="84"/>
      <c r="G279" s="97" t="s">
        <v>978</v>
      </c>
      <c r="H279" s="84" t="s">
        <v>973</v>
      </c>
      <c r="I279" s="84" t="s">
        <v>938</v>
      </c>
      <c r="J279" s="84"/>
      <c r="K279" s="94">
        <v>5.7700000000056697</v>
      </c>
      <c r="L279" s="97" t="s">
        <v>164</v>
      </c>
      <c r="M279" s="98">
        <v>3.7499999999999999E-2</v>
      </c>
      <c r="N279" s="98">
        <v>3.0300000000020616E-2</v>
      </c>
      <c r="O279" s="94">
        <v>42352.08</v>
      </c>
      <c r="P279" s="96">
        <v>105.2439</v>
      </c>
      <c r="Q279" s="84"/>
      <c r="R279" s="94">
        <v>155.20314345599999</v>
      </c>
      <c r="S279" s="95">
        <v>5.6469440000000001E-5</v>
      </c>
      <c r="T279" s="95">
        <f t="shared" si="7"/>
        <v>2.2289788581962475E-3</v>
      </c>
      <c r="U279" s="95">
        <f>R279/'סכום נכסי הקרן'!$C$42</f>
        <v>6.4971848582998559E-4</v>
      </c>
    </row>
    <row r="280" spans="2:21" s="131" customFormat="1">
      <c r="B280" s="87" t="s">
        <v>983</v>
      </c>
      <c r="C280" s="84" t="s">
        <v>984</v>
      </c>
      <c r="D280" s="97" t="s">
        <v>29</v>
      </c>
      <c r="E280" s="97" t="s">
        <v>929</v>
      </c>
      <c r="F280" s="84"/>
      <c r="G280" s="97" t="s">
        <v>985</v>
      </c>
      <c r="H280" s="84" t="s">
        <v>973</v>
      </c>
      <c r="I280" s="84" t="s">
        <v>933</v>
      </c>
      <c r="J280" s="84"/>
      <c r="K280" s="94">
        <v>16.839999999991978</v>
      </c>
      <c r="L280" s="97" t="s">
        <v>164</v>
      </c>
      <c r="M280" s="98">
        <v>4.5499999999999999E-2</v>
      </c>
      <c r="N280" s="98">
        <v>4.0499999999993735E-2</v>
      </c>
      <c r="O280" s="94">
        <v>42352.08</v>
      </c>
      <c r="P280" s="96">
        <v>108.1414</v>
      </c>
      <c r="Q280" s="84"/>
      <c r="R280" s="94">
        <v>159.47608504199997</v>
      </c>
      <c r="S280" s="95">
        <v>1.6978333743572806E-5</v>
      </c>
      <c r="T280" s="95">
        <f t="shared" si="7"/>
        <v>2.2903455048080262E-3</v>
      </c>
      <c r="U280" s="95">
        <f>R280/'סכום נכסי הקרן'!$C$42</f>
        <v>6.6760606900308629E-4</v>
      </c>
    </row>
    <row r="281" spans="2:21" s="131" customFormat="1">
      <c r="B281" s="87" t="s">
        <v>986</v>
      </c>
      <c r="C281" s="84" t="s">
        <v>987</v>
      </c>
      <c r="D281" s="97" t="s">
        <v>29</v>
      </c>
      <c r="E281" s="97" t="s">
        <v>929</v>
      </c>
      <c r="F281" s="84"/>
      <c r="G281" s="97" t="s">
        <v>941</v>
      </c>
      <c r="H281" s="84" t="s">
        <v>973</v>
      </c>
      <c r="I281" s="84" t="s">
        <v>938</v>
      </c>
      <c r="J281" s="84"/>
      <c r="K281" s="94">
        <v>3.4600000027008875</v>
      </c>
      <c r="L281" s="97" t="s">
        <v>164</v>
      </c>
      <c r="M281" s="98">
        <v>6.5000000000000002E-2</v>
      </c>
      <c r="N281" s="98">
        <v>3.2600000027008871E-2</v>
      </c>
      <c r="O281" s="94">
        <v>66.351591999999997</v>
      </c>
      <c r="P281" s="96">
        <v>112.1789</v>
      </c>
      <c r="Q281" s="84"/>
      <c r="R281" s="94">
        <v>0.25917400500000004</v>
      </c>
      <c r="S281" s="95">
        <v>2.6540636799999999E-8</v>
      </c>
      <c r="T281" s="95">
        <f t="shared" si="7"/>
        <v>3.7221757554338739E-6</v>
      </c>
      <c r="U281" s="95">
        <f>R281/'סכום נכסי הקרן'!$C$42</f>
        <v>1.0849660538147002E-6</v>
      </c>
    </row>
    <row r="282" spans="2:21" s="131" customFormat="1">
      <c r="B282" s="87" t="s">
        <v>988</v>
      </c>
      <c r="C282" s="84" t="s">
        <v>989</v>
      </c>
      <c r="D282" s="97" t="s">
        <v>29</v>
      </c>
      <c r="E282" s="97" t="s">
        <v>929</v>
      </c>
      <c r="F282" s="84"/>
      <c r="G282" s="97" t="s">
        <v>990</v>
      </c>
      <c r="H282" s="84" t="s">
        <v>969</v>
      </c>
      <c r="I282" s="84" t="s">
        <v>962</v>
      </c>
      <c r="J282" s="84"/>
      <c r="K282" s="94">
        <v>5.2899999999813767</v>
      </c>
      <c r="L282" s="97" t="s">
        <v>164</v>
      </c>
      <c r="M282" s="98">
        <v>4.6249999999999999E-2</v>
      </c>
      <c r="N282" s="98">
        <v>2.9099999999979313E-2</v>
      </c>
      <c r="O282" s="94">
        <v>12705.624</v>
      </c>
      <c r="P282" s="96">
        <v>109.23560000000001</v>
      </c>
      <c r="Q282" s="84"/>
      <c r="R282" s="94">
        <v>48.326883309999992</v>
      </c>
      <c r="S282" s="95">
        <v>8.4704159999999998E-6</v>
      </c>
      <c r="T282" s="95">
        <f t="shared" si="7"/>
        <v>6.9405553767695131E-4</v>
      </c>
      <c r="U282" s="95">
        <f>R282/'סכום נכסי הקרן'!$C$42</f>
        <v>2.0230820555485179E-4</v>
      </c>
    </row>
    <row r="283" spans="2:21" s="131" customFormat="1">
      <c r="B283" s="87" t="s">
        <v>991</v>
      </c>
      <c r="C283" s="84" t="s">
        <v>992</v>
      </c>
      <c r="D283" s="97" t="s">
        <v>29</v>
      </c>
      <c r="E283" s="97" t="s">
        <v>929</v>
      </c>
      <c r="F283" s="84"/>
      <c r="G283" s="97" t="s">
        <v>990</v>
      </c>
      <c r="H283" s="84" t="s">
        <v>969</v>
      </c>
      <c r="I283" s="84" t="s">
        <v>962</v>
      </c>
      <c r="J283" s="84"/>
      <c r="K283" s="94">
        <v>7.8799999999992885</v>
      </c>
      <c r="L283" s="97" t="s">
        <v>164</v>
      </c>
      <c r="M283" s="98">
        <v>4.8750000000000002E-2</v>
      </c>
      <c r="N283" s="98">
        <v>3.2400000000014216E-2</v>
      </c>
      <c r="O283" s="94">
        <v>28234.719999999994</v>
      </c>
      <c r="P283" s="96">
        <v>114.50239999999999</v>
      </c>
      <c r="Q283" s="84"/>
      <c r="R283" s="94">
        <v>112.57109871599998</v>
      </c>
      <c r="S283" s="95">
        <v>2.2587775999999995E-5</v>
      </c>
      <c r="T283" s="95">
        <f t="shared" si="7"/>
        <v>1.6167108055580202E-3</v>
      </c>
      <c r="U283" s="95">
        <f>R283/'סכום נכסי הקרן'!$C$42</f>
        <v>4.7125027352756138E-4</v>
      </c>
    </row>
    <row r="284" spans="2:21" s="131" customFormat="1">
      <c r="B284" s="87" t="s">
        <v>993</v>
      </c>
      <c r="C284" s="84" t="s">
        <v>994</v>
      </c>
      <c r="D284" s="97" t="s">
        <v>29</v>
      </c>
      <c r="E284" s="97" t="s">
        <v>929</v>
      </c>
      <c r="F284" s="84"/>
      <c r="G284" s="97" t="s">
        <v>947</v>
      </c>
      <c r="H284" s="84" t="s">
        <v>973</v>
      </c>
      <c r="I284" s="84" t="s">
        <v>933</v>
      </c>
      <c r="J284" s="84"/>
      <c r="K284" s="94">
        <v>14.699999999989261</v>
      </c>
      <c r="L284" s="97" t="s">
        <v>164</v>
      </c>
      <c r="M284" s="98">
        <v>5.0999999999999997E-2</v>
      </c>
      <c r="N284" s="98">
        <v>4.2099999999975726E-2</v>
      </c>
      <c r="O284" s="94">
        <v>63528.119999999988</v>
      </c>
      <c r="P284" s="96">
        <v>113.66549999999999</v>
      </c>
      <c r="Q284" s="84"/>
      <c r="R284" s="94">
        <v>251.43367134099998</v>
      </c>
      <c r="S284" s="95">
        <v>8.4704159999999978E-5</v>
      </c>
      <c r="T284" s="95">
        <f t="shared" si="7"/>
        <v>3.611011511610506E-3</v>
      </c>
      <c r="U284" s="95">
        <f>R284/'סכום נכסי הקרן'!$C$42</f>
        <v>1.0525631156218271E-3</v>
      </c>
    </row>
    <row r="285" spans="2:21" s="131" customFormat="1">
      <c r="B285" s="87" t="s">
        <v>995</v>
      </c>
      <c r="C285" s="84" t="s">
        <v>996</v>
      </c>
      <c r="D285" s="97" t="s">
        <v>29</v>
      </c>
      <c r="E285" s="97" t="s">
        <v>929</v>
      </c>
      <c r="F285" s="84"/>
      <c r="G285" s="97" t="s">
        <v>997</v>
      </c>
      <c r="H285" s="84" t="s">
        <v>973</v>
      </c>
      <c r="I285" s="84" t="s">
        <v>933</v>
      </c>
      <c r="J285" s="84"/>
      <c r="K285" s="94">
        <v>5.0399999999933742</v>
      </c>
      <c r="L285" s="97" t="s">
        <v>164</v>
      </c>
      <c r="M285" s="98">
        <v>4.9000000000000002E-2</v>
      </c>
      <c r="N285" s="98">
        <v>2.839999999991993E-2</v>
      </c>
      <c r="O285" s="94">
        <v>36847.721335999995</v>
      </c>
      <c r="P285" s="96">
        <v>112.9084</v>
      </c>
      <c r="Q285" s="84"/>
      <c r="R285" s="94">
        <v>144.86578604899995</v>
      </c>
      <c r="S285" s="95">
        <v>1.4776935220887736E-5</v>
      </c>
      <c r="T285" s="95">
        <f t="shared" si="7"/>
        <v>2.0805169740053917E-3</v>
      </c>
      <c r="U285" s="95">
        <f>R285/'סכום נכסי הקרן'!$C$42</f>
        <v>6.0644376824114021E-4</v>
      </c>
    </row>
    <row r="286" spans="2:21" s="131" customFormat="1">
      <c r="B286" s="87" t="s">
        <v>998</v>
      </c>
      <c r="C286" s="84" t="s">
        <v>999</v>
      </c>
      <c r="D286" s="97" t="s">
        <v>29</v>
      </c>
      <c r="E286" s="97" t="s">
        <v>929</v>
      </c>
      <c r="F286" s="84"/>
      <c r="G286" s="97" t="s">
        <v>951</v>
      </c>
      <c r="H286" s="84" t="s">
        <v>973</v>
      </c>
      <c r="I286" s="84" t="s">
        <v>938</v>
      </c>
      <c r="J286" s="84"/>
      <c r="K286" s="94">
        <v>6.7800000000241649</v>
      </c>
      <c r="L286" s="97" t="s">
        <v>164</v>
      </c>
      <c r="M286" s="98">
        <v>4.4999999999999998E-2</v>
      </c>
      <c r="N286" s="98">
        <v>4.170000000014925E-2</v>
      </c>
      <c r="O286" s="94">
        <v>39669.781599999995</v>
      </c>
      <c r="P286" s="96">
        <v>101.86</v>
      </c>
      <c r="Q286" s="84"/>
      <c r="R286" s="94">
        <v>140.69940086999998</v>
      </c>
      <c r="S286" s="95">
        <v>5.2893042133333325E-5</v>
      </c>
      <c r="T286" s="95">
        <f t="shared" si="7"/>
        <v>2.0206806570835898E-3</v>
      </c>
      <c r="U286" s="95">
        <f>R286/'סכום נכסי הקרן'!$C$42</f>
        <v>5.8900225636447016E-4</v>
      </c>
    </row>
    <row r="287" spans="2:21" s="131" customFormat="1">
      <c r="B287" s="87" t="s">
        <v>1000</v>
      </c>
      <c r="C287" s="84" t="s">
        <v>1001</v>
      </c>
      <c r="D287" s="97" t="s">
        <v>29</v>
      </c>
      <c r="E287" s="97" t="s">
        <v>929</v>
      </c>
      <c r="F287" s="84"/>
      <c r="G287" s="97" t="s">
        <v>985</v>
      </c>
      <c r="H287" s="84" t="s">
        <v>973</v>
      </c>
      <c r="I287" s="84" t="s">
        <v>938</v>
      </c>
      <c r="J287" s="84"/>
      <c r="K287" s="94">
        <v>1.0699999999922096</v>
      </c>
      <c r="L287" s="97" t="s">
        <v>164</v>
      </c>
      <c r="M287" s="98">
        <v>3.3599999999999998E-2</v>
      </c>
      <c r="N287" s="98">
        <v>2.8299999999922096E-2</v>
      </c>
      <c r="O287" s="94">
        <v>18343.391715999995</v>
      </c>
      <c r="P287" s="96">
        <v>100.4837</v>
      </c>
      <c r="Q287" s="84"/>
      <c r="R287" s="94">
        <v>64.180616049999983</v>
      </c>
      <c r="S287" s="95">
        <v>1.0481938123428568E-5</v>
      </c>
      <c r="T287" s="95">
        <f t="shared" si="7"/>
        <v>9.2174187388168068E-4</v>
      </c>
      <c r="U287" s="95">
        <f>R287/'סכום נכסי הקרן'!$C$42</f>
        <v>2.68675825444627E-4</v>
      </c>
    </row>
    <row r="288" spans="2:21" s="131" customFormat="1">
      <c r="B288" s="87" t="s">
        <v>1002</v>
      </c>
      <c r="C288" s="84" t="s">
        <v>1003</v>
      </c>
      <c r="D288" s="97" t="s">
        <v>29</v>
      </c>
      <c r="E288" s="97" t="s">
        <v>929</v>
      </c>
      <c r="F288" s="84"/>
      <c r="G288" s="97" t="s">
        <v>951</v>
      </c>
      <c r="H288" s="84" t="s">
        <v>973</v>
      </c>
      <c r="I288" s="84" t="s">
        <v>938</v>
      </c>
      <c r="J288" s="84"/>
      <c r="K288" s="94">
        <v>5.1500000000076174</v>
      </c>
      <c r="L288" s="97" t="s">
        <v>164</v>
      </c>
      <c r="M288" s="98">
        <v>5.7500000000000002E-2</v>
      </c>
      <c r="N288" s="98">
        <v>3.8299999999971711E-2</v>
      </c>
      <c r="O288" s="94">
        <v>11964.462600000001</v>
      </c>
      <c r="P288" s="96">
        <v>110.2967</v>
      </c>
      <c r="Q288" s="84"/>
      <c r="R288" s="94">
        <v>45.949899910999996</v>
      </c>
      <c r="S288" s="95">
        <v>1.7092089428571429E-5</v>
      </c>
      <c r="T288" s="95">
        <f t="shared" si="7"/>
        <v>6.5991804777387796E-4</v>
      </c>
      <c r="U288" s="95">
        <f>R288/'סכום נכסי הקרן'!$C$42</f>
        <v>1.9235756911507428E-4</v>
      </c>
    </row>
    <row r="289" spans="2:21" s="131" customFormat="1">
      <c r="B289" s="87" t="s">
        <v>1004</v>
      </c>
      <c r="C289" s="84" t="s">
        <v>1005</v>
      </c>
      <c r="D289" s="97" t="s">
        <v>29</v>
      </c>
      <c r="E289" s="97" t="s">
        <v>929</v>
      </c>
      <c r="F289" s="84"/>
      <c r="G289" s="97" t="s">
        <v>985</v>
      </c>
      <c r="H289" s="84" t="s">
        <v>973</v>
      </c>
      <c r="I289" s="84" t="s">
        <v>933</v>
      </c>
      <c r="J289" s="84"/>
      <c r="K289" s="94">
        <v>7.0099999999902094</v>
      </c>
      <c r="L289" s="97" t="s">
        <v>164</v>
      </c>
      <c r="M289" s="98">
        <v>4.0999999999999995E-2</v>
      </c>
      <c r="N289" s="98">
        <v>2.9299999999956246E-2</v>
      </c>
      <c r="O289" s="94">
        <v>25364.660711999997</v>
      </c>
      <c r="P289" s="96">
        <v>108.68689999999999</v>
      </c>
      <c r="Q289" s="84"/>
      <c r="R289" s="94">
        <v>95.991986993999973</v>
      </c>
      <c r="S289" s="95">
        <v>1.046173330616642E-5</v>
      </c>
      <c r="T289" s="95">
        <f t="shared" si="7"/>
        <v>1.3786068039693656E-3</v>
      </c>
      <c r="U289" s="95">
        <f>R289/'סכום נכסי הקרן'!$C$42</f>
        <v>4.0184603902197741E-4</v>
      </c>
    </row>
    <row r="290" spans="2:21" s="131" customFormat="1">
      <c r="B290" s="87" t="s">
        <v>1006</v>
      </c>
      <c r="C290" s="84" t="s">
        <v>1007</v>
      </c>
      <c r="D290" s="97" t="s">
        <v>29</v>
      </c>
      <c r="E290" s="97" t="s">
        <v>929</v>
      </c>
      <c r="F290" s="84"/>
      <c r="G290" s="97" t="s">
        <v>941</v>
      </c>
      <c r="H290" s="84" t="s">
        <v>973</v>
      </c>
      <c r="I290" s="84" t="s">
        <v>933</v>
      </c>
      <c r="J290" s="84"/>
      <c r="K290" s="94">
        <v>8.1500000000091095</v>
      </c>
      <c r="L290" s="97" t="s">
        <v>164</v>
      </c>
      <c r="M290" s="98">
        <v>4.1100000000000005E-2</v>
      </c>
      <c r="N290" s="98">
        <v>3.6000000000060726E-2</v>
      </c>
      <c r="O290" s="94">
        <v>45175.551999999996</v>
      </c>
      <c r="P290" s="96">
        <v>104.6905</v>
      </c>
      <c r="Q290" s="84"/>
      <c r="R290" s="94">
        <v>164.67948822999995</v>
      </c>
      <c r="S290" s="95">
        <v>3.6140441599999999E-5</v>
      </c>
      <c r="T290" s="95">
        <f t="shared" si="7"/>
        <v>2.3650751490565721E-3</v>
      </c>
      <c r="U290" s="95">
        <f>R290/'סכום נכסי הקרן'!$C$42</f>
        <v>6.893887930200693E-4</v>
      </c>
    </row>
    <row r="291" spans="2:21" s="131" customFormat="1">
      <c r="B291" s="87" t="s">
        <v>1008</v>
      </c>
      <c r="C291" s="84" t="s">
        <v>1009</v>
      </c>
      <c r="D291" s="97" t="s">
        <v>29</v>
      </c>
      <c r="E291" s="97" t="s">
        <v>929</v>
      </c>
      <c r="F291" s="84"/>
      <c r="G291" s="97" t="s">
        <v>941</v>
      </c>
      <c r="H291" s="84" t="s">
        <v>932</v>
      </c>
      <c r="I291" s="84" t="s">
        <v>938</v>
      </c>
      <c r="J291" s="84"/>
      <c r="K291" s="94">
        <v>3.66999999999299</v>
      </c>
      <c r="L291" s="97" t="s">
        <v>164</v>
      </c>
      <c r="M291" s="98">
        <v>7.8750000000000001E-2</v>
      </c>
      <c r="N291" s="98">
        <v>4.8099999999883153E-2</v>
      </c>
      <c r="O291" s="94">
        <v>27528.851999999999</v>
      </c>
      <c r="P291" s="96">
        <v>111.60899999999999</v>
      </c>
      <c r="Q291" s="84"/>
      <c r="R291" s="94">
        <v>106.98332332499999</v>
      </c>
      <c r="S291" s="95">
        <v>1.5730772571428571E-5</v>
      </c>
      <c r="T291" s="95">
        <f t="shared" si="7"/>
        <v>1.5364609283097591E-3</v>
      </c>
      <c r="U291" s="95">
        <f>R291/'סכום נכסי הקרן'!$C$42</f>
        <v>4.4785847304365035E-4</v>
      </c>
    </row>
    <row r="292" spans="2:21" s="131" customFormat="1">
      <c r="B292" s="87" t="s">
        <v>1010</v>
      </c>
      <c r="C292" s="84" t="s">
        <v>1011</v>
      </c>
      <c r="D292" s="97" t="s">
        <v>29</v>
      </c>
      <c r="E292" s="97" t="s">
        <v>929</v>
      </c>
      <c r="F292" s="84"/>
      <c r="G292" s="97" t="s">
        <v>1012</v>
      </c>
      <c r="H292" s="84" t="s">
        <v>932</v>
      </c>
      <c r="I292" s="84" t="s">
        <v>938</v>
      </c>
      <c r="J292" s="84"/>
      <c r="K292" s="94">
        <v>3.8300000000014016</v>
      </c>
      <c r="L292" s="97" t="s">
        <v>164</v>
      </c>
      <c r="M292" s="98">
        <v>4.8750000000000002E-2</v>
      </c>
      <c r="N292" s="98">
        <v>2.8400000000018692E-2</v>
      </c>
      <c r="O292" s="94">
        <v>28234.719999999994</v>
      </c>
      <c r="P292" s="96">
        <v>108.8321</v>
      </c>
      <c r="Q292" s="84"/>
      <c r="R292" s="94">
        <v>106.99640719499999</v>
      </c>
      <c r="S292" s="95">
        <v>3.1371911111111106E-5</v>
      </c>
      <c r="T292" s="95">
        <f t="shared" si="7"/>
        <v>1.5366488347462138E-3</v>
      </c>
      <c r="U292" s="95">
        <f>R292/'סכום נכסי הקרן'!$C$42</f>
        <v>4.479132453376639E-4</v>
      </c>
    </row>
    <row r="293" spans="2:21" s="131" customFormat="1">
      <c r="B293" s="87" t="s">
        <v>1013</v>
      </c>
      <c r="C293" s="84" t="s">
        <v>1014</v>
      </c>
      <c r="D293" s="97" t="s">
        <v>29</v>
      </c>
      <c r="E293" s="97" t="s">
        <v>929</v>
      </c>
      <c r="F293" s="84"/>
      <c r="G293" s="97" t="s">
        <v>1012</v>
      </c>
      <c r="H293" s="84" t="s">
        <v>932</v>
      </c>
      <c r="I293" s="84" t="s">
        <v>938</v>
      </c>
      <c r="J293" s="84"/>
      <c r="K293" s="94">
        <v>5.4999999999896083</v>
      </c>
      <c r="L293" s="97" t="s">
        <v>164</v>
      </c>
      <c r="M293" s="98">
        <v>4.4500000000000005E-2</v>
      </c>
      <c r="N293" s="98">
        <v>3.2499999999948036E-2</v>
      </c>
      <c r="O293" s="94">
        <v>50822.495999999999</v>
      </c>
      <c r="P293" s="96">
        <v>108.74290000000001</v>
      </c>
      <c r="Q293" s="84"/>
      <c r="R293" s="94">
        <v>192.43574009599993</v>
      </c>
      <c r="S293" s="95">
        <v>1.01644992E-4</v>
      </c>
      <c r="T293" s="95">
        <f t="shared" si="7"/>
        <v>2.7637017310602006E-3</v>
      </c>
      <c r="U293" s="95">
        <f>R293/'סכום נכסי הקרן'!$C$42</f>
        <v>8.0558328195325113E-4</v>
      </c>
    </row>
    <row r="294" spans="2:21" s="131" customFormat="1">
      <c r="B294" s="87" t="s">
        <v>1015</v>
      </c>
      <c r="C294" s="84" t="s">
        <v>1016</v>
      </c>
      <c r="D294" s="97" t="s">
        <v>29</v>
      </c>
      <c r="E294" s="97" t="s">
        <v>929</v>
      </c>
      <c r="F294" s="84"/>
      <c r="G294" s="97" t="s">
        <v>978</v>
      </c>
      <c r="H294" s="84" t="s">
        <v>932</v>
      </c>
      <c r="I294" s="84" t="s">
        <v>938</v>
      </c>
      <c r="J294" s="84"/>
      <c r="K294" s="94">
        <v>8.3500000000020176</v>
      </c>
      <c r="L294" s="97" t="s">
        <v>164</v>
      </c>
      <c r="M294" s="98">
        <v>3.5000000000000003E-2</v>
      </c>
      <c r="N294" s="98">
        <v>3.3800000000056556E-2</v>
      </c>
      <c r="O294" s="94">
        <v>7058.6799999999985</v>
      </c>
      <c r="P294" s="96">
        <v>100.7052</v>
      </c>
      <c r="Q294" s="84"/>
      <c r="R294" s="94">
        <v>24.751641897000003</v>
      </c>
      <c r="S294" s="95">
        <v>1.7646699999999995E-5</v>
      </c>
      <c r="T294" s="95">
        <f t="shared" si="7"/>
        <v>3.5547531619228054E-4</v>
      </c>
      <c r="U294" s="95">
        <f>R294/'סכום נכסי הקרן'!$C$42</f>
        <v>1.0361645348816017E-4</v>
      </c>
    </row>
    <row r="295" spans="2:21" s="131" customFormat="1">
      <c r="B295" s="87" t="s">
        <v>1017</v>
      </c>
      <c r="C295" s="84" t="s">
        <v>1018</v>
      </c>
      <c r="D295" s="97" t="s">
        <v>29</v>
      </c>
      <c r="E295" s="97" t="s">
        <v>929</v>
      </c>
      <c r="F295" s="84"/>
      <c r="G295" s="97" t="s">
        <v>1019</v>
      </c>
      <c r="H295" s="84" t="s">
        <v>932</v>
      </c>
      <c r="I295" s="84" t="s">
        <v>938</v>
      </c>
      <c r="J295" s="84"/>
      <c r="K295" s="94">
        <v>1.7600000000008189</v>
      </c>
      <c r="L295" s="97" t="s">
        <v>164</v>
      </c>
      <c r="M295" s="98">
        <v>5.2499999999999998E-2</v>
      </c>
      <c r="N295" s="98">
        <v>3.6400000000046402E-2</v>
      </c>
      <c r="O295" s="94">
        <v>39329.553224000003</v>
      </c>
      <c r="P295" s="96">
        <v>107.0194</v>
      </c>
      <c r="Q295" s="84"/>
      <c r="R295" s="94">
        <v>146.55827988799996</v>
      </c>
      <c r="S295" s="95">
        <v>6.5549255373333339E-5</v>
      </c>
      <c r="T295" s="95">
        <f t="shared" si="7"/>
        <v>2.1048240395760572E-3</v>
      </c>
      <c r="U295" s="95">
        <f>R295/'סכום נכסי הקרן'!$C$42</f>
        <v>6.135289632305279E-4</v>
      </c>
    </row>
    <row r="296" spans="2:21" s="131" customFormat="1">
      <c r="B296" s="87" t="s">
        <v>1020</v>
      </c>
      <c r="C296" s="84" t="s">
        <v>1021</v>
      </c>
      <c r="D296" s="97" t="s">
        <v>29</v>
      </c>
      <c r="E296" s="97" t="s">
        <v>929</v>
      </c>
      <c r="F296" s="84"/>
      <c r="G296" s="97" t="s">
        <v>1019</v>
      </c>
      <c r="H296" s="84" t="s">
        <v>932</v>
      </c>
      <c r="I296" s="84" t="s">
        <v>938</v>
      </c>
      <c r="J296" s="84"/>
      <c r="K296" s="94">
        <v>7.9999999999230853E-2</v>
      </c>
      <c r="L296" s="97" t="s">
        <v>164</v>
      </c>
      <c r="M296" s="98">
        <v>5.6250000000000001E-2</v>
      </c>
      <c r="N296" s="98">
        <v>3.2100000000003848E-2</v>
      </c>
      <c r="O296" s="94">
        <v>28234.719999999994</v>
      </c>
      <c r="P296" s="96">
        <v>105.79689999999999</v>
      </c>
      <c r="Q296" s="84"/>
      <c r="R296" s="94">
        <v>104.01239387599999</v>
      </c>
      <c r="S296" s="95">
        <v>5.6469439999999988E-5</v>
      </c>
      <c r="T296" s="95">
        <f t="shared" si="7"/>
        <v>1.493793371560878E-3</v>
      </c>
      <c r="U296" s="95">
        <f>R296/'סכום נכסי הקרן'!$C$42</f>
        <v>4.35421432529331E-4</v>
      </c>
    </row>
    <row r="297" spans="2:21" s="131" customFormat="1">
      <c r="B297" s="87" t="s">
        <v>1022</v>
      </c>
      <c r="C297" s="84" t="s">
        <v>1023</v>
      </c>
      <c r="D297" s="97" t="s">
        <v>29</v>
      </c>
      <c r="E297" s="97" t="s">
        <v>929</v>
      </c>
      <c r="F297" s="84"/>
      <c r="G297" s="97" t="s">
        <v>1024</v>
      </c>
      <c r="H297" s="84" t="s">
        <v>932</v>
      </c>
      <c r="I297" s="84" t="s">
        <v>938</v>
      </c>
      <c r="J297" s="84"/>
      <c r="K297" s="94">
        <v>7.5099999999908027</v>
      </c>
      <c r="L297" s="97" t="s">
        <v>164</v>
      </c>
      <c r="M297" s="98">
        <v>4.7500000000000001E-2</v>
      </c>
      <c r="N297" s="98">
        <v>3.9699999999946327E-2</v>
      </c>
      <c r="O297" s="94">
        <v>84704.16</v>
      </c>
      <c r="P297" s="96">
        <v>108.021</v>
      </c>
      <c r="Q297" s="84"/>
      <c r="R297" s="94">
        <v>318.59709524299996</v>
      </c>
      <c r="S297" s="95">
        <v>2.8234720000000001E-5</v>
      </c>
      <c r="T297" s="95">
        <f t="shared" si="7"/>
        <v>4.5755915361386304E-3</v>
      </c>
      <c r="U297" s="95">
        <f>R297/'סכום נכסי הקרן'!$C$42</f>
        <v>1.333725707493789E-3</v>
      </c>
    </row>
    <row r="298" spans="2:21" s="131" customFormat="1">
      <c r="B298" s="87" t="s">
        <v>1025</v>
      </c>
      <c r="C298" s="84" t="s">
        <v>1026</v>
      </c>
      <c r="D298" s="97" t="s">
        <v>29</v>
      </c>
      <c r="E298" s="97" t="s">
        <v>929</v>
      </c>
      <c r="F298" s="84"/>
      <c r="G298" s="97" t="s">
        <v>997</v>
      </c>
      <c r="H298" s="84" t="s">
        <v>932</v>
      </c>
      <c r="I298" s="84" t="s">
        <v>938</v>
      </c>
      <c r="J298" s="84"/>
      <c r="K298" s="94">
        <v>7.8400000000227177</v>
      </c>
      <c r="L298" s="97" t="s">
        <v>164</v>
      </c>
      <c r="M298" s="98">
        <v>5.2999999999999999E-2</v>
      </c>
      <c r="N298" s="98">
        <v>4.1100000000160397E-2</v>
      </c>
      <c r="O298" s="94">
        <v>33458.143199999991</v>
      </c>
      <c r="P298" s="96">
        <v>111.8442</v>
      </c>
      <c r="Q298" s="84"/>
      <c r="R298" s="94">
        <v>130.29992208099998</v>
      </c>
      <c r="S298" s="95">
        <v>1.9118938971428567E-5</v>
      </c>
      <c r="T298" s="95">
        <f t="shared" si="7"/>
        <v>1.8713266050922851E-3</v>
      </c>
      <c r="U298" s="95">
        <f>R298/'סכום נכסי הקרן'!$C$42</f>
        <v>5.4546748340978659E-4</v>
      </c>
    </row>
    <row r="299" spans="2:21" s="131" customFormat="1">
      <c r="B299" s="87" t="s">
        <v>1027</v>
      </c>
      <c r="C299" s="84" t="s">
        <v>1028</v>
      </c>
      <c r="D299" s="97" t="s">
        <v>29</v>
      </c>
      <c r="E299" s="97" t="s">
        <v>929</v>
      </c>
      <c r="F299" s="84"/>
      <c r="G299" s="97" t="s">
        <v>931</v>
      </c>
      <c r="H299" s="84" t="s">
        <v>932</v>
      </c>
      <c r="I299" s="84" t="s">
        <v>933</v>
      </c>
      <c r="J299" s="84"/>
      <c r="K299" s="94">
        <v>3.6099999999960204</v>
      </c>
      <c r="L299" s="97" t="s">
        <v>164</v>
      </c>
      <c r="M299" s="98">
        <v>5.8749999999999997E-2</v>
      </c>
      <c r="N299" s="98">
        <v>2.8099999999978295E-2</v>
      </c>
      <c r="O299" s="94">
        <v>28517.067199999998</v>
      </c>
      <c r="P299" s="96">
        <v>111.32380000000001</v>
      </c>
      <c r="Q299" s="84"/>
      <c r="R299" s="94">
        <v>110.54059000399997</v>
      </c>
      <c r="S299" s="95">
        <v>1.584281511111111E-5</v>
      </c>
      <c r="T299" s="95">
        <f t="shared" si="7"/>
        <v>1.5875492764185384E-3</v>
      </c>
      <c r="U299" s="95">
        <f>R299/'סכום נכסי הקרן'!$C$42</f>
        <v>4.6275006524280291E-4</v>
      </c>
    </row>
    <row r="300" spans="2:21" s="131" customFormat="1">
      <c r="B300" s="87" t="s">
        <v>1029</v>
      </c>
      <c r="C300" s="84" t="s">
        <v>1030</v>
      </c>
      <c r="D300" s="97" t="s">
        <v>29</v>
      </c>
      <c r="E300" s="97" t="s">
        <v>929</v>
      </c>
      <c r="F300" s="84"/>
      <c r="G300" s="97" t="s">
        <v>931</v>
      </c>
      <c r="H300" s="84" t="s">
        <v>932</v>
      </c>
      <c r="I300" s="84" t="s">
        <v>938</v>
      </c>
      <c r="J300" s="84"/>
      <c r="K300" s="94">
        <v>7.4400000000124606</v>
      </c>
      <c r="L300" s="97" t="s">
        <v>164</v>
      </c>
      <c r="M300" s="98">
        <v>5.2499999999999998E-2</v>
      </c>
      <c r="N300" s="98">
        <v>3.5600000000051722E-2</v>
      </c>
      <c r="O300" s="94">
        <v>42352.08</v>
      </c>
      <c r="P300" s="96">
        <v>115.37730000000001</v>
      </c>
      <c r="Q300" s="84"/>
      <c r="R300" s="94">
        <v>170.14676430199998</v>
      </c>
      <c r="S300" s="95">
        <v>2.8234720000000001E-5</v>
      </c>
      <c r="T300" s="95">
        <f t="shared" si="7"/>
        <v>2.4435944528866851E-3</v>
      </c>
      <c r="U300" s="95">
        <f>R300/'סכום נכסי הקרן'!$C$42</f>
        <v>7.1227615375269143E-4</v>
      </c>
    </row>
    <row r="301" spans="2:21" s="131" customFormat="1">
      <c r="B301" s="87" t="s">
        <v>1031</v>
      </c>
      <c r="C301" s="84" t="s">
        <v>1032</v>
      </c>
      <c r="D301" s="97" t="s">
        <v>29</v>
      </c>
      <c r="E301" s="97" t="s">
        <v>929</v>
      </c>
      <c r="F301" s="84"/>
      <c r="G301" s="97" t="s">
        <v>965</v>
      </c>
      <c r="H301" s="84" t="s">
        <v>1033</v>
      </c>
      <c r="I301" s="84" t="s">
        <v>962</v>
      </c>
      <c r="J301" s="84"/>
      <c r="K301" s="94">
        <v>2.1400000000081119</v>
      </c>
      <c r="L301" s="97" t="s">
        <v>164</v>
      </c>
      <c r="M301" s="98">
        <v>5.5960000000000003E-2</v>
      </c>
      <c r="N301" s="98">
        <v>3.1900000000115558E-2</v>
      </c>
      <c r="O301" s="94">
        <v>35293.399999999994</v>
      </c>
      <c r="P301" s="96">
        <v>106.3292</v>
      </c>
      <c r="Q301" s="84"/>
      <c r="R301" s="94">
        <v>130.66966147099998</v>
      </c>
      <c r="S301" s="95">
        <v>2.5209571428571425E-5</v>
      </c>
      <c r="T301" s="95">
        <f t="shared" si="7"/>
        <v>1.8766366862220918E-3</v>
      </c>
      <c r="U301" s="95">
        <f>R301/'סכום נכסי הקרן'!$C$42</f>
        <v>5.4701530332678858E-4</v>
      </c>
    </row>
    <row r="302" spans="2:21" s="131" customFormat="1">
      <c r="B302" s="87" t="s">
        <v>1034</v>
      </c>
      <c r="C302" s="84" t="s">
        <v>1035</v>
      </c>
      <c r="D302" s="97" t="s">
        <v>29</v>
      </c>
      <c r="E302" s="97" t="s">
        <v>929</v>
      </c>
      <c r="F302" s="84"/>
      <c r="G302" s="97" t="s">
        <v>1036</v>
      </c>
      <c r="H302" s="84" t="s">
        <v>1033</v>
      </c>
      <c r="I302" s="84" t="s">
        <v>962</v>
      </c>
      <c r="J302" s="84"/>
      <c r="K302" s="94">
        <v>5.3599999999899053</v>
      </c>
      <c r="L302" s="97" t="s">
        <v>164</v>
      </c>
      <c r="M302" s="98">
        <v>5.2499999999999998E-2</v>
      </c>
      <c r="N302" s="98">
        <v>3.7699999999954339E-2</v>
      </c>
      <c r="O302" s="94">
        <v>22093.668399999995</v>
      </c>
      <c r="P302" s="96">
        <v>108.1665</v>
      </c>
      <c r="Q302" s="84"/>
      <c r="R302" s="94">
        <v>83.212654393999983</v>
      </c>
      <c r="S302" s="95">
        <v>1.7674934719999996E-5</v>
      </c>
      <c r="T302" s="95">
        <f t="shared" si="7"/>
        <v>1.1950740381183086E-3</v>
      </c>
      <c r="U302" s="95">
        <f>R302/'סכום נכסי הקרן'!$C$42</f>
        <v>3.4834861337773679E-4</v>
      </c>
    </row>
    <row r="303" spans="2:21" s="131" customFormat="1">
      <c r="B303" s="87" t="s">
        <v>1037</v>
      </c>
      <c r="C303" s="84" t="s">
        <v>1038</v>
      </c>
      <c r="D303" s="97" t="s">
        <v>29</v>
      </c>
      <c r="E303" s="97" t="s">
        <v>929</v>
      </c>
      <c r="F303" s="84"/>
      <c r="G303" s="97" t="s">
        <v>965</v>
      </c>
      <c r="H303" s="84" t="s">
        <v>932</v>
      </c>
      <c r="I303" s="84" t="s">
        <v>933</v>
      </c>
      <c r="J303" s="84"/>
      <c r="K303" s="94">
        <v>0.29000000000058823</v>
      </c>
      <c r="L303" s="97" t="s">
        <v>164</v>
      </c>
      <c r="M303" s="98">
        <v>5.2499999999999998E-2</v>
      </c>
      <c r="N303" s="98">
        <v>2.659999999999085E-2</v>
      </c>
      <c r="O303" s="94">
        <v>42071.144536</v>
      </c>
      <c r="P303" s="96">
        <v>104.4393</v>
      </c>
      <c r="Q303" s="84"/>
      <c r="R303" s="94">
        <v>152.99498127899997</v>
      </c>
      <c r="S303" s="95">
        <v>6.4724837747692302E-5</v>
      </c>
      <c r="T303" s="95">
        <f t="shared" si="7"/>
        <v>2.1972659257233494E-3</v>
      </c>
      <c r="U303" s="95">
        <f>R303/'סכום נכסי הקרן'!$C$42</f>
        <v>6.4047457649825076E-4</v>
      </c>
    </row>
    <row r="304" spans="2:21" s="131" customFormat="1">
      <c r="B304" s="87" t="s">
        <v>1039</v>
      </c>
      <c r="C304" s="84" t="s">
        <v>1040</v>
      </c>
      <c r="D304" s="97" t="s">
        <v>29</v>
      </c>
      <c r="E304" s="97" t="s">
        <v>929</v>
      </c>
      <c r="F304" s="84"/>
      <c r="G304" s="97" t="s">
        <v>941</v>
      </c>
      <c r="H304" s="84" t="s">
        <v>932</v>
      </c>
      <c r="I304" s="84" t="s">
        <v>933</v>
      </c>
      <c r="J304" s="84"/>
      <c r="K304" s="94">
        <v>5.0000000000164766</v>
      </c>
      <c r="L304" s="97" t="s">
        <v>164</v>
      </c>
      <c r="M304" s="98">
        <v>4.8750000000000002E-2</v>
      </c>
      <c r="N304" s="98">
        <v>3.3700000000118628E-2</v>
      </c>
      <c r="O304" s="94">
        <v>32013.937271999996</v>
      </c>
      <c r="P304" s="96">
        <v>108.8961</v>
      </c>
      <c r="Q304" s="84"/>
      <c r="R304" s="94">
        <v>121.38926518799998</v>
      </c>
      <c r="S304" s="95">
        <v>4.2685249695999996E-5</v>
      </c>
      <c r="T304" s="95">
        <f t="shared" si="7"/>
        <v>1.7433545461193402E-3</v>
      </c>
      <c r="U304" s="95">
        <f>R304/'סכום נכסי הקרן'!$C$42</f>
        <v>5.0816528465688713E-4</v>
      </c>
    </row>
    <row r="305" spans="2:21" s="131" customFormat="1">
      <c r="B305" s="87" t="s">
        <v>1041</v>
      </c>
      <c r="C305" s="84" t="s">
        <v>1042</v>
      </c>
      <c r="D305" s="97" t="s">
        <v>29</v>
      </c>
      <c r="E305" s="97" t="s">
        <v>929</v>
      </c>
      <c r="F305" s="84"/>
      <c r="G305" s="97" t="s">
        <v>1043</v>
      </c>
      <c r="H305" s="84" t="s">
        <v>1033</v>
      </c>
      <c r="I305" s="84" t="s">
        <v>962</v>
      </c>
      <c r="J305" s="84"/>
      <c r="K305" s="94">
        <v>8.6099999999921177</v>
      </c>
      <c r="L305" s="97" t="s">
        <v>166</v>
      </c>
      <c r="M305" s="98">
        <v>2.8750000000000001E-2</v>
      </c>
      <c r="N305" s="98">
        <v>2.0200000000004041E-2</v>
      </c>
      <c r="O305" s="94">
        <v>36140.441599999991</v>
      </c>
      <c r="P305" s="96">
        <v>107.935</v>
      </c>
      <c r="Q305" s="84"/>
      <c r="R305" s="94">
        <v>148.42608249699995</v>
      </c>
      <c r="S305" s="95">
        <v>3.6140441599999992E-5</v>
      </c>
      <c r="T305" s="95">
        <f t="shared" si="7"/>
        <v>2.1316488347060932E-3</v>
      </c>
      <c r="U305" s="95">
        <f>R305/'סכום נכסי הקרן'!$C$42</f>
        <v>6.213480437976223E-4</v>
      </c>
    </row>
    <row r="306" spans="2:21" s="131" customFormat="1">
      <c r="B306" s="87" t="s">
        <v>1044</v>
      </c>
      <c r="C306" s="84" t="s">
        <v>1045</v>
      </c>
      <c r="D306" s="97" t="s">
        <v>29</v>
      </c>
      <c r="E306" s="97" t="s">
        <v>929</v>
      </c>
      <c r="F306" s="84"/>
      <c r="G306" s="97" t="s">
        <v>997</v>
      </c>
      <c r="H306" s="84" t="s">
        <v>932</v>
      </c>
      <c r="I306" s="84" t="s">
        <v>938</v>
      </c>
      <c r="J306" s="84"/>
      <c r="K306" s="94">
        <v>7.7000000000074786</v>
      </c>
      <c r="L306" s="97" t="s">
        <v>164</v>
      </c>
      <c r="M306" s="98">
        <v>4.5999999999999999E-2</v>
      </c>
      <c r="N306" s="98">
        <v>3.4700000000016835E-2</v>
      </c>
      <c r="O306" s="94">
        <v>55677.45610399999</v>
      </c>
      <c r="P306" s="96">
        <v>110.35080000000001</v>
      </c>
      <c r="Q306" s="84"/>
      <c r="R306" s="94">
        <v>213.93584141199997</v>
      </c>
      <c r="S306" s="95">
        <v>6.9596820129999993E-5</v>
      </c>
      <c r="T306" s="95">
        <f t="shared" si="7"/>
        <v>3.0724794414551428E-3</v>
      </c>
      <c r="U306" s="95">
        <f>R306/'סכום נכסי הקרן'!$C$42</f>
        <v>8.9558798779339427E-4</v>
      </c>
    </row>
    <row r="307" spans="2:21" s="131" customFormat="1">
      <c r="B307" s="87" t="s">
        <v>1046</v>
      </c>
      <c r="C307" s="84" t="s">
        <v>1047</v>
      </c>
      <c r="D307" s="97" t="s">
        <v>29</v>
      </c>
      <c r="E307" s="97" t="s">
        <v>929</v>
      </c>
      <c r="F307" s="84"/>
      <c r="G307" s="97" t="s">
        <v>1024</v>
      </c>
      <c r="H307" s="84" t="s">
        <v>932</v>
      </c>
      <c r="I307" s="84" t="s">
        <v>938</v>
      </c>
      <c r="J307" s="84"/>
      <c r="K307" s="94">
        <v>7.8400000000026422</v>
      </c>
      <c r="L307" s="97" t="s">
        <v>164</v>
      </c>
      <c r="M307" s="98">
        <v>4.2999999999999997E-2</v>
      </c>
      <c r="N307" s="98">
        <v>3.439999999999812E-2</v>
      </c>
      <c r="O307" s="94">
        <v>56469.439999999988</v>
      </c>
      <c r="P307" s="96">
        <v>107.8583</v>
      </c>
      <c r="Q307" s="84"/>
      <c r="R307" s="94">
        <v>212.07816294099993</v>
      </c>
      <c r="S307" s="95">
        <v>5.6469439999999988E-5</v>
      </c>
      <c r="T307" s="95">
        <f t="shared" si="7"/>
        <v>3.0458000460190618E-3</v>
      </c>
      <c r="U307" s="95">
        <f>R307/'סכום נכסי הקרן'!$C$42</f>
        <v>8.8781128935507122E-4</v>
      </c>
    </row>
    <row r="308" spans="2:21" s="131" customFormat="1">
      <c r="B308" s="87" t="s">
        <v>1048</v>
      </c>
      <c r="C308" s="84" t="s">
        <v>1049</v>
      </c>
      <c r="D308" s="97" t="s">
        <v>29</v>
      </c>
      <c r="E308" s="97" t="s">
        <v>929</v>
      </c>
      <c r="F308" s="84"/>
      <c r="G308" s="97" t="s">
        <v>1024</v>
      </c>
      <c r="H308" s="84" t="s">
        <v>932</v>
      </c>
      <c r="I308" s="84" t="s">
        <v>938</v>
      </c>
      <c r="J308" s="84"/>
      <c r="K308" s="94">
        <v>7.1800000000921713</v>
      </c>
      <c r="L308" s="97" t="s">
        <v>164</v>
      </c>
      <c r="M308" s="98">
        <v>5.5500000000000001E-2</v>
      </c>
      <c r="N308" s="98">
        <v>3.4600000000353438E-2</v>
      </c>
      <c r="O308" s="94">
        <v>7058.6799999999985</v>
      </c>
      <c r="P308" s="96">
        <v>117.41759999999999</v>
      </c>
      <c r="Q308" s="84"/>
      <c r="R308" s="94">
        <v>28.859273812999994</v>
      </c>
      <c r="S308" s="95">
        <v>1.4117359999999997E-5</v>
      </c>
      <c r="T308" s="95">
        <f t="shared" si="7"/>
        <v>4.1446783718211342E-4</v>
      </c>
      <c r="U308" s="95">
        <f>R308/'סכום נכסי הקרן'!$C$42</f>
        <v>1.2081200977254072E-4</v>
      </c>
    </row>
    <row r="309" spans="2:21" s="131" customFormat="1">
      <c r="B309" s="87" t="s">
        <v>1050</v>
      </c>
      <c r="C309" s="84" t="s">
        <v>1051</v>
      </c>
      <c r="D309" s="97" t="s">
        <v>29</v>
      </c>
      <c r="E309" s="97" t="s">
        <v>929</v>
      </c>
      <c r="F309" s="84"/>
      <c r="G309" s="97" t="s">
        <v>1024</v>
      </c>
      <c r="H309" s="84" t="s">
        <v>932</v>
      </c>
      <c r="I309" s="84" t="s">
        <v>938</v>
      </c>
      <c r="J309" s="84"/>
      <c r="K309" s="94">
        <v>3.9600000000074953</v>
      </c>
      <c r="L309" s="97" t="s">
        <v>164</v>
      </c>
      <c r="M309" s="98">
        <v>4.8750000000000002E-2</v>
      </c>
      <c r="N309" s="98">
        <v>2.8099999999954505E-2</v>
      </c>
      <c r="O309" s="94">
        <v>9882.1519999999982</v>
      </c>
      <c r="P309" s="96">
        <v>108.57470000000001</v>
      </c>
      <c r="Q309" s="84"/>
      <c r="R309" s="94">
        <v>37.360180656999987</v>
      </c>
      <c r="S309" s="95">
        <v>9.8821519999999987E-6</v>
      </c>
      <c r="T309" s="95">
        <f t="shared" si="7"/>
        <v>5.3655519449226753E-4</v>
      </c>
      <c r="U309" s="95">
        <f>R309/'סכום נכסי הקרן'!$C$42</f>
        <v>1.5639889416081511E-4</v>
      </c>
    </row>
    <row r="310" spans="2:21" s="131" customFormat="1">
      <c r="B310" s="87" t="s">
        <v>1052</v>
      </c>
      <c r="C310" s="84" t="s">
        <v>1053</v>
      </c>
      <c r="D310" s="97" t="s">
        <v>29</v>
      </c>
      <c r="E310" s="97" t="s">
        <v>929</v>
      </c>
      <c r="F310" s="84"/>
      <c r="G310" s="97" t="s">
        <v>960</v>
      </c>
      <c r="H310" s="84" t="s">
        <v>932</v>
      </c>
      <c r="I310" s="84" t="s">
        <v>938</v>
      </c>
      <c r="J310" s="84"/>
      <c r="K310" s="94">
        <v>2.7900000000015548</v>
      </c>
      <c r="L310" s="97" t="s">
        <v>164</v>
      </c>
      <c r="M310" s="98">
        <v>4.7500000000000001E-2</v>
      </c>
      <c r="N310" s="98">
        <v>4.4300000000013544E-2</v>
      </c>
      <c r="O310" s="94">
        <v>56887.313855999993</v>
      </c>
      <c r="P310" s="96">
        <v>100.6557</v>
      </c>
      <c r="Q310" s="84"/>
      <c r="R310" s="94">
        <v>199.38049211099997</v>
      </c>
      <c r="S310" s="95">
        <v>6.3208126506666655E-5</v>
      </c>
      <c r="T310" s="95">
        <f t="shared" si="7"/>
        <v>2.863440080890978E-3</v>
      </c>
      <c r="U310" s="95">
        <f>R310/'סכום נכסי הקרן'!$C$42</f>
        <v>8.3465571994114371E-4</v>
      </c>
    </row>
    <row r="311" spans="2:21" s="131" customFormat="1">
      <c r="B311" s="87" t="s">
        <v>1054</v>
      </c>
      <c r="C311" s="84" t="s">
        <v>1055</v>
      </c>
      <c r="D311" s="97" t="s">
        <v>29</v>
      </c>
      <c r="E311" s="97" t="s">
        <v>929</v>
      </c>
      <c r="F311" s="84"/>
      <c r="G311" s="97" t="s">
        <v>941</v>
      </c>
      <c r="H311" s="84" t="s">
        <v>932</v>
      </c>
      <c r="I311" s="84" t="s">
        <v>933</v>
      </c>
      <c r="J311" s="84"/>
      <c r="K311" s="94">
        <v>6.3899999999572605</v>
      </c>
      <c r="L311" s="97" t="s">
        <v>164</v>
      </c>
      <c r="M311" s="98">
        <v>4.2999999999999997E-2</v>
      </c>
      <c r="N311" s="98">
        <v>3.6499999999784066E-2</v>
      </c>
      <c r="O311" s="94">
        <v>18493.741599999998</v>
      </c>
      <c r="P311" s="96">
        <v>104.2807</v>
      </c>
      <c r="Q311" s="84"/>
      <c r="R311" s="94">
        <v>67.151788233000005</v>
      </c>
      <c r="S311" s="95">
        <v>1.4794993279999997E-5</v>
      </c>
      <c r="T311" s="95">
        <f t="shared" si="7"/>
        <v>9.6441291670012303E-4</v>
      </c>
      <c r="U311" s="95">
        <f>R311/'סכום נכסי הקרן'!$C$42</f>
        <v>2.8111388210310068E-4</v>
      </c>
    </row>
    <row r="312" spans="2:21" s="131" customFormat="1">
      <c r="B312" s="87" t="s">
        <v>1056</v>
      </c>
      <c r="C312" s="84" t="s">
        <v>1057</v>
      </c>
      <c r="D312" s="97" t="s">
        <v>29</v>
      </c>
      <c r="E312" s="97" t="s">
        <v>929</v>
      </c>
      <c r="F312" s="84"/>
      <c r="G312" s="97" t="s">
        <v>941</v>
      </c>
      <c r="H312" s="84" t="s">
        <v>1033</v>
      </c>
      <c r="I312" s="84" t="s">
        <v>962</v>
      </c>
      <c r="J312" s="84"/>
      <c r="K312" s="94">
        <v>3.8800000000110662</v>
      </c>
      <c r="L312" s="97" t="s">
        <v>164</v>
      </c>
      <c r="M312" s="98">
        <v>6.25E-2</v>
      </c>
      <c r="N312" s="98">
        <v>4.4100000000181799E-2</v>
      </c>
      <c r="O312" s="94">
        <v>26258.289599999996</v>
      </c>
      <c r="P312" s="96">
        <v>110.6917</v>
      </c>
      <c r="Q312" s="84"/>
      <c r="R312" s="94">
        <v>101.20695187599999</v>
      </c>
      <c r="S312" s="95">
        <v>5.251657919999999E-5</v>
      </c>
      <c r="T312" s="95">
        <f t="shared" si="7"/>
        <v>1.4535024936401702E-3</v>
      </c>
      <c r="U312" s="95">
        <f>R312/'סכום נכסי הקרן'!$C$42</f>
        <v>4.2367716313029916E-4</v>
      </c>
    </row>
    <row r="313" spans="2:21" s="131" customFormat="1">
      <c r="B313" s="87" t="s">
        <v>1058</v>
      </c>
      <c r="C313" s="84" t="s">
        <v>1059</v>
      </c>
      <c r="D313" s="97" t="s">
        <v>29</v>
      </c>
      <c r="E313" s="97" t="s">
        <v>929</v>
      </c>
      <c r="F313" s="84"/>
      <c r="G313" s="128" t="s">
        <v>1019</v>
      </c>
      <c r="H313" s="84" t="s">
        <v>932</v>
      </c>
      <c r="I313" s="84" t="s">
        <v>938</v>
      </c>
      <c r="J313" s="84"/>
      <c r="K313" s="94">
        <v>8.4399999999776707</v>
      </c>
      <c r="L313" s="97" t="s">
        <v>164</v>
      </c>
      <c r="M313" s="98">
        <v>3.7999999999999999E-2</v>
      </c>
      <c r="N313" s="98">
        <v>3.9499999999839761E-2</v>
      </c>
      <c r="O313" s="94">
        <v>28234.719999999994</v>
      </c>
      <c r="P313" s="96">
        <v>98.393000000000001</v>
      </c>
      <c r="Q313" s="84"/>
      <c r="R313" s="94">
        <v>96.733400388999982</v>
      </c>
      <c r="S313" s="95">
        <v>7.058679999999998E-5</v>
      </c>
      <c r="T313" s="95">
        <f t="shared" si="7"/>
        <v>1.3892547505627091E-3</v>
      </c>
      <c r="U313" s="95">
        <f>R313/'סכום נכסי הקרן'!$C$42</f>
        <v>4.0494977762963027E-4</v>
      </c>
    </row>
    <row r="314" spans="2:21" s="131" customFormat="1">
      <c r="B314" s="87" t="s">
        <v>1060</v>
      </c>
      <c r="C314" s="84" t="s">
        <v>1061</v>
      </c>
      <c r="D314" s="97" t="s">
        <v>29</v>
      </c>
      <c r="E314" s="97" t="s">
        <v>929</v>
      </c>
      <c r="F314" s="84"/>
      <c r="G314" s="97" t="s">
        <v>960</v>
      </c>
      <c r="H314" s="84" t="s">
        <v>932</v>
      </c>
      <c r="I314" s="84" t="s">
        <v>933</v>
      </c>
      <c r="J314" s="84"/>
      <c r="K314" s="94">
        <v>6.2399999999986848</v>
      </c>
      <c r="L314" s="97" t="s">
        <v>164</v>
      </c>
      <c r="M314" s="98">
        <v>5.2999999999999999E-2</v>
      </c>
      <c r="N314" s="98">
        <v>5.2699999999976967E-2</v>
      </c>
      <c r="O314" s="94">
        <v>43693.229200000002</v>
      </c>
      <c r="P314" s="96">
        <v>99.892799999999994</v>
      </c>
      <c r="Q314" s="84"/>
      <c r="R314" s="94">
        <v>151.97678090499997</v>
      </c>
      <c r="S314" s="95">
        <v>2.9128819466666666E-5</v>
      </c>
      <c r="T314" s="95">
        <f t="shared" si="7"/>
        <v>2.1826428513672756E-3</v>
      </c>
      <c r="U314" s="95">
        <f>R314/'סכום נכסי הקרן'!$C$42</f>
        <v>6.3621213960080253E-4</v>
      </c>
    </row>
    <row r="315" spans="2:21" s="131" customFormat="1">
      <c r="B315" s="87" t="s">
        <v>1062</v>
      </c>
      <c r="C315" s="84" t="s">
        <v>1063</v>
      </c>
      <c r="D315" s="97" t="s">
        <v>29</v>
      </c>
      <c r="E315" s="97" t="s">
        <v>929</v>
      </c>
      <c r="F315" s="84"/>
      <c r="G315" s="97" t="s">
        <v>960</v>
      </c>
      <c r="H315" s="84" t="s">
        <v>932</v>
      </c>
      <c r="I315" s="84" t="s">
        <v>933</v>
      </c>
      <c r="J315" s="84"/>
      <c r="K315" s="94">
        <v>5.7499999999726574</v>
      </c>
      <c r="L315" s="97" t="s">
        <v>164</v>
      </c>
      <c r="M315" s="98">
        <v>5.8749999999999997E-2</v>
      </c>
      <c r="N315" s="98">
        <v>4.8299999999825011E-2</v>
      </c>
      <c r="O315" s="94">
        <v>9882.1519999999982</v>
      </c>
      <c r="P315" s="96">
        <v>106.28440000000001</v>
      </c>
      <c r="Q315" s="84"/>
      <c r="R315" s="94">
        <v>36.572084907999987</v>
      </c>
      <c r="S315" s="95">
        <v>8.2351266666666659E-6</v>
      </c>
      <c r="T315" s="95">
        <f t="shared" si="7"/>
        <v>5.2523681057529904E-4</v>
      </c>
      <c r="U315" s="95">
        <f>R315/'סכום נכסי הקרן'!$C$42</f>
        <v>1.530997317512954E-4</v>
      </c>
    </row>
    <row r="316" spans="2:21" s="131" customFormat="1">
      <c r="B316" s="87" t="s">
        <v>1064</v>
      </c>
      <c r="C316" s="84" t="s">
        <v>1065</v>
      </c>
      <c r="D316" s="97" t="s">
        <v>29</v>
      </c>
      <c r="E316" s="97" t="s">
        <v>929</v>
      </c>
      <c r="F316" s="84"/>
      <c r="G316" s="97" t="s">
        <v>965</v>
      </c>
      <c r="H316" s="84" t="s">
        <v>932</v>
      </c>
      <c r="I316" s="84" t="s">
        <v>938</v>
      </c>
      <c r="J316" s="84"/>
      <c r="K316" s="94">
        <v>7.3800000000039736</v>
      </c>
      <c r="L316" s="97" t="s">
        <v>166</v>
      </c>
      <c r="M316" s="98">
        <v>4.6249999999999999E-2</v>
      </c>
      <c r="N316" s="98">
        <v>3.1500000000033113E-2</v>
      </c>
      <c r="O316" s="94">
        <v>31905.233599999992</v>
      </c>
      <c r="P316" s="96">
        <v>111.95650000000001</v>
      </c>
      <c r="Q316" s="84"/>
      <c r="R316" s="94">
        <v>135.91450821699996</v>
      </c>
      <c r="S316" s="95">
        <v>2.1270155733333328E-5</v>
      </c>
      <c r="T316" s="95">
        <f t="shared" si="7"/>
        <v>1.9519615298495513E-3</v>
      </c>
      <c r="U316" s="95">
        <f>R316/'סכום נכסי הקרן'!$C$42</f>
        <v>5.6897152025861574E-4</v>
      </c>
    </row>
    <row r="317" spans="2:21" s="131" customFormat="1">
      <c r="B317" s="87" t="s">
        <v>1066</v>
      </c>
      <c r="C317" s="84" t="s">
        <v>1067</v>
      </c>
      <c r="D317" s="97" t="s">
        <v>29</v>
      </c>
      <c r="E317" s="97" t="s">
        <v>929</v>
      </c>
      <c r="F317" s="84"/>
      <c r="G317" s="97" t="s">
        <v>951</v>
      </c>
      <c r="H317" s="84" t="s">
        <v>1068</v>
      </c>
      <c r="I317" s="84" t="s">
        <v>938</v>
      </c>
      <c r="J317" s="84"/>
      <c r="K317" s="94">
        <v>7.7299999999512776</v>
      </c>
      <c r="L317" s="97" t="s">
        <v>166</v>
      </c>
      <c r="M317" s="98">
        <v>5.6250000000000001E-2</v>
      </c>
      <c r="N317" s="98">
        <v>4.3899999999792563E-2</v>
      </c>
      <c r="O317" s="94">
        <v>14540.880799999999</v>
      </c>
      <c r="P317" s="96">
        <v>112.401</v>
      </c>
      <c r="Q317" s="84"/>
      <c r="R317" s="94">
        <v>62.189283110999988</v>
      </c>
      <c r="S317" s="95">
        <v>2.90817616E-5</v>
      </c>
      <c r="T317" s="95">
        <f t="shared" si="7"/>
        <v>8.931429749043597E-4</v>
      </c>
      <c r="U317" s="95">
        <f>R317/'סכום נכסי הקרן'!$C$42</f>
        <v>2.6033961656959708E-4</v>
      </c>
    </row>
    <row r="318" spans="2:21" s="131" customFormat="1">
      <c r="B318" s="87" t="s">
        <v>1069</v>
      </c>
      <c r="C318" s="84" t="s">
        <v>1070</v>
      </c>
      <c r="D318" s="97" t="s">
        <v>29</v>
      </c>
      <c r="E318" s="97" t="s">
        <v>929</v>
      </c>
      <c r="F318" s="84"/>
      <c r="G318" s="97" t="s">
        <v>941</v>
      </c>
      <c r="H318" s="84" t="s">
        <v>1071</v>
      </c>
      <c r="I318" s="84" t="s">
        <v>962</v>
      </c>
      <c r="J318" s="84"/>
      <c r="K318" s="94">
        <v>6.8199999999685081</v>
      </c>
      <c r="L318" s="97" t="s">
        <v>164</v>
      </c>
      <c r="M318" s="98">
        <v>7.0000000000000007E-2</v>
      </c>
      <c r="N318" s="98">
        <v>5.549999999987569E-2</v>
      </c>
      <c r="O318" s="94">
        <v>15670.269599999998</v>
      </c>
      <c r="P318" s="96">
        <v>110.57259999999999</v>
      </c>
      <c r="Q318" s="84"/>
      <c r="R318" s="94">
        <v>60.332675144999996</v>
      </c>
      <c r="S318" s="95">
        <v>2.0893692799999997E-5</v>
      </c>
      <c r="T318" s="95">
        <f t="shared" si="7"/>
        <v>8.6647895372526592E-4</v>
      </c>
      <c r="U318" s="95">
        <f>R318/'סכום נכסי הקרן'!$C$42</f>
        <v>2.5256739952818526E-4</v>
      </c>
    </row>
    <row r="319" spans="2:21" s="131" customFormat="1">
      <c r="B319" s="87" t="s">
        <v>1072</v>
      </c>
      <c r="C319" s="84" t="s">
        <v>1073</v>
      </c>
      <c r="D319" s="97" t="s">
        <v>29</v>
      </c>
      <c r="E319" s="97" t="s">
        <v>929</v>
      </c>
      <c r="F319" s="84"/>
      <c r="G319" s="97" t="s">
        <v>931</v>
      </c>
      <c r="H319" s="84" t="s">
        <v>1071</v>
      </c>
      <c r="I319" s="84" t="s">
        <v>962</v>
      </c>
      <c r="J319" s="84"/>
      <c r="K319" s="94">
        <v>0.44999999999999996</v>
      </c>
      <c r="L319" s="97" t="s">
        <v>164</v>
      </c>
      <c r="M319" s="98">
        <v>0.05</v>
      </c>
      <c r="N319" s="98">
        <v>2.9700000000104008E-2</v>
      </c>
      <c r="O319" s="94">
        <v>16411.430999999997</v>
      </c>
      <c r="P319" s="96">
        <v>100.9452</v>
      </c>
      <c r="Q319" s="84"/>
      <c r="R319" s="94">
        <v>57.684746219999994</v>
      </c>
      <c r="S319" s="95">
        <v>1.4933058234758869E-5</v>
      </c>
      <c r="T319" s="95">
        <f t="shared" si="7"/>
        <v>8.2845022917495039E-4</v>
      </c>
      <c r="U319" s="95">
        <f>R319/'סכום נכסי הקרן'!$C$42</f>
        <v>2.4148251855588617E-4</v>
      </c>
    </row>
    <row r="320" spans="2:21" s="131" customFormat="1">
      <c r="B320" s="87" t="s">
        <v>1074</v>
      </c>
      <c r="C320" s="84" t="s">
        <v>1075</v>
      </c>
      <c r="D320" s="97" t="s">
        <v>29</v>
      </c>
      <c r="E320" s="97" t="s">
        <v>929</v>
      </c>
      <c r="F320" s="84"/>
      <c r="G320" s="97" t="s">
        <v>1076</v>
      </c>
      <c r="H320" s="84" t="s">
        <v>1071</v>
      </c>
      <c r="I320" s="84" t="s">
        <v>962</v>
      </c>
      <c r="J320" s="84"/>
      <c r="K320" s="94">
        <v>6.7099999999935385</v>
      </c>
      <c r="L320" s="97" t="s">
        <v>164</v>
      </c>
      <c r="M320" s="98">
        <v>4.4999999999999998E-2</v>
      </c>
      <c r="N320" s="98">
        <v>3.3099999999963284E-2</v>
      </c>
      <c r="O320" s="94">
        <v>56469.439999999988</v>
      </c>
      <c r="P320" s="96">
        <v>109.407</v>
      </c>
      <c r="Q320" s="84"/>
      <c r="R320" s="94">
        <v>215.12325340899997</v>
      </c>
      <c r="S320" s="95">
        <v>7.5292586666666646E-5</v>
      </c>
      <c r="T320" s="95">
        <f t="shared" si="7"/>
        <v>3.0895326800580831E-3</v>
      </c>
      <c r="U320" s="95">
        <f>R320/'סכום נכסי הקרן'!$C$42</f>
        <v>9.005587861133775E-4</v>
      </c>
    </row>
    <row r="321" spans="2:21" s="131" customFormat="1">
      <c r="B321" s="87" t="s">
        <v>1077</v>
      </c>
      <c r="C321" s="84" t="s">
        <v>1078</v>
      </c>
      <c r="D321" s="97" t="s">
        <v>29</v>
      </c>
      <c r="E321" s="97" t="s">
        <v>929</v>
      </c>
      <c r="F321" s="84"/>
      <c r="G321" s="97" t="s">
        <v>960</v>
      </c>
      <c r="H321" s="84" t="s">
        <v>1071</v>
      </c>
      <c r="I321" s="84" t="s">
        <v>962</v>
      </c>
      <c r="J321" s="84"/>
      <c r="K321" s="94">
        <v>5.9699999999993842</v>
      </c>
      <c r="L321" s="97" t="s">
        <v>164</v>
      </c>
      <c r="M321" s="98">
        <v>0.06</v>
      </c>
      <c r="N321" s="98">
        <v>5.3300000000006155E-2</v>
      </c>
      <c r="O321" s="94">
        <v>44483.80135999999</v>
      </c>
      <c r="P321" s="96">
        <v>104.84269999999999</v>
      </c>
      <c r="Q321" s="84"/>
      <c r="R321" s="94">
        <v>162.39352842999998</v>
      </c>
      <c r="S321" s="95">
        <v>5.9311735146666654E-5</v>
      </c>
      <c r="T321" s="95">
        <f t="shared" si="7"/>
        <v>2.3322449115277103E-3</v>
      </c>
      <c r="U321" s="95">
        <f>R321/'סכום נכסי הקרן'!$C$42</f>
        <v>6.7981920372663291E-4</v>
      </c>
    </row>
    <row r="322" spans="2:21" s="131" customFormat="1">
      <c r="B322" s="87" t="s">
        <v>1079</v>
      </c>
      <c r="C322" s="84" t="s">
        <v>1080</v>
      </c>
      <c r="D322" s="97" t="s">
        <v>29</v>
      </c>
      <c r="E322" s="97" t="s">
        <v>929</v>
      </c>
      <c r="F322" s="84"/>
      <c r="G322" s="97" t="s">
        <v>1036</v>
      </c>
      <c r="H322" s="84" t="s">
        <v>1071</v>
      </c>
      <c r="I322" s="84" t="s">
        <v>962</v>
      </c>
      <c r="J322" s="84"/>
      <c r="K322" s="94">
        <v>4.0999999999763101</v>
      </c>
      <c r="L322" s="97" t="s">
        <v>164</v>
      </c>
      <c r="M322" s="98">
        <v>5.2499999999999998E-2</v>
      </c>
      <c r="N322" s="98">
        <v>3.6099999999784534E-2</v>
      </c>
      <c r="O322" s="94">
        <v>23441.876279999997</v>
      </c>
      <c r="P322" s="96">
        <v>108.6035</v>
      </c>
      <c r="Q322" s="84"/>
      <c r="R322" s="94">
        <v>88.647186830999985</v>
      </c>
      <c r="S322" s="95">
        <v>3.9069793799999997E-5</v>
      </c>
      <c r="T322" s="95">
        <f t="shared" si="7"/>
        <v>1.2731230881344179E-3</v>
      </c>
      <c r="U322" s="95">
        <f>R322/'סכום נכסי הקרן'!$C$42</f>
        <v>3.7109890121042236E-4</v>
      </c>
    </row>
    <row r="323" spans="2:21" s="131" customFormat="1">
      <c r="B323" s="87" t="s">
        <v>1081</v>
      </c>
      <c r="C323" s="84" t="s">
        <v>1082</v>
      </c>
      <c r="D323" s="97" t="s">
        <v>29</v>
      </c>
      <c r="E323" s="97" t="s">
        <v>929</v>
      </c>
      <c r="F323" s="84"/>
      <c r="G323" s="97" t="s">
        <v>1083</v>
      </c>
      <c r="H323" s="84" t="s">
        <v>1068</v>
      </c>
      <c r="I323" s="84" t="s">
        <v>938</v>
      </c>
      <c r="J323" s="84"/>
      <c r="K323" s="94">
        <v>6.8700000000196075</v>
      </c>
      <c r="L323" s="97" t="s">
        <v>164</v>
      </c>
      <c r="M323" s="98">
        <v>4.8750000000000002E-2</v>
      </c>
      <c r="N323" s="98">
        <v>4.0600000000126639E-2</v>
      </c>
      <c r="O323" s="94">
        <v>35293.399999999994</v>
      </c>
      <c r="P323" s="96">
        <v>106.6632</v>
      </c>
      <c r="Q323" s="84"/>
      <c r="R323" s="94">
        <v>131.08009218899997</v>
      </c>
      <c r="S323" s="95">
        <v>3.5293399999999997E-5</v>
      </c>
      <c r="T323" s="95">
        <f t="shared" si="7"/>
        <v>1.8825311634395306E-3</v>
      </c>
      <c r="U323" s="95">
        <f>R323/'סכום נכסי הקרן'!$C$42</f>
        <v>5.487334671390613E-4</v>
      </c>
    </row>
    <row r="324" spans="2:21" s="131" customFormat="1">
      <c r="B324" s="87" t="s">
        <v>1084</v>
      </c>
      <c r="C324" s="84" t="s">
        <v>1085</v>
      </c>
      <c r="D324" s="97" t="s">
        <v>29</v>
      </c>
      <c r="E324" s="97" t="s">
        <v>929</v>
      </c>
      <c r="F324" s="84"/>
      <c r="G324" s="97" t="s">
        <v>1036</v>
      </c>
      <c r="H324" s="84" t="s">
        <v>1068</v>
      </c>
      <c r="I324" s="84" t="s">
        <v>933</v>
      </c>
      <c r="J324" s="84"/>
      <c r="K324" s="94">
        <v>4.4799999999831943</v>
      </c>
      <c r="L324" s="97" t="s">
        <v>166</v>
      </c>
      <c r="M324" s="98">
        <v>0.03</v>
      </c>
      <c r="N324" s="98">
        <v>1.8099999999900772E-2</v>
      </c>
      <c r="O324" s="94">
        <v>27811.199199999995</v>
      </c>
      <c r="P324" s="96">
        <v>105.7111</v>
      </c>
      <c r="Q324" s="84"/>
      <c r="R324" s="94">
        <v>111.86520673099999</v>
      </c>
      <c r="S324" s="95">
        <v>5.5622398399999992E-5</v>
      </c>
      <c r="T324" s="95">
        <f t="shared" si="7"/>
        <v>1.6065730063118263E-3</v>
      </c>
      <c r="U324" s="95">
        <f>R324/'סכום נכסי הקרן'!$C$42</f>
        <v>4.6829523626838536E-4</v>
      </c>
    </row>
    <row r="325" spans="2:21" s="131" customFormat="1">
      <c r="B325" s="87" t="s">
        <v>1086</v>
      </c>
      <c r="C325" s="84" t="s">
        <v>1087</v>
      </c>
      <c r="D325" s="97" t="s">
        <v>29</v>
      </c>
      <c r="E325" s="97" t="s">
        <v>929</v>
      </c>
      <c r="F325" s="84"/>
      <c r="G325" s="97" t="s">
        <v>1088</v>
      </c>
      <c r="H325" s="84" t="s">
        <v>1068</v>
      </c>
      <c r="I325" s="84" t="s">
        <v>933</v>
      </c>
      <c r="J325" s="84"/>
      <c r="K325" s="94">
        <v>1.9599999999992193</v>
      </c>
      <c r="L325" s="97" t="s">
        <v>164</v>
      </c>
      <c r="M325" s="98">
        <v>4.1250000000000002E-2</v>
      </c>
      <c r="N325" s="98">
        <v>2.7500000000048784E-2</v>
      </c>
      <c r="O325" s="94">
        <v>28481.773799999995</v>
      </c>
      <c r="P325" s="96">
        <v>103.33880000000001</v>
      </c>
      <c r="Q325" s="84"/>
      <c r="R325" s="94">
        <v>102.48477549799999</v>
      </c>
      <c r="S325" s="95">
        <v>4.7469622999999993E-5</v>
      </c>
      <c r="T325" s="95">
        <f t="shared" si="7"/>
        <v>1.4718541956387139E-3</v>
      </c>
      <c r="U325" s="95">
        <f>R325/'סכום נכסי הקרן'!$C$42</f>
        <v>4.2902644672312149E-4</v>
      </c>
    </row>
    <row r="326" spans="2:21" s="131" customFormat="1">
      <c r="B326" s="87" t="s">
        <v>1089</v>
      </c>
      <c r="C326" s="84" t="s">
        <v>1090</v>
      </c>
      <c r="D326" s="97" t="s">
        <v>29</v>
      </c>
      <c r="E326" s="97" t="s">
        <v>929</v>
      </c>
      <c r="F326" s="84"/>
      <c r="G326" s="97" t="s">
        <v>931</v>
      </c>
      <c r="H326" s="84" t="s">
        <v>1068</v>
      </c>
      <c r="I326" s="84" t="s">
        <v>938</v>
      </c>
      <c r="J326" s="84"/>
      <c r="K326" s="94">
        <v>2.2000000000016877</v>
      </c>
      <c r="L326" s="97" t="s">
        <v>164</v>
      </c>
      <c r="M326" s="98">
        <v>4.8750000000000002E-2</v>
      </c>
      <c r="N326" s="98">
        <v>3.1399999999994946E-2</v>
      </c>
      <c r="O326" s="94">
        <v>32611.101599999998</v>
      </c>
      <c r="P326" s="96">
        <v>104.39279999999999</v>
      </c>
      <c r="Q326" s="84"/>
      <c r="R326" s="94">
        <v>118.53990492899997</v>
      </c>
      <c r="S326" s="95">
        <v>2.8125578146103172E-5</v>
      </c>
      <c r="T326" s="95">
        <f t="shared" si="7"/>
        <v>1.7024329279402848E-3</v>
      </c>
      <c r="U326" s="95">
        <f>R326/'סכום נכסי הקרן'!$C$42</f>
        <v>4.9623716263668815E-4</v>
      </c>
    </row>
    <row r="327" spans="2:21" s="131" customFormat="1">
      <c r="B327" s="87" t="s">
        <v>1091</v>
      </c>
      <c r="C327" s="84" t="s">
        <v>1092</v>
      </c>
      <c r="D327" s="97" t="s">
        <v>29</v>
      </c>
      <c r="E327" s="97" t="s">
        <v>929</v>
      </c>
      <c r="F327" s="84"/>
      <c r="G327" s="97" t="s">
        <v>931</v>
      </c>
      <c r="H327" s="84" t="s">
        <v>1068</v>
      </c>
      <c r="I327" s="84" t="s">
        <v>938</v>
      </c>
      <c r="J327" s="84"/>
      <c r="K327" s="94">
        <v>5.8500000000215158</v>
      </c>
      <c r="L327" s="97" t="s">
        <v>164</v>
      </c>
      <c r="M327" s="98">
        <v>6.4899999999999999E-2</v>
      </c>
      <c r="N327" s="98">
        <v>5.7800000000133009E-2</v>
      </c>
      <c r="O327" s="94">
        <v>7058.6799999999985</v>
      </c>
      <c r="P327" s="96">
        <v>104.00620000000001</v>
      </c>
      <c r="Q327" s="84"/>
      <c r="R327" s="94">
        <v>25.562979196999994</v>
      </c>
      <c r="S327" s="95">
        <v>3.0008434542171005E-6</v>
      </c>
      <c r="T327" s="95">
        <f t="shared" si="7"/>
        <v>3.6712748797370259E-4</v>
      </c>
      <c r="U327" s="95">
        <f>R327/'סכום נכסי הקרן'!$C$42</f>
        <v>1.0701291073970307E-4</v>
      </c>
    </row>
    <row r="328" spans="2:21" s="131" customFormat="1">
      <c r="B328" s="87" t="s">
        <v>1093</v>
      </c>
      <c r="C328" s="84" t="s">
        <v>1094</v>
      </c>
      <c r="D328" s="97" t="s">
        <v>29</v>
      </c>
      <c r="E328" s="97" t="s">
        <v>929</v>
      </c>
      <c r="F328" s="84"/>
      <c r="G328" s="97" t="s">
        <v>931</v>
      </c>
      <c r="H328" s="84" t="s">
        <v>1068</v>
      </c>
      <c r="I328" s="84" t="s">
        <v>938</v>
      </c>
      <c r="J328" s="84"/>
      <c r="K328" s="94">
        <v>4.9199999999860395</v>
      </c>
      <c r="L328" s="97" t="s">
        <v>166</v>
      </c>
      <c r="M328" s="98">
        <v>4.4999999999999998E-2</v>
      </c>
      <c r="N328" s="98">
        <v>1.5599999999950726E-2</v>
      </c>
      <c r="O328" s="94">
        <v>32732.510895999996</v>
      </c>
      <c r="P328" s="96">
        <v>117.3301</v>
      </c>
      <c r="Q328" s="84"/>
      <c r="R328" s="94">
        <v>146.131316062</v>
      </c>
      <c r="S328" s="95">
        <v>3.2732510895999996E-5</v>
      </c>
      <c r="T328" s="95">
        <f t="shared" si="7"/>
        <v>2.0986921190480541E-3</v>
      </c>
      <c r="U328" s="95">
        <f>R328/'סכום נכסי הקרן'!$C$42</f>
        <v>6.1174158776663133E-4</v>
      </c>
    </row>
    <row r="329" spans="2:21" s="131" customFormat="1">
      <c r="B329" s="87" t="s">
        <v>1095</v>
      </c>
      <c r="C329" s="84" t="s">
        <v>1096</v>
      </c>
      <c r="D329" s="97" t="s">
        <v>29</v>
      </c>
      <c r="E329" s="97" t="s">
        <v>929</v>
      </c>
      <c r="F329" s="84"/>
      <c r="G329" s="97" t="s">
        <v>1036</v>
      </c>
      <c r="H329" s="84" t="s">
        <v>1068</v>
      </c>
      <c r="I329" s="84" t="s">
        <v>933</v>
      </c>
      <c r="J329" s="84"/>
      <c r="K329" s="94">
        <v>4.0499999999729042</v>
      </c>
      <c r="L329" s="97" t="s">
        <v>166</v>
      </c>
      <c r="M329" s="98">
        <v>4.2500000000000003E-2</v>
      </c>
      <c r="N329" s="98">
        <v>1.7599999999966653E-2</v>
      </c>
      <c r="O329" s="94">
        <v>16799.6584</v>
      </c>
      <c r="P329" s="96">
        <v>112.5855</v>
      </c>
      <c r="Q329" s="84"/>
      <c r="R329" s="94">
        <v>71.967707398999991</v>
      </c>
      <c r="S329" s="95">
        <v>5.5998861333333333E-5</v>
      </c>
      <c r="T329" s="95">
        <f t="shared" ref="T329:T356" si="8">R329/$R$11</f>
        <v>1.0335776369806715E-3</v>
      </c>
      <c r="U329" s="95">
        <f>R329/'סכום נכסי הקרן'!$C$42</f>
        <v>3.0127450281436987E-4</v>
      </c>
    </row>
    <row r="330" spans="2:21" s="131" customFormat="1">
      <c r="B330" s="87" t="s">
        <v>1097</v>
      </c>
      <c r="C330" s="84" t="s">
        <v>1098</v>
      </c>
      <c r="D330" s="97" t="s">
        <v>29</v>
      </c>
      <c r="E330" s="97" t="s">
        <v>929</v>
      </c>
      <c r="F330" s="84"/>
      <c r="G330" s="97" t="s">
        <v>1036</v>
      </c>
      <c r="H330" s="84" t="s">
        <v>1071</v>
      </c>
      <c r="I330" s="84" t="s">
        <v>962</v>
      </c>
      <c r="J330" s="84"/>
      <c r="K330" s="94">
        <v>3.0700000000124872</v>
      </c>
      <c r="L330" s="97" t="s">
        <v>166</v>
      </c>
      <c r="M330" s="98">
        <v>3.7499999999999999E-2</v>
      </c>
      <c r="N330" s="98">
        <v>1.1100000000034051E-2</v>
      </c>
      <c r="O330" s="94">
        <v>20893.692799999997</v>
      </c>
      <c r="P330" s="96">
        <v>110.8103</v>
      </c>
      <c r="Q330" s="84"/>
      <c r="R330" s="94">
        <v>88.094766669999984</v>
      </c>
      <c r="S330" s="95">
        <v>2.7858257066666663E-5</v>
      </c>
      <c r="T330" s="95">
        <f t="shared" si="8"/>
        <v>1.265189403079518E-3</v>
      </c>
      <c r="U330" s="95">
        <f>R330/'סכום נכסי הקרן'!$C$42</f>
        <v>3.6878633470851624E-4</v>
      </c>
    </row>
    <row r="331" spans="2:21" s="131" customFormat="1">
      <c r="B331" s="87" t="s">
        <v>1099</v>
      </c>
      <c r="C331" s="84" t="s">
        <v>1100</v>
      </c>
      <c r="D331" s="97" t="s">
        <v>29</v>
      </c>
      <c r="E331" s="97" t="s">
        <v>929</v>
      </c>
      <c r="F331" s="84"/>
      <c r="G331" s="97" t="s">
        <v>1076</v>
      </c>
      <c r="H331" s="84" t="s">
        <v>1071</v>
      </c>
      <c r="I331" s="84" t="s">
        <v>962</v>
      </c>
      <c r="J331" s="84"/>
      <c r="K331" s="94">
        <v>8.0000000001471047E-2</v>
      </c>
      <c r="L331" s="97" t="s">
        <v>164</v>
      </c>
      <c r="M331" s="98">
        <v>4.6249999999999999E-2</v>
      </c>
      <c r="N331" s="98">
        <v>-4.2000000000312612E-3</v>
      </c>
      <c r="O331" s="94">
        <v>30191.386095999995</v>
      </c>
      <c r="P331" s="96">
        <v>103.46210000000001</v>
      </c>
      <c r="Q331" s="84"/>
      <c r="R331" s="94">
        <v>108.76597017299999</v>
      </c>
      <c r="S331" s="95">
        <v>4.0255181461333325E-5</v>
      </c>
      <c r="T331" s="95">
        <f t="shared" si="8"/>
        <v>1.5620627431141652E-3</v>
      </c>
      <c r="U331" s="95">
        <f>R331/'סכום נכסי הקרן'!$C$42</f>
        <v>4.5532107067576923E-4</v>
      </c>
    </row>
    <row r="332" spans="2:21" s="131" customFormat="1">
      <c r="B332" s="87" t="s">
        <v>1101</v>
      </c>
      <c r="C332" s="84" t="s">
        <v>1102</v>
      </c>
      <c r="D332" s="97" t="s">
        <v>29</v>
      </c>
      <c r="E332" s="97" t="s">
        <v>929</v>
      </c>
      <c r="F332" s="84"/>
      <c r="G332" s="97" t="s">
        <v>985</v>
      </c>
      <c r="H332" s="84" t="s">
        <v>1068</v>
      </c>
      <c r="I332" s="84" t="s">
        <v>938</v>
      </c>
      <c r="J332" s="84"/>
      <c r="K332" s="94">
        <v>4.2299999999960507</v>
      </c>
      <c r="L332" s="97" t="s">
        <v>164</v>
      </c>
      <c r="M332" s="98">
        <v>6.25E-2</v>
      </c>
      <c r="N332" s="98">
        <v>4.3999999999978362E-2</v>
      </c>
      <c r="O332" s="94">
        <v>46587.288</v>
      </c>
      <c r="P332" s="96">
        <v>113.9389</v>
      </c>
      <c r="Q332" s="84"/>
      <c r="R332" s="94">
        <v>184.82822045099996</v>
      </c>
      <c r="S332" s="95">
        <v>3.5836375384615387E-5</v>
      </c>
      <c r="T332" s="95">
        <f t="shared" si="8"/>
        <v>2.6544449204413817E-3</v>
      </c>
      <c r="U332" s="95">
        <f>R332/'סכום נכסי הקרן'!$C$42</f>
        <v>7.7373633585017484E-4</v>
      </c>
    </row>
    <row r="333" spans="2:21" s="131" customFormat="1">
      <c r="B333" s="87" t="s">
        <v>1103</v>
      </c>
      <c r="C333" s="84" t="s">
        <v>1104</v>
      </c>
      <c r="D333" s="97" t="s">
        <v>29</v>
      </c>
      <c r="E333" s="97" t="s">
        <v>929</v>
      </c>
      <c r="F333" s="84"/>
      <c r="G333" s="97" t="s">
        <v>1105</v>
      </c>
      <c r="H333" s="84" t="s">
        <v>1106</v>
      </c>
      <c r="I333" s="84" t="s">
        <v>933</v>
      </c>
      <c r="J333" s="84"/>
      <c r="K333" s="94">
        <v>6.6999999999775435</v>
      </c>
      <c r="L333" s="97" t="s">
        <v>164</v>
      </c>
      <c r="M333" s="98">
        <v>4.7500000000000001E-2</v>
      </c>
      <c r="N333" s="98">
        <v>4.4999999999839592E-2</v>
      </c>
      <c r="O333" s="94">
        <v>35293.399999999994</v>
      </c>
      <c r="P333" s="96">
        <v>101.455</v>
      </c>
      <c r="Q333" s="84"/>
      <c r="R333" s="94">
        <v>124.67969185399997</v>
      </c>
      <c r="S333" s="95">
        <v>2.6143259259259254E-5</v>
      </c>
      <c r="T333" s="95">
        <f t="shared" si="8"/>
        <v>1.7906106216706605E-3</v>
      </c>
      <c r="U333" s="95">
        <f>R333/'סכום נכסי הקרן'!$C$42</f>
        <v>5.2193981900949967E-4</v>
      </c>
    </row>
    <row r="334" spans="2:21" s="131" customFormat="1">
      <c r="B334" s="87" t="s">
        <v>1107</v>
      </c>
      <c r="C334" s="84" t="s">
        <v>1108</v>
      </c>
      <c r="D334" s="97" t="s">
        <v>29</v>
      </c>
      <c r="E334" s="97" t="s">
        <v>929</v>
      </c>
      <c r="F334" s="84"/>
      <c r="G334" s="97" t="s">
        <v>931</v>
      </c>
      <c r="H334" s="84" t="s">
        <v>1106</v>
      </c>
      <c r="I334" s="84" t="s">
        <v>933</v>
      </c>
      <c r="J334" s="84"/>
      <c r="K334" s="94">
        <v>4.1100000000008476</v>
      </c>
      <c r="L334" s="97" t="s">
        <v>164</v>
      </c>
      <c r="M334" s="98">
        <v>7.0000000000000007E-2</v>
      </c>
      <c r="N334" s="98">
        <v>3.1800000000019361E-2</v>
      </c>
      <c r="O334" s="94">
        <v>40782.229567999995</v>
      </c>
      <c r="P334" s="96">
        <v>116.358</v>
      </c>
      <c r="Q334" s="84"/>
      <c r="R334" s="94">
        <v>165.23269242599997</v>
      </c>
      <c r="S334" s="95">
        <v>3.2627610800604828E-5</v>
      </c>
      <c r="T334" s="95">
        <f t="shared" si="8"/>
        <v>2.3730200941761859E-3</v>
      </c>
      <c r="U334" s="95">
        <f>R334/'סכום נכסי הקרן'!$C$42</f>
        <v>6.9170464168509212E-4</v>
      </c>
    </row>
    <row r="335" spans="2:21" s="131" customFormat="1">
      <c r="B335" s="87" t="s">
        <v>1109</v>
      </c>
      <c r="C335" s="84" t="s">
        <v>1110</v>
      </c>
      <c r="D335" s="97" t="s">
        <v>29</v>
      </c>
      <c r="E335" s="97" t="s">
        <v>929</v>
      </c>
      <c r="F335" s="84"/>
      <c r="G335" s="97" t="s">
        <v>931</v>
      </c>
      <c r="H335" s="84" t="s">
        <v>1106</v>
      </c>
      <c r="I335" s="84" t="s">
        <v>933</v>
      </c>
      <c r="J335" s="84"/>
      <c r="K335" s="94">
        <v>6.1300000000152899</v>
      </c>
      <c r="L335" s="97" t="s">
        <v>164</v>
      </c>
      <c r="M335" s="98">
        <v>5.1249999999999997E-2</v>
      </c>
      <c r="N335" s="98">
        <v>3.6200000000120129E-2</v>
      </c>
      <c r="O335" s="94">
        <v>19058.435999999998</v>
      </c>
      <c r="P335" s="96">
        <v>110.38030000000001</v>
      </c>
      <c r="Q335" s="84"/>
      <c r="R335" s="94">
        <v>73.249961075999991</v>
      </c>
      <c r="S335" s="95">
        <v>1.2705623999999998E-5</v>
      </c>
      <c r="T335" s="95">
        <f t="shared" si="8"/>
        <v>1.0519929620393916E-3</v>
      </c>
      <c r="U335" s="95">
        <f>R335/'סכום נכסי הקרן'!$C$42</f>
        <v>3.066423317057129E-4</v>
      </c>
    </row>
    <row r="336" spans="2:21" s="131" customFormat="1">
      <c r="B336" s="87" t="s">
        <v>1111</v>
      </c>
      <c r="C336" s="84" t="s">
        <v>1112</v>
      </c>
      <c r="D336" s="97" t="s">
        <v>29</v>
      </c>
      <c r="E336" s="97" t="s">
        <v>929</v>
      </c>
      <c r="F336" s="84"/>
      <c r="G336" s="97" t="s">
        <v>931</v>
      </c>
      <c r="H336" s="84" t="s">
        <v>1106</v>
      </c>
      <c r="I336" s="84" t="s">
        <v>938</v>
      </c>
      <c r="J336" s="84"/>
      <c r="K336" s="94">
        <v>6.8099999999836367</v>
      </c>
      <c r="L336" s="97" t="s">
        <v>164</v>
      </c>
      <c r="M336" s="98">
        <v>4.4999999999999998E-2</v>
      </c>
      <c r="N336" s="98">
        <v>4.1099999999894804E-2</v>
      </c>
      <c r="O336" s="94">
        <v>38258.04559999999</v>
      </c>
      <c r="P336" s="96">
        <v>102.756</v>
      </c>
      <c r="Q336" s="84"/>
      <c r="R336" s="94">
        <v>136.88590680399997</v>
      </c>
      <c r="S336" s="95">
        <v>2.5505363733333326E-5</v>
      </c>
      <c r="T336" s="95">
        <f t="shared" si="8"/>
        <v>1.9659124516227212E-3</v>
      </c>
      <c r="U336" s="95">
        <f>R336/'סכום נכסי הקרן'!$C$42</f>
        <v>5.730380333783192E-4</v>
      </c>
    </row>
    <row r="337" spans="2:21" s="131" customFormat="1">
      <c r="B337" s="87" t="s">
        <v>1113</v>
      </c>
      <c r="C337" s="84" t="s">
        <v>1114</v>
      </c>
      <c r="D337" s="97" t="s">
        <v>29</v>
      </c>
      <c r="E337" s="97" t="s">
        <v>929</v>
      </c>
      <c r="F337" s="84"/>
      <c r="G337" s="97" t="s">
        <v>960</v>
      </c>
      <c r="H337" s="84" t="s">
        <v>1106</v>
      </c>
      <c r="I337" s="84" t="s">
        <v>933</v>
      </c>
      <c r="J337" s="84"/>
      <c r="K337" s="94">
        <v>5.3500000000060481</v>
      </c>
      <c r="L337" s="97" t="s">
        <v>167</v>
      </c>
      <c r="M337" s="98">
        <v>0.06</v>
      </c>
      <c r="N337" s="98">
        <v>4.3400000000036923E-2</v>
      </c>
      <c r="O337" s="94">
        <v>33458.143199999991</v>
      </c>
      <c r="P337" s="96">
        <v>109.7003</v>
      </c>
      <c r="Q337" s="84"/>
      <c r="R337" s="94">
        <v>157.09181296299997</v>
      </c>
      <c r="S337" s="95">
        <v>2.6766514559999994E-5</v>
      </c>
      <c r="T337" s="95">
        <f t="shared" si="8"/>
        <v>2.2561033371692935E-3</v>
      </c>
      <c r="U337" s="95">
        <f>R337/'סכום נכסי הקרן'!$C$42</f>
        <v>6.5762492035828599E-4</v>
      </c>
    </row>
    <row r="338" spans="2:21" s="131" customFormat="1">
      <c r="B338" s="87" t="s">
        <v>1115</v>
      </c>
      <c r="C338" s="84" t="s">
        <v>1116</v>
      </c>
      <c r="D338" s="97" t="s">
        <v>29</v>
      </c>
      <c r="E338" s="97" t="s">
        <v>929</v>
      </c>
      <c r="F338" s="84"/>
      <c r="G338" s="97" t="s">
        <v>960</v>
      </c>
      <c r="H338" s="84" t="s">
        <v>1106</v>
      </c>
      <c r="I338" s="84" t="s">
        <v>933</v>
      </c>
      <c r="J338" s="84"/>
      <c r="K338" s="94">
        <v>5.4499999999911912</v>
      </c>
      <c r="L338" s="97" t="s">
        <v>166</v>
      </c>
      <c r="M338" s="98">
        <v>0.05</v>
      </c>
      <c r="N338" s="98">
        <v>2.6999999999951955E-2</v>
      </c>
      <c r="O338" s="94">
        <v>14117.359999999997</v>
      </c>
      <c r="P338" s="96">
        <v>116.23439999999999</v>
      </c>
      <c r="Q338" s="84"/>
      <c r="R338" s="94">
        <v>62.437091638999988</v>
      </c>
      <c r="S338" s="95">
        <v>1.4117359999999997E-5</v>
      </c>
      <c r="T338" s="95">
        <f t="shared" si="8"/>
        <v>8.9670192324453515E-4</v>
      </c>
      <c r="U338" s="95">
        <f>R338/'סכום נכסי הקרן'!$C$42</f>
        <v>2.6137700394463799E-4</v>
      </c>
    </row>
    <row r="339" spans="2:21" s="131" customFormat="1">
      <c r="B339" s="87" t="s">
        <v>1117</v>
      </c>
      <c r="C339" s="84" t="s">
        <v>1118</v>
      </c>
      <c r="D339" s="97" t="s">
        <v>29</v>
      </c>
      <c r="E339" s="97" t="s">
        <v>929</v>
      </c>
      <c r="F339" s="84"/>
      <c r="G339" s="97" t="s">
        <v>1119</v>
      </c>
      <c r="H339" s="84" t="s">
        <v>1120</v>
      </c>
      <c r="I339" s="84" t="s">
        <v>962</v>
      </c>
      <c r="J339" s="84"/>
      <c r="K339" s="94">
        <v>7.9999999997664939E-2</v>
      </c>
      <c r="L339" s="97" t="s">
        <v>164</v>
      </c>
      <c r="M339" s="98">
        <v>5.3749999999999999E-2</v>
      </c>
      <c r="N339" s="98">
        <v>-1.1300000000035027E-2</v>
      </c>
      <c r="O339" s="94">
        <v>28234.719999999994</v>
      </c>
      <c r="P339" s="96">
        <v>104.5436</v>
      </c>
      <c r="Q339" s="84"/>
      <c r="R339" s="94">
        <v>102.78022792799997</v>
      </c>
      <c r="S339" s="95">
        <v>2.8234719999999994E-5</v>
      </c>
      <c r="T339" s="95">
        <f t="shared" si="8"/>
        <v>1.476097390753247E-3</v>
      </c>
      <c r="U339" s="95">
        <f>R339/'סכום נכסי הקרן'!$C$42</f>
        <v>4.3026328317617181E-4</v>
      </c>
    </row>
    <row r="340" spans="2:21" s="131" customFormat="1">
      <c r="B340" s="87" t="s">
        <v>1121</v>
      </c>
      <c r="C340" s="84" t="s">
        <v>1122</v>
      </c>
      <c r="D340" s="97" t="s">
        <v>29</v>
      </c>
      <c r="E340" s="97" t="s">
        <v>929</v>
      </c>
      <c r="F340" s="84"/>
      <c r="G340" s="97" t="s">
        <v>941</v>
      </c>
      <c r="H340" s="84" t="s">
        <v>1106</v>
      </c>
      <c r="I340" s="84" t="s">
        <v>933</v>
      </c>
      <c r="J340" s="84"/>
      <c r="K340" s="94">
        <v>3.7900000000093779</v>
      </c>
      <c r="L340" s="97" t="s">
        <v>164</v>
      </c>
      <c r="M340" s="98">
        <v>7.0000000000000007E-2</v>
      </c>
      <c r="N340" s="98">
        <v>5.3100000000165612E-2</v>
      </c>
      <c r="O340" s="94">
        <v>26822.983999999993</v>
      </c>
      <c r="P340" s="96">
        <v>107.3237</v>
      </c>
      <c r="Q340" s="84"/>
      <c r="R340" s="94">
        <v>100.23776141399998</v>
      </c>
      <c r="S340" s="95">
        <v>1.0729193599999998E-5</v>
      </c>
      <c r="T340" s="95">
        <f t="shared" si="8"/>
        <v>1.4395832842655487E-3</v>
      </c>
      <c r="U340" s="95">
        <f>R340/'סכום נכסי הקרן'!$C$42</f>
        <v>4.1961989376429541E-4</v>
      </c>
    </row>
    <row r="341" spans="2:21" s="131" customFormat="1">
      <c r="B341" s="87" t="s">
        <v>1123</v>
      </c>
      <c r="C341" s="84" t="s">
        <v>1124</v>
      </c>
      <c r="D341" s="97" t="s">
        <v>29</v>
      </c>
      <c r="E341" s="97" t="s">
        <v>929</v>
      </c>
      <c r="F341" s="84"/>
      <c r="G341" s="97" t="s">
        <v>965</v>
      </c>
      <c r="H341" s="84" t="s">
        <v>1125</v>
      </c>
      <c r="I341" s="84" t="s">
        <v>962</v>
      </c>
      <c r="J341" s="84"/>
      <c r="K341" s="94">
        <v>1.9300000000087465</v>
      </c>
      <c r="L341" s="97" t="s">
        <v>164</v>
      </c>
      <c r="M341" s="98">
        <v>0.05</v>
      </c>
      <c r="N341" s="98">
        <v>3.8100000000211375E-2</v>
      </c>
      <c r="O341" s="94">
        <v>30211.150399999995</v>
      </c>
      <c r="P341" s="96">
        <v>104.33710000000001</v>
      </c>
      <c r="Q341" s="84"/>
      <c r="R341" s="94">
        <v>109.75765952799999</v>
      </c>
      <c r="S341" s="95">
        <v>3.0211150399999996E-5</v>
      </c>
      <c r="T341" s="95">
        <f t="shared" si="8"/>
        <v>1.5763050745320204E-3</v>
      </c>
      <c r="U341" s="95">
        <f>R341/'סכום נכסי הקרן'!$C$42</f>
        <v>4.5947252593496625E-4</v>
      </c>
    </row>
    <row r="342" spans="2:21" s="131" customFormat="1">
      <c r="B342" s="87" t="s">
        <v>1126</v>
      </c>
      <c r="C342" s="84" t="s">
        <v>1127</v>
      </c>
      <c r="D342" s="97" t="s">
        <v>29</v>
      </c>
      <c r="E342" s="97" t="s">
        <v>929</v>
      </c>
      <c r="F342" s="84"/>
      <c r="G342" s="97" t="s">
        <v>941</v>
      </c>
      <c r="H342" s="84" t="s">
        <v>1128</v>
      </c>
      <c r="I342" s="84" t="s">
        <v>933</v>
      </c>
      <c r="J342" s="84"/>
      <c r="K342" s="94">
        <v>4.9600000000121156</v>
      </c>
      <c r="L342" s="97" t="s">
        <v>164</v>
      </c>
      <c r="M342" s="98">
        <v>7.2499999999999995E-2</v>
      </c>
      <c r="N342" s="98">
        <v>5.7600000000159017E-2</v>
      </c>
      <c r="O342" s="94">
        <v>14117.359999999997</v>
      </c>
      <c r="P342" s="96">
        <v>107.46250000000001</v>
      </c>
      <c r="Q342" s="84"/>
      <c r="R342" s="94">
        <v>52.824962340999988</v>
      </c>
      <c r="S342" s="95">
        <v>9.4115733333333307E-6</v>
      </c>
      <c r="T342" s="95">
        <f t="shared" si="8"/>
        <v>7.5865553764690845E-4</v>
      </c>
      <c r="U342" s="95">
        <f>R342/'סכום נכסי הקרן'!$C$42</f>
        <v>2.2113826938015987E-4</v>
      </c>
    </row>
    <row r="343" spans="2:21" s="131" customFormat="1">
      <c r="B343" s="87" t="s">
        <v>1129</v>
      </c>
      <c r="C343" s="84" t="s">
        <v>1130</v>
      </c>
      <c r="D343" s="97" t="s">
        <v>29</v>
      </c>
      <c r="E343" s="97" t="s">
        <v>929</v>
      </c>
      <c r="F343" s="84"/>
      <c r="G343" s="97" t="s">
        <v>990</v>
      </c>
      <c r="H343" s="84" t="s">
        <v>1128</v>
      </c>
      <c r="I343" s="84" t="s">
        <v>933</v>
      </c>
      <c r="J343" s="84"/>
      <c r="K343" s="94">
        <v>3.3400000000103063</v>
      </c>
      <c r="L343" s="97" t="s">
        <v>164</v>
      </c>
      <c r="M343" s="98">
        <v>7.4999999999999997E-2</v>
      </c>
      <c r="N343" s="98">
        <v>5.3200000000028114E-2</v>
      </c>
      <c r="O343" s="94">
        <v>11293.887999999999</v>
      </c>
      <c r="P343" s="96">
        <v>108.5688</v>
      </c>
      <c r="Q343" s="84"/>
      <c r="R343" s="94">
        <v>42.695038983999993</v>
      </c>
      <c r="S343" s="95">
        <v>5.6469439999999996E-6</v>
      </c>
      <c r="T343" s="95">
        <f t="shared" si="8"/>
        <v>6.131727562088985E-4</v>
      </c>
      <c r="U343" s="95">
        <f>R343/'סכום נכסי הקרן'!$C$42</f>
        <v>1.7873192168302239E-4</v>
      </c>
    </row>
    <row r="344" spans="2:21" s="131" customFormat="1">
      <c r="B344" s="87" t="s">
        <v>1131</v>
      </c>
      <c r="C344" s="84" t="s">
        <v>1132</v>
      </c>
      <c r="D344" s="97" t="s">
        <v>29</v>
      </c>
      <c r="E344" s="97" t="s">
        <v>929</v>
      </c>
      <c r="F344" s="84"/>
      <c r="G344" s="97" t="s">
        <v>968</v>
      </c>
      <c r="H344" s="84" t="s">
        <v>1128</v>
      </c>
      <c r="I344" s="84" t="s">
        <v>933</v>
      </c>
      <c r="J344" s="84"/>
      <c r="K344" s="94">
        <v>7.0800000000032277</v>
      </c>
      <c r="L344" s="97" t="s">
        <v>164</v>
      </c>
      <c r="M344" s="98">
        <v>5.8749999999999997E-2</v>
      </c>
      <c r="N344" s="98">
        <v>4.1200000000003574E-2</v>
      </c>
      <c r="O344" s="94">
        <v>28234.719999999994</v>
      </c>
      <c r="P344" s="96">
        <v>113.4288</v>
      </c>
      <c r="Q344" s="84"/>
      <c r="R344" s="94">
        <v>111.515637208</v>
      </c>
      <c r="S344" s="95">
        <v>2.8234719999999994E-5</v>
      </c>
      <c r="T344" s="95">
        <f t="shared" si="8"/>
        <v>1.6015525984844705E-3</v>
      </c>
      <c r="U344" s="95">
        <f>R344/'סכום נכסי הקרן'!$C$42</f>
        <v>4.6683185236959045E-4</v>
      </c>
    </row>
    <row r="345" spans="2:21" s="131" customFormat="1">
      <c r="B345" s="87" t="s">
        <v>1133</v>
      </c>
      <c r="C345" s="84" t="s">
        <v>1134</v>
      </c>
      <c r="D345" s="97" t="s">
        <v>29</v>
      </c>
      <c r="E345" s="97" t="s">
        <v>929</v>
      </c>
      <c r="F345" s="84"/>
      <c r="G345" s="97" t="s">
        <v>941</v>
      </c>
      <c r="H345" s="84" t="s">
        <v>1128</v>
      </c>
      <c r="I345" s="84" t="s">
        <v>933</v>
      </c>
      <c r="J345" s="84"/>
      <c r="K345" s="94">
        <v>4.9200000000032427</v>
      </c>
      <c r="L345" s="97" t="s">
        <v>164</v>
      </c>
      <c r="M345" s="98">
        <v>7.4999999999999997E-2</v>
      </c>
      <c r="N345" s="98">
        <v>6.0800000000048648E-2</v>
      </c>
      <c r="O345" s="94">
        <v>33175.795999999995</v>
      </c>
      <c r="P345" s="96">
        <v>106.7835</v>
      </c>
      <c r="Q345" s="84"/>
      <c r="R345" s="94">
        <v>123.35429350499996</v>
      </c>
      <c r="S345" s="95">
        <v>2.211719733333333E-5</v>
      </c>
      <c r="T345" s="95">
        <f t="shared" si="8"/>
        <v>1.7715756663674081E-3</v>
      </c>
      <c r="U345" s="95">
        <f>R345/'סכום נכסי הקרן'!$C$42</f>
        <v>5.1639137592221138E-4</v>
      </c>
    </row>
    <row r="346" spans="2:21" s="131" customFormat="1">
      <c r="B346" s="87" t="s">
        <v>1135</v>
      </c>
      <c r="C346" s="84" t="s">
        <v>1136</v>
      </c>
      <c r="D346" s="97" t="s">
        <v>29</v>
      </c>
      <c r="E346" s="97" t="s">
        <v>929</v>
      </c>
      <c r="F346" s="84"/>
      <c r="G346" s="97" t="s">
        <v>990</v>
      </c>
      <c r="H346" s="84" t="s">
        <v>1125</v>
      </c>
      <c r="I346" s="84" t="s">
        <v>962</v>
      </c>
      <c r="J346" s="84"/>
      <c r="K346" s="94">
        <v>2.5800000000589698</v>
      </c>
      <c r="L346" s="97" t="s">
        <v>164</v>
      </c>
      <c r="M346" s="98">
        <v>6.5000000000000002E-2</v>
      </c>
      <c r="N346" s="98">
        <v>4.530000000068183E-2</v>
      </c>
      <c r="O346" s="94">
        <v>2823.4719999999998</v>
      </c>
      <c r="P346" s="96">
        <v>110.3922</v>
      </c>
      <c r="Q346" s="84"/>
      <c r="R346" s="94">
        <v>10.853017641999999</v>
      </c>
      <c r="S346" s="95">
        <v>3.7646293333333328E-6</v>
      </c>
      <c r="T346" s="95">
        <f t="shared" si="8"/>
        <v>1.5586763472034358E-4</v>
      </c>
      <c r="U346" s="95">
        <f>R346/'סכום נכסי הקרן'!$C$42</f>
        <v>4.5433398010043723E-5</v>
      </c>
    </row>
    <row r="347" spans="2:21" s="131" customFormat="1">
      <c r="B347" s="87" t="s">
        <v>1137</v>
      </c>
      <c r="C347" s="84" t="s">
        <v>1138</v>
      </c>
      <c r="D347" s="97" t="s">
        <v>29</v>
      </c>
      <c r="E347" s="97" t="s">
        <v>929</v>
      </c>
      <c r="F347" s="84"/>
      <c r="G347" s="97" t="s">
        <v>990</v>
      </c>
      <c r="H347" s="84" t="s">
        <v>1125</v>
      </c>
      <c r="I347" s="84" t="s">
        <v>962</v>
      </c>
      <c r="J347" s="84"/>
      <c r="K347" s="94">
        <v>3.7700000000082174</v>
      </c>
      <c r="L347" s="97" t="s">
        <v>164</v>
      </c>
      <c r="M347" s="98">
        <v>6.8750000000000006E-2</v>
      </c>
      <c r="N347" s="98">
        <v>5.0200000000142006E-2</v>
      </c>
      <c r="O347" s="94">
        <v>32469.927999999993</v>
      </c>
      <c r="P347" s="96">
        <v>110.8633</v>
      </c>
      <c r="Q347" s="84"/>
      <c r="R347" s="94">
        <v>125.34235826099999</v>
      </c>
      <c r="S347" s="95">
        <v>4.3293237333333325E-5</v>
      </c>
      <c r="T347" s="95">
        <f t="shared" si="8"/>
        <v>1.8001276287257313E-3</v>
      </c>
      <c r="U347" s="95">
        <f>R347/'סכום נכסי הקרן'!$C$42</f>
        <v>5.2471390338033918E-4</v>
      </c>
    </row>
    <row r="348" spans="2:21" s="131" customFormat="1">
      <c r="B348" s="87" t="s">
        <v>1139</v>
      </c>
      <c r="C348" s="84" t="s">
        <v>1140</v>
      </c>
      <c r="D348" s="97" t="s">
        <v>29</v>
      </c>
      <c r="E348" s="97" t="s">
        <v>929</v>
      </c>
      <c r="F348" s="84"/>
      <c r="G348" s="97" t="s">
        <v>1012</v>
      </c>
      <c r="H348" s="84" t="s">
        <v>1125</v>
      </c>
      <c r="I348" s="84" t="s">
        <v>962</v>
      </c>
      <c r="J348" s="84"/>
      <c r="K348" s="94">
        <v>2.6199999999957204</v>
      </c>
      <c r="L348" s="97" t="s">
        <v>164</v>
      </c>
      <c r="M348" s="98">
        <v>4.6249999999999999E-2</v>
      </c>
      <c r="N348" s="98">
        <v>3.3999999999981392E-2</v>
      </c>
      <c r="O348" s="94">
        <v>29399.402199999997</v>
      </c>
      <c r="P348" s="96">
        <v>104.9956</v>
      </c>
      <c r="Q348" s="84"/>
      <c r="R348" s="94">
        <v>107.48260468299998</v>
      </c>
      <c r="S348" s="95">
        <v>1.9599601466666664E-5</v>
      </c>
      <c r="T348" s="95">
        <f t="shared" si="8"/>
        <v>1.5436314505459211E-3</v>
      </c>
      <c r="U348" s="95">
        <f>R348/'סכום נכסי הקרן'!$C$42</f>
        <v>4.4994858746207934E-4</v>
      </c>
    </row>
    <row r="349" spans="2:21" s="131" customFormat="1">
      <c r="B349" s="87" t="s">
        <v>1141</v>
      </c>
      <c r="C349" s="84" t="s">
        <v>1142</v>
      </c>
      <c r="D349" s="97" t="s">
        <v>29</v>
      </c>
      <c r="E349" s="97" t="s">
        <v>929</v>
      </c>
      <c r="F349" s="84"/>
      <c r="G349" s="97" t="s">
        <v>1012</v>
      </c>
      <c r="H349" s="84" t="s">
        <v>1125</v>
      </c>
      <c r="I349" s="84" t="s">
        <v>962</v>
      </c>
      <c r="J349" s="84"/>
      <c r="K349" s="94">
        <v>7.9999999984027972E-2</v>
      </c>
      <c r="L349" s="97" t="s">
        <v>164</v>
      </c>
      <c r="M349" s="98">
        <v>4.6249999999999999E-2</v>
      </c>
      <c r="N349" s="98">
        <v>-3.1199999999760423E-2</v>
      </c>
      <c r="O349" s="94">
        <v>5558.0046319999992</v>
      </c>
      <c r="P349" s="96">
        <v>103.52419999999999</v>
      </c>
      <c r="Q349" s="84"/>
      <c r="R349" s="94">
        <v>20.035013878999994</v>
      </c>
      <c r="S349" s="95">
        <v>1.1116009263999998E-5</v>
      </c>
      <c r="T349" s="95">
        <f t="shared" si="8"/>
        <v>2.8773658423110352E-4</v>
      </c>
      <c r="U349" s="95">
        <f>R349/'סכום נכסי הקרן'!$C$42</f>
        <v>8.3871489914358387E-5</v>
      </c>
    </row>
    <row r="350" spans="2:21" s="131" customFormat="1">
      <c r="B350" s="87" t="s">
        <v>1143</v>
      </c>
      <c r="C350" s="84" t="s">
        <v>1144</v>
      </c>
      <c r="D350" s="97" t="s">
        <v>29</v>
      </c>
      <c r="E350" s="97" t="s">
        <v>929</v>
      </c>
      <c r="F350" s="84"/>
      <c r="G350" s="97" t="s">
        <v>947</v>
      </c>
      <c r="H350" s="84" t="s">
        <v>1125</v>
      </c>
      <c r="I350" s="84" t="s">
        <v>962</v>
      </c>
      <c r="J350" s="84"/>
      <c r="K350" s="94">
        <v>4.6600000000044846</v>
      </c>
      <c r="L350" s="97" t="s">
        <v>164</v>
      </c>
      <c r="M350" s="98">
        <v>4.8750000000000002E-2</v>
      </c>
      <c r="N350" s="98">
        <v>3.750000000002076E-2</v>
      </c>
      <c r="O350" s="94">
        <v>32389.459047999997</v>
      </c>
      <c r="P350" s="96">
        <v>106.7714</v>
      </c>
      <c r="Q350" s="84"/>
      <c r="R350" s="94">
        <v>120.41685968099999</v>
      </c>
      <c r="S350" s="95">
        <v>9.2541311565714276E-5</v>
      </c>
      <c r="T350" s="95">
        <f t="shared" si="8"/>
        <v>1.7293891632770072E-3</v>
      </c>
      <c r="U350" s="95">
        <f>R350/'סכום נכסי הקרן'!$C$42</f>
        <v>5.0409455632270304E-4</v>
      </c>
    </row>
    <row r="351" spans="2:21" s="131" customFormat="1">
      <c r="B351" s="87" t="s">
        <v>1145</v>
      </c>
      <c r="C351" s="84" t="s">
        <v>1146</v>
      </c>
      <c r="D351" s="97" t="s">
        <v>29</v>
      </c>
      <c r="E351" s="97" t="s">
        <v>929</v>
      </c>
      <c r="F351" s="84"/>
      <c r="G351" s="97" t="s">
        <v>947</v>
      </c>
      <c r="H351" s="84" t="s">
        <v>1147</v>
      </c>
      <c r="I351" s="84" t="s">
        <v>962</v>
      </c>
      <c r="J351" s="84"/>
      <c r="K351" s="94">
        <v>2.4899999999975795</v>
      </c>
      <c r="L351" s="97" t="s">
        <v>164</v>
      </c>
      <c r="M351" s="98">
        <v>0.05</v>
      </c>
      <c r="N351" s="98">
        <v>3.4999999999951591E-2</v>
      </c>
      <c r="O351" s="94">
        <v>28234.719999999994</v>
      </c>
      <c r="P351" s="96">
        <v>105.0536</v>
      </c>
      <c r="Q351" s="84"/>
      <c r="R351" s="94">
        <v>103.28161202499999</v>
      </c>
      <c r="S351" s="95">
        <v>3.7646293333333323E-5</v>
      </c>
      <c r="T351" s="95">
        <f t="shared" si="8"/>
        <v>1.4832981118672859E-3</v>
      </c>
      <c r="U351" s="95">
        <f>R351/'סכום נכסי הקרן'!$C$42</f>
        <v>4.323622001766154E-4</v>
      </c>
    </row>
    <row r="352" spans="2:21" s="131" customFormat="1">
      <c r="B352" s="87" t="s">
        <v>1148</v>
      </c>
      <c r="C352" s="84" t="s">
        <v>1149</v>
      </c>
      <c r="D352" s="97" t="s">
        <v>29</v>
      </c>
      <c r="E352" s="97" t="s">
        <v>929</v>
      </c>
      <c r="F352" s="84"/>
      <c r="G352" s="97" t="s">
        <v>941</v>
      </c>
      <c r="H352" s="84" t="s">
        <v>1150</v>
      </c>
      <c r="I352" s="84" t="s">
        <v>933</v>
      </c>
      <c r="J352" s="84"/>
      <c r="K352" s="94">
        <v>3.9800000000225833</v>
      </c>
      <c r="L352" s="97" t="s">
        <v>164</v>
      </c>
      <c r="M352" s="98">
        <v>0.08</v>
      </c>
      <c r="N352" s="98">
        <v>6.340000000039521E-2</v>
      </c>
      <c r="O352" s="94">
        <v>11435.061599999999</v>
      </c>
      <c r="P352" s="96">
        <v>106.7593</v>
      </c>
      <c r="Q352" s="84"/>
      <c r="R352" s="94">
        <v>42.508240447999995</v>
      </c>
      <c r="S352" s="95">
        <v>5.7175307999999998E-6</v>
      </c>
      <c r="T352" s="95">
        <f t="shared" si="8"/>
        <v>6.1049001423464178E-4</v>
      </c>
      <c r="U352" s="95">
        <f>R352/'סכום נכסי הקרן'!$C$42</f>
        <v>1.779499371222549E-4</v>
      </c>
    </row>
    <row r="353" spans="2:21" s="131" customFormat="1">
      <c r="B353" s="87" t="s">
        <v>1151</v>
      </c>
      <c r="C353" s="84" t="s">
        <v>1152</v>
      </c>
      <c r="D353" s="97" t="s">
        <v>29</v>
      </c>
      <c r="E353" s="97" t="s">
        <v>929</v>
      </c>
      <c r="F353" s="84"/>
      <c r="G353" s="97" t="s">
        <v>941</v>
      </c>
      <c r="H353" s="84" t="s">
        <v>1150</v>
      </c>
      <c r="I353" s="84" t="s">
        <v>933</v>
      </c>
      <c r="J353" s="84"/>
      <c r="K353" s="94">
        <v>3.4399999999911062</v>
      </c>
      <c r="L353" s="97" t="s">
        <v>164</v>
      </c>
      <c r="M353" s="98">
        <v>7.7499999999999999E-2</v>
      </c>
      <c r="N353" s="98">
        <v>6.5499999999840491E-2</v>
      </c>
      <c r="O353" s="94">
        <v>28517.067199999998</v>
      </c>
      <c r="P353" s="96">
        <v>104.1829</v>
      </c>
      <c r="Q353" s="84"/>
      <c r="R353" s="94">
        <v>103.44991484299999</v>
      </c>
      <c r="S353" s="95">
        <v>1.140682688E-5</v>
      </c>
      <c r="T353" s="95">
        <f t="shared" si="8"/>
        <v>1.4857152241418399E-3</v>
      </c>
      <c r="U353" s="95">
        <f>R353/'סכום נכסי הקרן'!$C$42</f>
        <v>4.3306675711816262E-4</v>
      </c>
    </row>
    <row r="354" spans="2:21" s="131" customFormat="1">
      <c r="B354" s="87" t="s">
        <v>1153</v>
      </c>
      <c r="C354" s="84" t="s">
        <v>1154</v>
      </c>
      <c r="D354" s="97" t="s">
        <v>29</v>
      </c>
      <c r="E354" s="97" t="s">
        <v>929</v>
      </c>
      <c r="F354" s="84"/>
      <c r="G354" s="97" t="s">
        <v>941</v>
      </c>
      <c r="H354" s="84" t="s">
        <v>1150</v>
      </c>
      <c r="I354" s="84" t="s">
        <v>933</v>
      </c>
      <c r="J354" s="84"/>
      <c r="K354" s="94">
        <v>4.720000000001451</v>
      </c>
      <c r="L354" s="97" t="s">
        <v>164</v>
      </c>
      <c r="M354" s="98">
        <v>0.08</v>
      </c>
      <c r="N354" s="98">
        <v>5.8600000000079817E-2</v>
      </c>
      <c r="O354" s="94">
        <v>35293.399999999994</v>
      </c>
      <c r="P354" s="96">
        <v>112.155</v>
      </c>
      <c r="Q354" s="84"/>
      <c r="R354" s="94">
        <v>137.82909506499996</v>
      </c>
      <c r="S354" s="95">
        <v>3.0689913043478257E-5</v>
      </c>
      <c r="T354" s="95">
        <f t="shared" si="8"/>
        <v>1.9794582255436202E-3</v>
      </c>
      <c r="U354" s="95">
        <f>R354/'סכום נכסי הקרן'!$C$42</f>
        <v>5.7698645114321614E-4</v>
      </c>
    </row>
    <row r="355" spans="2:21" s="131" customFormat="1">
      <c r="B355" s="87" t="s">
        <v>1155</v>
      </c>
      <c r="C355" s="84" t="s">
        <v>1156</v>
      </c>
      <c r="D355" s="97" t="s">
        <v>29</v>
      </c>
      <c r="E355" s="97" t="s">
        <v>929</v>
      </c>
      <c r="F355" s="84"/>
      <c r="G355" s="97" t="s">
        <v>931</v>
      </c>
      <c r="H355" s="84" t="s">
        <v>1150</v>
      </c>
      <c r="I355" s="84" t="s">
        <v>933</v>
      </c>
      <c r="J355" s="84"/>
      <c r="K355" s="94">
        <v>2.7700000000012936</v>
      </c>
      <c r="L355" s="97" t="s">
        <v>164</v>
      </c>
      <c r="M355" s="98">
        <v>7.7499999999999999E-2</v>
      </c>
      <c r="N355" s="98">
        <v>5.7500000000107777E-2</v>
      </c>
      <c r="O355" s="94">
        <v>24400.092089999995</v>
      </c>
      <c r="P355" s="96">
        <v>109.1986</v>
      </c>
      <c r="Q355" s="84"/>
      <c r="R355" s="94">
        <v>92.776363743999994</v>
      </c>
      <c r="S355" s="95">
        <v>5.4222426866666651E-5</v>
      </c>
      <c r="T355" s="95">
        <f t="shared" si="8"/>
        <v>1.3324250316123756E-3</v>
      </c>
      <c r="U355" s="95">
        <f>R355/'סכום נכסי הקרן'!$C$42</f>
        <v>3.8838465014500546E-4</v>
      </c>
    </row>
    <row r="356" spans="2:21" s="131" customFormat="1">
      <c r="B356" s="87" t="s">
        <v>1157</v>
      </c>
      <c r="C356" s="84" t="s">
        <v>1158</v>
      </c>
      <c r="D356" s="97" t="s">
        <v>29</v>
      </c>
      <c r="E356" s="97" t="s">
        <v>929</v>
      </c>
      <c r="F356" s="84"/>
      <c r="G356" s="97" t="s">
        <v>941</v>
      </c>
      <c r="H356" s="84" t="s">
        <v>1159</v>
      </c>
      <c r="I356" s="84"/>
      <c r="J356" s="84"/>
      <c r="K356" s="94">
        <v>4.3899999999512156</v>
      </c>
      <c r="L356" s="97" t="s">
        <v>164</v>
      </c>
      <c r="M356" s="98">
        <v>4.8000000000000001E-2</v>
      </c>
      <c r="N356" s="98">
        <v>4.7299999999620562E-2</v>
      </c>
      <c r="O356" s="94">
        <v>13140.438687999998</v>
      </c>
      <c r="P356" s="96">
        <v>100.8</v>
      </c>
      <c r="Q356" s="84"/>
      <c r="R356" s="94">
        <v>46.121047574999999</v>
      </c>
      <c r="S356" s="95">
        <v>2.6280877375999997E-5</v>
      </c>
      <c r="T356" s="95">
        <f t="shared" si="8"/>
        <v>6.623760168342393E-4</v>
      </c>
      <c r="U356" s="95">
        <f>R356/'סכום נכסי הקרן'!$C$42</f>
        <v>1.930740352808446E-4</v>
      </c>
    </row>
    <row r="357" spans="2:21" s="131" customFormat="1">
      <c r="B357" s="133"/>
    </row>
    <row r="358" spans="2:21" s="131" customFormat="1">
      <c r="B358" s="133"/>
    </row>
    <row r="359" spans="2:21" s="131" customFormat="1">
      <c r="B359" s="133"/>
    </row>
    <row r="360" spans="2:21" s="131" customFormat="1">
      <c r="B360" s="134" t="s">
        <v>250</v>
      </c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21" s="131" customFormat="1">
      <c r="B361" s="134" t="s">
        <v>113</v>
      </c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21" s="131" customFormat="1">
      <c r="B362" s="134" t="s">
        <v>232</v>
      </c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21" s="131" customFormat="1">
      <c r="B363" s="134" t="s">
        <v>240</v>
      </c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21" s="131" customFormat="1">
      <c r="B364" s="162" t="s">
        <v>246</v>
      </c>
      <c r="C364" s="162"/>
      <c r="D364" s="162"/>
      <c r="E364" s="162"/>
      <c r="F364" s="162"/>
      <c r="G364" s="162"/>
      <c r="H364" s="162"/>
      <c r="I364" s="162"/>
      <c r="J364" s="162"/>
      <c r="K364" s="162"/>
    </row>
    <row r="365" spans="2:21" s="131" customFormat="1">
      <c r="B365" s="133"/>
    </row>
    <row r="366" spans="2:21" s="131" customFormat="1">
      <c r="B366" s="133"/>
    </row>
    <row r="367" spans="2:21" s="131" customFormat="1">
      <c r="B367" s="133"/>
    </row>
    <row r="368" spans="2:21" s="131" customFormat="1">
      <c r="B368" s="133"/>
    </row>
    <row r="369" spans="2:2" s="131" customFormat="1">
      <c r="B369" s="133"/>
    </row>
    <row r="370" spans="2:2" s="131" customFormat="1">
      <c r="B370" s="133"/>
    </row>
    <row r="371" spans="2:2" s="131" customFormat="1">
      <c r="B371" s="133"/>
    </row>
    <row r="372" spans="2:2" s="131" customFormat="1">
      <c r="B372" s="133"/>
    </row>
    <row r="373" spans="2:2" s="131" customFormat="1">
      <c r="B373" s="133"/>
    </row>
    <row r="374" spans="2:2" s="131" customFormat="1">
      <c r="B374" s="133"/>
    </row>
    <row r="375" spans="2:2" s="131" customFormat="1">
      <c r="B375" s="133"/>
    </row>
    <row r="376" spans="2:2" s="131" customFormat="1">
      <c r="B376" s="133"/>
    </row>
    <row r="377" spans="2:2" s="131" customFormat="1">
      <c r="B377" s="133"/>
    </row>
    <row r="378" spans="2:2" s="131" customFormat="1">
      <c r="B378" s="133"/>
    </row>
    <row r="379" spans="2:2" s="131" customFormat="1">
      <c r="B379" s="133"/>
    </row>
    <row r="380" spans="2:2" s="131" customFormat="1">
      <c r="B380" s="133"/>
    </row>
    <row r="381" spans="2:2" s="131" customFormat="1">
      <c r="B381" s="133"/>
    </row>
    <row r="382" spans="2:2" s="131" customFormat="1">
      <c r="B382" s="133"/>
    </row>
    <row r="383" spans="2:2" s="131" customFormat="1">
      <c r="B383" s="133"/>
    </row>
    <row r="384" spans="2:2" s="131" customFormat="1">
      <c r="B384" s="133"/>
    </row>
    <row r="385" spans="2:2" s="131" customFormat="1">
      <c r="B385" s="133"/>
    </row>
    <row r="386" spans="2:2" s="131" customFormat="1">
      <c r="B386" s="133"/>
    </row>
    <row r="387" spans="2:2" s="131" customFormat="1">
      <c r="B387" s="133"/>
    </row>
    <row r="388" spans="2:2" s="131" customFormat="1">
      <c r="B388" s="133"/>
    </row>
    <row r="389" spans="2:2" s="131" customFormat="1">
      <c r="B389" s="133"/>
    </row>
    <row r="390" spans="2:2" s="131" customFormat="1">
      <c r="B390" s="133"/>
    </row>
    <row r="391" spans="2:2" s="131" customFormat="1">
      <c r="B391" s="133"/>
    </row>
    <row r="392" spans="2:2" s="131" customFormat="1">
      <c r="B392" s="133"/>
    </row>
    <row r="393" spans="2:2" s="131" customFormat="1">
      <c r="B393" s="133"/>
    </row>
    <row r="394" spans="2:2" s="131" customFormat="1">
      <c r="B394" s="133"/>
    </row>
    <row r="395" spans="2:2" s="131" customFormat="1">
      <c r="B395" s="133"/>
    </row>
    <row r="396" spans="2:2" s="131" customFormat="1">
      <c r="B396" s="133"/>
    </row>
    <row r="397" spans="2:2" s="131" customFormat="1">
      <c r="B397" s="133"/>
    </row>
    <row r="398" spans="2:2" s="131" customFormat="1">
      <c r="B398" s="133"/>
    </row>
    <row r="399" spans="2:2" s="131" customFormat="1">
      <c r="B399" s="133"/>
    </row>
    <row r="400" spans="2:2" s="131" customFormat="1">
      <c r="B400" s="133"/>
    </row>
    <row r="401" spans="2:2" s="131" customFormat="1">
      <c r="B401" s="133"/>
    </row>
    <row r="402" spans="2:2" s="131" customFormat="1">
      <c r="B402" s="133"/>
    </row>
    <row r="403" spans="2:2" s="131" customFormat="1">
      <c r="B403" s="133"/>
    </row>
    <row r="404" spans="2:2" s="131" customFormat="1">
      <c r="B404" s="133"/>
    </row>
    <row r="405" spans="2:2" s="131" customFormat="1">
      <c r="B405" s="133"/>
    </row>
    <row r="406" spans="2:2" s="131" customFormat="1">
      <c r="B406" s="133"/>
    </row>
    <row r="407" spans="2:2" s="131" customFormat="1">
      <c r="B407" s="133"/>
    </row>
    <row r="408" spans="2:2" s="131" customFormat="1">
      <c r="B408" s="133"/>
    </row>
    <row r="409" spans="2:2" s="131" customFormat="1">
      <c r="B409" s="133"/>
    </row>
    <row r="410" spans="2:2" s="131" customFormat="1">
      <c r="B410" s="133"/>
    </row>
    <row r="411" spans="2:2" s="131" customFormat="1">
      <c r="B411" s="133"/>
    </row>
    <row r="412" spans="2:2" s="131" customFormat="1">
      <c r="B412" s="133"/>
    </row>
    <row r="413" spans="2:2" s="131" customFormat="1">
      <c r="B413" s="133"/>
    </row>
    <row r="414" spans="2:2" s="131" customFormat="1">
      <c r="B414" s="133"/>
    </row>
    <row r="415" spans="2:2" s="131" customFormat="1">
      <c r="B415" s="133"/>
    </row>
    <row r="416" spans="2:2" s="131" customFormat="1">
      <c r="B416" s="133"/>
    </row>
    <row r="417" spans="2:2" s="131" customFormat="1">
      <c r="B417" s="133"/>
    </row>
    <row r="418" spans="2:2" s="131" customFormat="1">
      <c r="B418" s="133"/>
    </row>
    <row r="419" spans="2:2" s="131" customFormat="1">
      <c r="B419" s="133"/>
    </row>
    <row r="420" spans="2:2" s="131" customFormat="1">
      <c r="B420" s="133"/>
    </row>
    <row r="421" spans="2:2" s="131" customFormat="1">
      <c r="B421" s="133"/>
    </row>
    <row r="422" spans="2:2" s="131" customFormat="1">
      <c r="B422" s="133"/>
    </row>
    <row r="423" spans="2:2" s="131" customFormat="1">
      <c r="B423" s="133"/>
    </row>
    <row r="424" spans="2:2" s="131" customFormat="1">
      <c r="B424" s="133"/>
    </row>
    <row r="425" spans="2:2" s="131" customFormat="1">
      <c r="B425" s="133"/>
    </row>
    <row r="426" spans="2:2" s="131" customFormat="1">
      <c r="B426" s="133"/>
    </row>
    <row r="427" spans="2:2" s="131" customFormat="1">
      <c r="B427" s="133"/>
    </row>
    <row r="428" spans="2:2" s="131" customFormat="1">
      <c r="B428" s="133"/>
    </row>
    <row r="429" spans="2:2" s="131" customFormat="1">
      <c r="B429" s="133"/>
    </row>
    <row r="430" spans="2:2" s="131" customFormat="1">
      <c r="B430" s="133"/>
    </row>
    <row r="431" spans="2:2" s="131" customFormat="1">
      <c r="B431" s="133"/>
    </row>
    <row r="432" spans="2:2" s="131" customFormat="1">
      <c r="B432" s="133"/>
    </row>
    <row r="433" spans="2:2" s="131" customFormat="1">
      <c r="B433" s="133"/>
    </row>
    <row r="434" spans="2:2" s="131" customFormat="1">
      <c r="B434" s="133"/>
    </row>
    <row r="435" spans="2:2" s="131" customFormat="1">
      <c r="B435" s="133"/>
    </row>
    <row r="436" spans="2:2" s="131" customFormat="1">
      <c r="B436" s="133"/>
    </row>
    <row r="437" spans="2:2" s="131" customFormat="1">
      <c r="B437" s="133"/>
    </row>
    <row r="438" spans="2:2" s="131" customFormat="1">
      <c r="B438" s="133"/>
    </row>
    <row r="439" spans="2:2" s="131" customFormat="1">
      <c r="B439" s="133"/>
    </row>
    <row r="440" spans="2:2" s="131" customFormat="1">
      <c r="B440" s="133"/>
    </row>
    <row r="441" spans="2:2" s="131" customFormat="1">
      <c r="B441" s="133"/>
    </row>
    <row r="442" spans="2:2" s="131" customFormat="1">
      <c r="B442" s="133"/>
    </row>
    <row r="443" spans="2:2" s="131" customFormat="1">
      <c r="B443" s="133"/>
    </row>
    <row r="444" spans="2:2" s="131" customFormat="1">
      <c r="B444" s="133"/>
    </row>
    <row r="445" spans="2:2" s="131" customFormat="1">
      <c r="B445" s="133"/>
    </row>
    <row r="446" spans="2:2" s="131" customFormat="1">
      <c r="B446" s="133"/>
    </row>
    <row r="447" spans="2:2" s="131" customFormat="1">
      <c r="B447" s="133"/>
    </row>
    <row r="448" spans="2:2" s="131" customFormat="1">
      <c r="B448" s="133"/>
    </row>
    <row r="449" spans="2:2" s="131" customFormat="1">
      <c r="B449" s="133"/>
    </row>
    <row r="450" spans="2:2" s="131" customFormat="1">
      <c r="B450" s="133"/>
    </row>
    <row r="451" spans="2:2" s="131" customFormat="1">
      <c r="B451" s="133"/>
    </row>
    <row r="452" spans="2:2" s="131" customFormat="1">
      <c r="B452" s="133"/>
    </row>
    <row r="453" spans="2:2" s="131" customFormat="1">
      <c r="B453" s="133"/>
    </row>
    <row r="454" spans="2:2" s="131" customFormat="1">
      <c r="B454" s="133"/>
    </row>
    <row r="455" spans="2:2" s="131" customFormat="1">
      <c r="B455" s="133"/>
    </row>
    <row r="456" spans="2:2" s="131" customFormat="1">
      <c r="B456" s="133"/>
    </row>
    <row r="457" spans="2:2" s="131" customFormat="1">
      <c r="B457" s="133"/>
    </row>
    <row r="458" spans="2:2" s="131" customFormat="1">
      <c r="B458" s="133"/>
    </row>
    <row r="459" spans="2:2" s="131" customFormat="1">
      <c r="B459" s="133"/>
    </row>
    <row r="460" spans="2:2" s="131" customFormat="1">
      <c r="B460" s="133"/>
    </row>
    <row r="461" spans="2:2" s="131" customFormat="1">
      <c r="B461" s="133"/>
    </row>
    <row r="462" spans="2:2" s="131" customFormat="1">
      <c r="B462" s="133"/>
    </row>
    <row r="463" spans="2:2" s="131" customFormat="1">
      <c r="B463" s="133"/>
    </row>
    <row r="464" spans="2:2" s="131" customFormat="1">
      <c r="B464" s="133"/>
    </row>
    <row r="465" spans="2:2" s="131" customFormat="1">
      <c r="B465" s="133"/>
    </row>
    <row r="466" spans="2:2" s="131" customFormat="1">
      <c r="B466" s="133"/>
    </row>
    <row r="467" spans="2:2" s="131" customFormat="1">
      <c r="B467" s="133"/>
    </row>
    <row r="468" spans="2:2" s="131" customFormat="1">
      <c r="B468" s="133"/>
    </row>
    <row r="469" spans="2:2" s="131" customFormat="1">
      <c r="B469" s="133"/>
    </row>
    <row r="470" spans="2:2" s="131" customFormat="1">
      <c r="B470" s="133"/>
    </row>
    <row r="471" spans="2:2" s="131" customFormat="1">
      <c r="B471" s="133"/>
    </row>
    <row r="472" spans="2:2" s="131" customFormat="1">
      <c r="B472" s="133"/>
    </row>
    <row r="473" spans="2:2" s="131" customFormat="1">
      <c r="B473" s="133"/>
    </row>
    <row r="474" spans="2:2" s="131" customFormat="1">
      <c r="B474" s="133"/>
    </row>
    <row r="475" spans="2:2" s="131" customFormat="1">
      <c r="B475" s="133"/>
    </row>
    <row r="476" spans="2:2" s="131" customFormat="1">
      <c r="B476" s="133"/>
    </row>
    <row r="477" spans="2:2" s="131" customFormat="1">
      <c r="B477" s="133"/>
    </row>
    <row r="478" spans="2:2" s="131" customFormat="1">
      <c r="B478" s="133"/>
    </row>
    <row r="479" spans="2:2" s="131" customFormat="1">
      <c r="B479" s="133"/>
    </row>
    <row r="480" spans="2:2" s="131" customFormat="1">
      <c r="B480" s="133"/>
    </row>
    <row r="481" spans="2:2" s="131" customFormat="1">
      <c r="B481" s="133"/>
    </row>
    <row r="482" spans="2:2" s="131" customFormat="1">
      <c r="B482" s="133"/>
    </row>
    <row r="483" spans="2:2" s="131" customFormat="1">
      <c r="B483" s="133"/>
    </row>
    <row r="484" spans="2:2" s="131" customFormat="1">
      <c r="B484" s="133"/>
    </row>
    <row r="485" spans="2:2" s="131" customFormat="1">
      <c r="B485" s="133"/>
    </row>
    <row r="486" spans="2:2" s="131" customFormat="1">
      <c r="B486" s="133"/>
    </row>
    <row r="487" spans="2:2" s="131" customFormat="1">
      <c r="B487" s="133"/>
    </row>
    <row r="488" spans="2:2" s="131" customFormat="1">
      <c r="B488" s="133"/>
    </row>
    <row r="489" spans="2:2" s="131" customFormat="1">
      <c r="B489" s="133"/>
    </row>
    <row r="490" spans="2:2" s="131" customFormat="1">
      <c r="B490" s="133"/>
    </row>
    <row r="491" spans="2:2" s="131" customFormat="1">
      <c r="B491" s="133"/>
    </row>
    <row r="492" spans="2:2" s="131" customFormat="1">
      <c r="B492" s="133"/>
    </row>
    <row r="493" spans="2:2" s="131" customFormat="1">
      <c r="B493" s="133"/>
    </row>
    <row r="494" spans="2:2" s="131" customFormat="1">
      <c r="B494" s="133"/>
    </row>
    <row r="495" spans="2:2" s="131" customFormat="1">
      <c r="B495" s="133"/>
    </row>
    <row r="496" spans="2:2" s="131" customFormat="1">
      <c r="B496" s="133"/>
    </row>
    <row r="497" spans="2:2" s="131" customFormat="1">
      <c r="B497" s="133"/>
    </row>
    <row r="498" spans="2:2" s="131" customFormat="1">
      <c r="B498" s="133"/>
    </row>
    <row r="499" spans="2:2" s="131" customFormat="1">
      <c r="B499" s="133"/>
    </row>
    <row r="500" spans="2:2" s="131" customFormat="1">
      <c r="B500" s="133"/>
    </row>
    <row r="501" spans="2:2" s="131" customFormat="1">
      <c r="B501" s="133"/>
    </row>
    <row r="502" spans="2:2" s="131" customFormat="1">
      <c r="B502" s="133"/>
    </row>
    <row r="503" spans="2:2" s="131" customFormat="1">
      <c r="B503" s="133"/>
    </row>
    <row r="504" spans="2:2" s="131" customFormat="1">
      <c r="B504" s="133"/>
    </row>
    <row r="505" spans="2:2" s="131" customFormat="1">
      <c r="B505" s="133"/>
    </row>
    <row r="506" spans="2:2" s="131" customFormat="1">
      <c r="B506" s="133"/>
    </row>
    <row r="507" spans="2:2" s="131" customFormat="1">
      <c r="B507" s="133"/>
    </row>
    <row r="508" spans="2:2" s="131" customFormat="1">
      <c r="B508" s="133"/>
    </row>
    <row r="509" spans="2:2" s="131" customFormat="1">
      <c r="B509" s="133"/>
    </row>
    <row r="510" spans="2:2" s="131" customFormat="1">
      <c r="B510" s="133"/>
    </row>
    <row r="511" spans="2:2" s="131" customFormat="1">
      <c r="B511" s="133"/>
    </row>
    <row r="512" spans="2:2" s="131" customFormat="1">
      <c r="B512" s="133"/>
    </row>
    <row r="513" spans="2:2" s="131" customFormat="1">
      <c r="B513" s="133"/>
    </row>
    <row r="514" spans="2:2" s="131" customFormat="1">
      <c r="B514" s="133"/>
    </row>
    <row r="515" spans="2:2" s="131" customFormat="1">
      <c r="B515" s="133"/>
    </row>
    <row r="516" spans="2:2" s="131" customFormat="1">
      <c r="B516" s="133"/>
    </row>
    <row r="517" spans="2:2" s="131" customFormat="1">
      <c r="B517" s="133"/>
    </row>
    <row r="518" spans="2:2" s="131" customFormat="1">
      <c r="B518" s="133"/>
    </row>
    <row r="519" spans="2:2" s="131" customFormat="1">
      <c r="B519" s="133"/>
    </row>
    <row r="520" spans="2:2" s="131" customFormat="1">
      <c r="B520" s="133"/>
    </row>
    <row r="521" spans="2:2" s="131" customFormat="1">
      <c r="B521" s="133"/>
    </row>
    <row r="522" spans="2:2" s="131" customFormat="1">
      <c r="B522" s="133"/>
    </row>
    <row r="523" spans="2:2" s="131" customFormat="1">
      <c r="B523" s="133"/>
    </row>
    <row r="524" spans="2:2" s="131" customFormat="1">
      <c r="B524" s="133"/>
    </row>
    <row r="525" spans="2:2" s="131" customFormat="1">
      <c r="B525" s="133"/>
    </row>
    <row r="526" spans="2:2" s="131" customFormat="1">
      <c r="B526" s="133"/>
    </row>
    <row r="527" spans="2:2" s="131" customFormat="1">
      <c r="B527" s="133"/>
    </row>
    <row r="528" spans="2:2" s="131" customFormat="1">
      <c r="B528" s="133"/>
    </row>
    <row r="529" spans="2:2" s="131" customFormat="1">
      <c r="B529" s="133"/>
    </row>
    <row r="530" spans="2:2" s="131" customFormat="1">
      <c r="B530" s="133"/>
    </row>
    <row r="531" spans="2:2" s="131" customFormat="1">
      <c r="B531" s="133"/>
    </row>
    <row r="532" spans="2:2" s="131" customFormat="1">
      <c r="B532" s="133"/>
    </row>
    <row r="533" spans="2:2" s="131" customFormat="1">
      <c r="B533" s="133"/>
    </row>
    <row r="534" spans="2:2" s="131" customFormat="1">
      <c r="B534" s="133"/>
    </row>
    <row r="535" spans="2:2" s="131" customFormat="1">
      <c r="B535" s="133"/>
    </row>
    <row r="536" spans="2:2" s="131" customFormat="1">
      <c r="B536" s="133"/>
    </row>
    <row r="537" spans="2:2" s="131" customFormat="1">
      <c r="B537" s="133"/>
    </row>
    <row r="538" spans="2:2" s="131" customFormat="1">
      <c r="B538" s="133"/>
    </row>
    <row r="539" spans="2:2" s="131" customFormat="1">
      <c r="B539" s="133"/>
    </row>
    <row r="540" spans="2:2" s="131" customFormat="1">
      <c r="B540" s="133"/>
    </row>
    <row r="541" spans="2:2" s="131" customFormat="1">
      <c r="B541" s="133"/>
    </row>
    <row r="542" spans="2:2" s="131" customFormat="1">
      <c r="B542" s="133"/>
    </row>
    <row r="543" spans="2:2" s="131" customFormat="1">
      <c r="B543" s="133"/>
    </row>
    <row r="544" spans="2:2" s="131" customFormat="1">
      <c r="B544" s="133"/>
    </row>
    <row r="545" spans="2:2" s="131" customFormat="1">
      <c r="B545" s="133"/>
    </row>
    <row r="546" spans="2:2" s="131" customFormat="1">
      <c r="B546" s="133"/>
    </row>
    <row r="547" spans="2:2" s="131" customFormat="1">
      <c r="B547" s="133"/>
    </row>
    <row r="548" spans="2:2" s="131" customFormat="1">
      <c r="B548" s="133"/>
    </row>
    <row r="549" spans="2:2" s="131" customFormat="1">
      <c r="B549" s="133"/>
    </row>
    <row r="550" spans="2:2" s="131" customFormat="1">
      <c r="B550" s="133"/>
    </row>
    <row r="551" spans="2:2" s="131" customFormat="1">
      <c r="B551" s="133"/>
    </row>
    <row r="552" spans="2:2" s="131" customFormat="1">
      <c r="B552" s="133"/>
    </row>
    <row r="553" spans="2:2" s="131" customFormat="1">
      <c r="B553" s="133"/>
    </row>
    <row r="554" spans="2:2" s="131" customFormat="1">
      <c r="B554" s="133"/>
    </row>
    <row r="555" spans="2:2" s="131" customFormat="1">
      <c r="B555" s="133"/>
    </row>
    <row r="556" spans="2:2" s="131" customFormat="1">
      <c r="B556" s="133"/>
    </row>
    <row r="557" spans="2:2" s="131" customFormat="1">
      <c r="B557" s="133"/>
    </row>
    <row r="558" spans="2:2" s="131" customFormat="1">
      <c r="B558" s="133"/>
    </row>
    <row r="559" spans="2:2" s="131" customFormat="1">
      <c r="B559" s="133"/>
    </row>
    <row r="560" spans="2:2" s="131" customFormat="1">
      <c r="B560" s="133"/>
    </row>
    <row r="561" spans="2:2" s="131" customFormat="1">
      <c r="B561" s="133"/>
    </row>
    <row r="562" spans="2:2" s="131" customFormat="1">
      <c r="B562" s="133"/>
    </row>
    <row r="563" spans="2:2" s="131" customFormat="1">
      <c r="B563" s="133"/>
    </row>
    <row r="564" spans="2:2" s="131" customFormat="1">
      <c r="B564" s="133"/>
    </row>
    <row r="565" spans="2:2" s="131" customFormat="1">
      <c r="B565" s="133"/>
    </row>
    <row r="566" spans="2:2" s="131" customFormat="1">
      <c r="B566" s="133"/>
    </row>
    <row r="567" spans="2:2" s="131" customFormat="1">
      <c r="B567" s="133"/>
    </row>
    <row r="568" spans="2:2" s="131" customFormat="1">
      <c r="B568" s="133"/>
    </row>
    <row r="569" spans="2:2" s="131" customFormat="1">
      <c r="B569" s="133"/>
    </row>
    <row r="570" spans="2:2" s="131" customFormat="1">
      <c r="B570" s="133"/>
    </row>
    <row r="571" spans="2:2" s="131" customFormat="1">
      <c r="B571" s="133"/>
    </row>
    <row r="572" spans="2:2" s="131" customFormat="1">
      <c r="B572" s="133"/>
    </row>
    <row r="573" spans="2:2" s="131" customFormat="1">
      <c r="B573" s="133"/>
    </row>
    <row r="574" spans="2:2" s="131" customFormat="1">
      <c r="B574" s="133"/>
    </row>
    <row r="575" spans="2:2" s="131" customFormat="1">
      <c r="B575" s="133"/>
    </row>
    <row r="576" spans="2:2" s="131" customFormat="1">
      <c r="B576" s="133"/>
    </row>
    <row r="577" spans="2:2" s="131" customFormat="1">
      <c r="B577" s="133"/>
    </row>
    <row r="578" spans="2:2" s="131" customFormat="1">
      <c r="B578" s="133"/>
    </row>
    <row r="579" spans="2:2" s="131" customFormat="1">
      <c r="B579" s="133"/>
    </row>
    <row r="580" spans="2:2" s="131" customFormat="1">
      <c r="B580" s="133"/>
    </row>
    <row r="581" spans="2:2" s="131" customFormat="1">
      <c r="B581" s="133"/>
    </row>
    <row r="582" spans="2:2" s="131" customFormat="1">
      <c r="B582" s="133"/>
    </row>
    <row r="583" spans="2:2" s="131" customFormat="1">
      <c r="B583" s="133"/>
    </row>
    <row r="584" spans="2:2" s="131" customFormat="1">
      <c r="B584" s="133"/>
    </row>
    <row r="585" spans="2:2" s="131" customFormat="1">
      <c r="B585" s="133"/>
    </row>
    <row r="586" spans="2:2" s="131" customFormat="1">
      <c r="B586" s="133"/>
    </row>
    <row r="587" spans="2:2" s="131" customFormat="1">
      <c r="B587" s="133"/>
    </row>
    <row r="588" spans="2:2" s="131" customFormat="1">
      <c r="B588" s="133"/>
    </row>
    <row r="589" spans="2:2" s="131" customFormat="1">
      <c r="B589" s="133"/>
    </row>
    <row r="590" spans="2:2" s="131" customFormat="1">
      <c r="B590" s="133"/>
    </row>
    <row r="591" spans="2:2" s="131" customFormat="1">
      <c r="B591" s="133"/>
    </row>
    <row r="592" spans="2:2" s="131" customFormat="1">
      <c r="B592" s="133"/>
    </row>
    <row r="593" spans="2:2" s="131" customFormat="1">
      <c r="B593" s="133"/>
    </row>
    <row r="594" spans="2:2" s="131" customFormat="1">
      <c r="B594" s="133"/>
    </row>
    <row r="595" spans="2:2" s="131" customFormat="1">
      <c r="B595" s="133"/>
    </row>
    <row r="596" spans="2:2" s="131" customFormat="1">
      <c r="B596" s="133"/>
    </row>
    <row r="597" spans="2:2" s="131" customFormat="1">
      <c r="B597" s="133"/>
    </row>
    <row r="598" spans="2:2" s="131" customFormat="1">
      <c r="B598" s="133"/>
    </row>
    <row r="599" spans="2:2" s="131" customFormat="1">
      <c r="B599" s="133"/>
    </row>
    <row r="600" spans="2:2" s="131" customFormat="1">
      <c r="B600" s="133"/>
    </row>
    <row r="601" spans="2:2" s="131" customFormat="1">
      <c r="B601" s="133"/>
    </row>
    <row r="602" spans="2:2" s="131" customFormat="1">
      <c r="B602" s="133"/>
    </row>
    <row r="603" spans="2:2" s="131" customFormat="1">
      <c r="B603" s="133"/>
    </row>
    <row r="604" spans="2:2" s="131" customFormat="1">
      <c r="B604" s="133"/>
    </row>
    <row r="605" spans="2:2" s="131" customFormat="1">
      <c r="B605" s="133"/>
    </row>
    <row r="606" spans="2:2" s="131" customFormat="1">
      <c r="B606" s="133"/>
    </row>
    <row r="607" spans="2:2" s="131" customFormat="1">
      <c r="B607" s="133"/>
    </row>
    <row r="608" spans="2:2" s="131" customFormat="1">
      <c r="B608" s="133"/>
    </row>
    <row r="609" spans="2:2" s="131" customFormat="1">
      <c r="B609" s="133"/>
    </row>
    <row r="610" spans="2:2" s="131" customFormat="1">
      <c r="B610" s="133"/>
    </row>
    <row r="611" spans="2:2" s="131" customFormat="1">
      <c r="B611" s="133"/>
    </row>
    <row r="612" spans="2:2" s="131" customFormat="1">
      <c r="B612" s="133"/>
    </row>
    <row r="613" spans="2:2" s="131" customFormat="1">
      <c r="B613" s="133"/>
    </row>
    <row r="614" spans="2:2" s="131" customFormat="1">
      <c r="B614" s="133"/>
    </row>
    <row r="615" spans="2:2" s="131" customFormat="1">
      <c r="B615" s="133"/>
    </row>
    <row r="616" spans="2:2" s="131" customFormat="1">
      <c r="B616" s="133"/>
    </row>
    <row r="617" spans="2:2" s="131" customFormat="1">
      <c r="B617" s="133"/>
    </row>
    <row r="618" spans="2:2" s="131" customFormat="1">
      <c r="B618" s="133"/>
    </row>
    <row r="619" spans="2:2" s="131" customFormat="1">
      <c r="B619" s="133"/>
    </row>
    <row r="620" spans="2:2" s="131" customFormat="1">
      <c r="B620" s="133"/>
    </row>
    <row r="621" spans="2:2" s="131" customFormat="1">
      <c r="B621" s="133"/>
    </row>
    <row r="622" spans="2:2" s="131" customFormat="1">
      <c r="B622" s="133"/>
    </row>
    <row r="623" spans="2:2" s="131" customFormat="1">
      <c r="B623" s="133"/>
    </row>
    <row r="624" spans="2:2" s="131" customFormat="1">
      <c r="B624" s="133"/>
    </row>
    <row r="625" spans="2:2" s="131" customFormat="1">
      <c r="B625" s="133"/>
    </row>
    <row r="626" spans="2:2" s="131" customFormat="1">
      <c r="B626" s="133"/>
    </row>
    <row r="627" spans="2:2" s="131" customFormat="1">
      <c r="B627" s="133"/>
    </row>
    <row r="628" spans="2:2" s="131" customFormat="1">
      <c r="B628" s="133"/>
    </row>
    <row r="629" spans="2:2" s="131" customFormat="1">
      <c r="B629" s="133"/>
    </row>
    <row r="630" spans="2:2" s="131" customFormat="1">
      <c r="B630" s="133"/>
    </row>
    <row r="631" spans="2:2" s="131" customFormat="1">
      <c r="B631" s="133"/>
    </row>
    <row r="632" spans="2:2" s="131" customFormat="1">
      <c r="B632" s="133"/>
    </row>
    <row r="633" spans="2:2" s="131" customFormat="1">
      <c r="B633" s="133"/>
    </row>
    <row r="634" spans="2:2" s="131" customFormat="1">
      <c r="B634" s="133"/>
    </row>
    <row r="635" spans="2:2" s="131" customFormat="1">
      <c r="B635" s="133"/>
    </row>
    <row r="636" spans="2:2" s="131" customFormat="1">
      <c r="B636" s="133"/>
    </row>
    <row r="637" spans="2:2" s="131" customFormat="1">
      <c r="B637" s="133"/>
    </row>
    <row r="638" spans="2:2" s="131" customFormat="1">
      <c r="B638" s="133"/>
    </row>
    <row r="639" spans="2:2" s="131" customFormat="1">
      <c r="B639" s="133"/>
    </row>
    <row r="640" spans="2:2" s="131" customFormat="1">
      <c r="B640" s="133"/>
    </row>
    <row r="641" spans="2:2" s="131" customFormat="1">
      <c r="B641" s="133"/>
    </row>
    <row r="642" spans="2:2" s="131" customFormat="1">
      <c r="B642" s="133"/>
    </row>
    <row r="643" spans="2:2" s="131" customFormat="1">
      <c r="B643" s="133"/>
    </row>
    <row r="644" spans="2:2" s="131" customFormat="1">
      <c r="B644" s="133"/>
    </row>
    <row r="645" spans="2:2" s="131" customFormat="1">
      <c r="B645" s="133"/>
    </row>
    <row r="646" spans="2:2" s="131" customFormat="1">
      <c r="B646" s="133"/>
    </row>
    <row r="647" spans="2:2" s="131" customFormat="1">
      <c r="B647" s="133"/>
    </row>
    <row r="648" spans="2:2" s="131" customFormat="1">
      <c r="B648" s="133"/>
    </row>
    <row r="649" spans="2:2" s="131" customFormat="1">
      <c r="B649" s="133"/>
    </row>
    <row r="650" spans="2:2" s="131" customFormat="1">
      <c r="B650" s="133"/>
    </row>
    <row r="651" spans="2:2" s="131" customFormat="1">
      <c r="B651" s="133"/>
    </row>
    <row r="652" spans="2:2" s="131" customFormat="1">
      <c r="B652" s="133"/>
    </row>
    <row r="653" spans="2:2" s="131" customFormat="1">
      <c r="B653" s="133"/>
    </row>
    <row r="654" spans="2:2" s="131" customFormat="1">
      <c r="B654" s="133"/>
    </row>
    <row r="655" spans="2:2" s="131" customFormat="1">
      <c r="B655" s="133"/>
    </row>
    <row r="656" spans="2:2" s="131" customFormat="1">
      <c r="B656" s="133"/>
    </row>
    <row r="657" spans="2:2" s="131" customFormat="1">
      <c r="B657" s="133"/>
    </row>
    <row r="658" spans="2:2" s="131" customFormat="1">
      <c r="B658" s="133"/>
    </row>
    <row r="659" spans="2:2" s="131" customFormat="1">
      <c r="B659" s="133"/>
    </row>
    <row r="660" spans="2:2" s="131" customFormat="1">
      <c r="B660" s="133"/>
    </row>
    <row r="661" spans="2:2" s="131" customFormat="1">
      <c r="B661" s="133"/>
    </row>
    <row r="662" spans="2:2" s="131" customFormat="1">
      <c r="B662" s="133"/>
    </row>
    <row r="663" spans="2:2" s="131" customFormat="1">
      <c r="B663" s="133"/>
    </row>
    <row r="664" spans="2:2" s="131" customFormat="1">
      <c r="B664" s="133"/>
    </row>
    <row r="665" spans="2:2" s="131" customFormat="1">
      <c r="B665" s="133"/>
    </row>
    <row r="666" spans="2:2" s="131" customFormat="1">
      <c r="B666" s="133"/>
    </row>
    <row r="667" spans="2:2" s="131" customFormat="1">
      <c r="B667" s="133"/>
    </row>
    <row r="668" spans="2:2" s="131" customFormat="1">
      <c r="B668" s="133"/>
    </row>
    <row r="669" spans="2:2" s="131" customFormat="1">
      <c r="B669" s="133"/>
    </row>
    <row r="670" spans="2:2" s="131" customFormat="1">
      <c r="B670" s="133"/>
    </row>
    <row r="671" spans="2:2" s="131" customFormat="1">
      <c r="B671" s="133"/>
    </row>
    <row r="672" spans="2:2" s="131" customFormat="1">
      <c r="B672" s="133"/>
    </row>
    <row r="673" spans="2:2" s="131" customFormat="1">
      <c r="B673" s="133"/>
    </row>
    <row r="674" spans="2:2" s="131" customFormat="1">
      <c r="B674" s="133"/>
    </row>
    <row r="675" spans="2:2" s="131" customFormat="1">
      <c r="B675" s="133"/>
    </row>
    <row r="676" spans="2:2" s="131" customFormat="1">
      <c r="B676" s="133"/>
    </row>
    <row r="677" spans="2:2" s="131" customFormat="1">
      <c r="B677" s="133"/>
    </row>
    <row r="678" spans="2:2" s="131" customFormat="1">
      <c r="B678" s="133"/>
    </row>
    <row r="679" spans="2:2" s="131" customFormat="1">
      <c r="B679" s="133"/>
    </row>
    <row r="680" spans="2:2" s="131" customFormat="1">
      <c r="B680" s="133"/>
    </row>
    <row r="681" spans="2:2" s="131" customFormat="1">
      <c r="B681" s="133"/>
    </row>
    <row r="682" spans="2:2" s="131" customFormat="1">
      <c r="B682" s="133"/>
    </row>
    <row r="683" spans="2:2" s="131" customFormat="1">
      <c r="B683" s="133"/>
    </row>
    <row r="684" spans="2:2" s="131" customFormat="1">
      <c r="B684" s="133"/>
    </row>
    <row r="685" spans="2:2" s="131" customFormat="1">
      <c r="B685" s="133"/>
    </row>
    <row r="686" spans="2:2" s="131" customFormat="1">
      <c r="B686" s="133"/>
    </row>
    <row r="687" spans="2:2" s="131" customFormat="1">
      <c r="B687" s="133"/>
    </row>
    <row r="688" spans="2:2" s="131" customFormat="1">
      <c r="B688" s="133"/>
    </row>
    <row r="689" spans="2:6" s="131" customFormat="1">
      <c r="B689" s="133"/>
    </row>
    <row r="690" spans="2:6">
      <c r="C690" s="1"/>
      <c r="D690" s="1"/>
      <c r="E690" s="1"/>
      <c r="F690" s="1"/>
    </row>
    <row r="691" spans="2:6">
      <c r="C691" s="1"/>
      <c r="D691" s="1"/>
      <c r="E691" s="1"/>
      <c r="F691" s="1"/>
    </row>
    <row r="692" spans="2:6">
      <c r="C692" s="1"/>
      <c r="D692" s="1"/>
      <c r="E692" s="1"/>
      <c r="F692" s="1"/>
    </row>
    <row r="693" spans="2:6">
      <c r="C693" s="1"/>
      <c r="D693" s="1"/>
      <c r="E693" s="1"/>
      <c r="F693" s="1"/>
    </row>
    <row r="694" spans="2:6">
      <c r="C694" s="1"/>
      <c r="D694" s="1"/>
      <c r="E694" s="1"/>
      <c r="F694" s="1"/>
    </row>
    <row r="695" spans="2:6">
      <c r="C695" s="1"/>
      <c r="D695" s="1"/>
      <c r="E695" s="1"/>
      <c r="F695" s="1"/>
    </row>
    <row r="696" spans="2:6">
      <c r="C696" s="1"/>
      <c r="D696" s="1"/>
      <c r="E696" s="1"/>
      <c r="F696" s="1"/>
    </row>
    <row r="697" spans="2:6">
      <c r="C697" s="1"/>
      <c r="D697" s="1"/>
      <c r="E697" s="1"/>
      <c r="F697" s="1"/>
    </row>
    <row r="698" spans="2:6">
      <c r="C698" s="1"/>
      <c r="D698" s="1"/>
      <c r="E698" s="1"/>
      <c r="F698" s="1"/>
    </row>
    <row r="699" spans="2:6">
      <c r="C699" s="1"/>
      <c r="D699" s="1"/>
      <c r="E699" s="1"/>
      <c r="F699" s="1"/>
    </row>
    <row r="700" spans="2:6">
      <c r="C700" s="1"/>
      <c r="D700" s="1"/>
      <c r="E700" s="1"/>
      <c r="F700" s="1"/>
    </row>
    <row r="701" spans="2:6">
      <c r="C701" s="1"/>
      <c r="D701" s="1"/>
      <c r="E701" s="1"/>
      <c r="F701" s="1"/>
    </row>
    <row r="702" spans="2:6">
      <c r="C702" s="1"/>
      <c r="D702" s="1"/>
      <c r="E702" s="1"/>
      <c r="F702" s="1"/>
    </row>
    <row r="703" spans="2:6">
      <c r="C703" s="1"/>
      <c r="D703" s="1"/>
      <c r="E703" s="1"/>
      <c r="F703" s="1"/>
    </row>
    <row r="704" spans="2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364:K364"/>
  </mergeCells>
  <phoneticPr fontId="5" type="noConversion"/>
  <conditionalFormatting sqref="B12:B356">
    <cfRule type="cellIs" dxfId="12" priority="2" operator="equal">
      <formula>"NR3"</formula>
    </cfRule>
  </conditionalFormatting>
  <conditionalFormatting sqref="B12:B356">
    <cfRule type="containsText" dxfId="1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362 B364"/>
    <dataValidation type="list" allowBlank="1" showInputMessage="1" showErrorMessage="1" sqref="I12:I35 I37:I363 I365:I828">
      <formula1>$BM$7:$BM$10</formula1>
    </dataValidation>
    <dataValidation type="list" allowBlank="1" showInputMessage="1" showErrorMessage="1" sqref="E12:E35 E37:E363 E365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65:G555 G37:G312 G314:G363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4" workbookViewId="0">
      <selection activeCell="F16" sqref="F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180</v>
      </c>
      <c r="C1" s="78" t="s" vm="1">
        <v>251</v>
      </c>
    </row>
    <row r="2" spans="2:62">
      <c r="B2" s="57" t="s">
        <v>179</v>
      </c>
      <c r="C2" s="78" t="s">
        <v>252</v>
      </c>
    </row>
    <row r="3" spans="2:62">
      <c r="B3" s="57" t="s">
        <v>181</v>
      </c>
      <c r="C3" s="78" t="s">
        <v>253</v>
      </c>
    </row>
    <row r="4" spans="2:62">
      <c r="B4" s="57" t="s">
        <v>182</v>
      </c>
      <c r="C4" s="78">
        <v>2144</v>
      </c>
    </row>
    <row r="6" spans="2:62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BJ6" s="3"/>
    </row>
    <row r="7" spans="2:62" ht="26.25" customHeight="1">
      <c r="B7" s="159" t="s">
        <v>90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BF7" s="3"/>
      <c r="BJ7" s="3"/>
    </row>
    <row r="8" spans="2:62" s="3" customFormat="1" ht="78.75">
      <c r="B8" s="23" t="s">
        <v>116</v>
      </c>
      <c r="C8" s="31" t="s">
        <v>44</v>
      </c>
      <c r="D8" s="31" t="s">
        <v>120</v>
      </c>
      <c r="E8" s="31" t="s">
        <v>226</v>
      </c>
      <c r="F8" s="31" t="s">
        <v>118</v>
      </c>
      <c r="G8" s="31" t="s">
        <v>63</v>
      </c>
      <c r="H8" s="31" t="s">
        <v>102</v>
      </c>
      <c r="I8" s="14" t="s">
        <v>234</v>
      </c>
      <c r="J8" s="14" t="s">
        <v>233</v>
      </c>
      <c r="K8" s="31" t="s">
        <v>249</v>
      </c>
      <c r="L8" s="14" t="s">
        <v>60</v>
      </c>
      <c r="M8" s="14" t="s">
        <v>57</v>
      </c>
      <c r="N8" s="14" t="s">
        <v>183</v>
      </c>
      <c r="O8" s="15" t="s">
        <v>185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241</v>
      </c>
      <c r="J9" s="17"/>
      <c r="K9" s="17" t="s">
        <v>237</v>
      </c>
      <c r="L9" s="17" t="s">
        <v>237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247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44"/>
  <sheetViews>
    <sheetView rightToLeft="1" topLeftCell="A10" workbookViewId="0">
      <selection activeCell="M20" sqref="M20"/>
    </sheetView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180</v>
      </c>
      <c r="C1" s="78" t="s" vm="1">
        <v>251</v>
      </c>
    </row>
    <row r="2" spans="2:63">
      <c r="B2" s="57" t="s">
        <v>179</v>
      </c>
      <c r="C2" s="78" t="s">
        <v>252</v>
      </c>
    </row>
    <row r="3" spans="2:63">
      <c r="B3" s="57" t="s">
        <v>181</v>
      </c>
      <c r="C3" s="78" t="s">
        <v>253</v>
      </c>
    </row>
    <row r="4" spans="2:63">
      <c r="B4" s="57" t="s">
        <v>182</v>
      </c>
      <c r="C4" s="78">
        <v>2144</v>
      </c>
    </row>
    <row r="6" spans="2:63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BK6" s="3"/>
    </row>
    <row r="7" spans="2:63" ht="26.25" customHeight="1">
      <c r="B7" s="159" t="s">
        <v>91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BH7" s="3"/>
      <c r="BK7" s="3"/>
    </row>
    <row r="8" spans="2:63" s="3" customFormat="1" ht="74.25" customHeight="1">
      <c r="B8" s="23" t="s">
        <v>116</v>
      </c>
      <c r="C8" s="31" t="s">
        <v>44</v>
      </c>
      <c r="D8" s="31" t="s">
        <v>120</v>
      </c>
      <c r="E8" s="31" t="s">
        <v>118</v>
      </c>
      <c r="F8" s="31" t="s">
        <v>63</v>
      </c>
      <c r="G8" s="31" t="s">
        <v>102</v>
      </c>
      <c r="H8" s="31" t="s">
        <v>234</v>
      </c>
      <c r="I8" s="31" t="s">
        <v>233</v>
      </c>
      <c r="J8" s="31" t="s">
        <v>249</v>
      </c>
      <c r="K8" s="31" t="s">
        <v>60</v>
      </c>
      <c r="L8" s="31" t="s">
        <v>57</v>
      </c>
      <c r="M8" s="31" t="s">
        <v>183</v>
      </c>
      <c r="N8" s="15" t="s">
        <v>185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241</v>
      </c>
      <c r="I9" s="33"/>
      <c r="J9" s="17" t="s">
        <v>237</v>
      </c>
      <c r="K9" s="33" t="s">
        <v>237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30</v>
      </c>
      <c r="C11" s="80"/>
      <c r="D11" s="80"/>
      <c r="E11" s="80"/>
      <c r="F11" s="80"/>
      <c r="G11" s="80"/>
      <c r="H11" s="88"/>
      <c r="I11" s="90"/>
      <c r="J11" s="80"/>
      <c r="K11" s="88">
        <v>4595.5525207699984</v>
      </c>
      <c r="L11" s="80"/>
      <c r="M11" s="89">
        <f>K11/$K$11</f>
        <v>1</v>
      </c>
      <c r="N11" s="89">
        <f>K11/'סכום נכסי הקרן'!$C$42</f>
        <v>1.9238111798897513E-2</v>
      </c>
      <c r="O11" s="5"/>
      <c r="BH11" s="1"/>
      <c r="BI11" s="3"/>
      <c r="BK11" s="1"/>
    </row>
    <row r="12" spans="2:63" ht="20.25">
      <c r="B12" s="81" t="s">
        <v>231</v>
      </c>
      <c r="C12" s="82"/>
      <c r="D12" s="82"/>
      <c r="E12" s="82"/>
      <c r="F12" s="82"/>
      <c r="G12" s="82"/>
      <c r="H12" s="91"/>
      <c r="I12" s="93"/>
      <c r="J12" s="82"/>
      <c r="K12" s="91">
        <v>2848.4737530570001</v>
      </c>
      <c r="L12" s="82"/>
      <c r="M12" s="92">
        <f t="shared" ref="M12:M29" si="0">K12/$K$11</f>
        <v>0.61983270568295668</v>
      </c>
      <c r="N12" s="92">
        <f>K12/'סכום נכסי הקרן'!$C$42</f>
        <v>1.1924410888541858E-2</v>
      </c>
      <c r="BI12" s="4"/>
    </row>
    <row r="13" spans="2:63">
      <c r="B13" s="102" t="s">
        <v>65</v>
      </c>
      <c r="C13" s="82"/>
      <c r="D13" s="82"/>
      <c r="E13" s="82"/>
      <c r="F13" s="82"/>
      <c r="G13" s="82"/>
      <c r="H13" s="91"/>
      <c r="I13" s="93"/>
      <c r="J13" s="82"/>
      <c r="K13" s="91">
        <v>2848.4737530570001</v>
      </c>
      <c r="L13" s="82"/>
      <c r="M13" s="92">
        <f t="shared" si="0"/>
        <v>0.61983270568295668</v>
      </c>
      <c r="N13" s="92">
        <f>K13/'סכום נכסי הקרן'!$C$42</f>
        <v>1.1924410888541858E-2</v>
      </c>
    </row>
    <row r="14" spans="2:63">
      <c r="B14" s="87" t="s">
        <v>1160</v>
      </c>
      <c r="C14" s="84" t="s">
        <v>1161</v>
      </c>
      <c r="D14" s="97" t="s">
        <v>121</v>
      </c>
      <c r="E14" s="84" t="s">
        <v>1162</v>
      </c>
      <c r="F14" s="97" t="s">
        <v>1163</v>
      </c>
      <c r="G14" s="97" t="s">
        <v>165</v>
      </c>
      <c r="H14" s="94">
        <v>3989.9552179999991</v>
      </c>
      <c r="I14" s="96">
        <v>359.41</v>
      </c>
      <c r="J14" s="84"/>
      <c r="K14" s="94">
        <v>14.340298046999997</v>
      </c>
      <c r="L14" s="95">
        <v>2.5761142766788757E-5</v>
      </c>
      <c r="M14" s="95">
        <f t="shared" si="0"/>
        <v>3.1204731057229303E-3</v>
      </c>
      <c r="N14" s="95">
        <f>K14/'סכום נכסי הקרן'!$C$42</f>
        <v>6.0032010473350666E-5</v>
      </c>
    </row>
    <row r="15" spans="2:63">
      <c r="B15" s="87" t="s">
        <v>1164</v>
      </c>
      <c r="C15" s="84" t="s">
        <v>1165</v>
      </c>
      <c r="D15" s="97" t="s">
        <v>121</v>
      </c>
      <c r="E15" s="84" t="s">
        <v>1162</v>
      </c>
      <c r="F15" s="97" t="s">
        <v>1163</v>
      </c>
      <c r="G15" s="97" t="s">
        <v>165</v>
      </c>
      <c r="H15" s="94">
        <v>15850.845778999997</v>
      </c>
      <c r="I15" s="96">
        <v>330.88</v>
      </c>
      <c r="J15" s="84"/>
      <c r="K15" s="94">
        <v>52.44727851999999</v>
      </c>
      <c r="L15" s="95">
        <v>7.1967641891958754E-4</v>
      </c>
      <c r="M15" s="95">
        <f t="shared" si="0"/>
        <v>1.1412616498877983E-2</v>
      </c>
      <c r="N15" s="95">
        <f>K15/'סכום נכסי הקרן'!$C$42</f>
        <v>2.1955719212335696E-4</v>
      </c>
    </row>
    <row r="16" spans="2:63" ht="20.25">
      <c r="B16" s="87" t="s">
        <v>1166</v>
      </c>
      <c r="C16" s="84" t="s">
        <v>1167</v>
      </c>
      <c r="D16" s="97" t="s">
        <v>121</v>
      </c>
      <c r="E16" s="84" t="s">
        <v>1162</v>
      </c>
      <c r="F16" s="97" t="s">
        <v>1163</v>
      </c>
      <c r="G16" s="97" t="s">
        <v>165</v>
      </c>
      <c r="H16" s="94">
        <v>174802.53470299995</v>
      </c>
      <c r="I16" s="96">
        <v>345.35</v>
      </c>
      <c r="J16" s="84"/>
      <c r="K16" s="94">
        <v>603.68055360999995</v>
      </c>
      <c r="L16" s="95">
        <v>7.4781957158072182E-4</v>
      </c>
      <c r="M16" s="95">
        <f t="shared" si="0"/>
        <v>0.13136190934204608</v>
      </c>
      <c r="N16" s="95">
        <f>K16/'סכום נכסי הקרן'!$C$42</f>
        <v>2.5271550980389226E-3</v>
      </c>
      <c r="BH16" s="4"/>
    </row>
    <row r="17" spans="2:14">
      <c r="B17" s="87" t="s">
        <v>1168</v>
      </c>
      <c r="C17" s="84" t="s">
        <v>1169</v>
      </c>
      <c r="D17" s="97" t="s">
        <v>121</v>
      </c>
      <c r="E17" s="84" t="s">
        <v>1162</v>
      </c>
      <c r="F17" s="97" t="s">
        <v>1163</v>
      </c>
      <c r="G17" s="97" t="s">
        <v>165</v>
      </c>
      <c r="H17" s="94">
        <v>1595.4441159999997</v>
      </c>
      <c r="I17" s="96">
        <v>378.15</v>
      </c>
      <c r="J17" s="84"/>
      <c r="K17" s="94">
        <v>6.0331719359999987</v>
      </c>
      <c r="L17" s="95">
        <v>1.1337592854975658E-5</v>
      </c>
      <c r="M17" s="95">
        <f t="shared" si="0"/>
        <v>1.3128284158939658E-3</v>
      </c>
      <c r="N17" s="95">
        <f>K17/'סכום נכסי הקרן'!$C$42</f>
        <v>2.5256339837737636E-5</v>
      </c>
    </row>
    <row r="18" spans="2:14">
      <c r="B18" s="87" t="s">
        <v>1170</v>
      </c>
      <c r="C18" s="84" t="s">
        <v>1171</v>
      </c>
      <c r="D18" s="97" t="s">
        <v>121</v>
      </c>
      <c r="E18" s="84" t="s">
        <v>1172</v>
      </c>
      <c r="F18" s="97" t="s">
        <v>1163</v>
      </c>
      <c r="G18" s="97" t="s">
        <v>165</v>
      </c>
      <c r="H18" s="94">
        <v>116171.02454799999</v>
      </c>
      <c r="I18" s="96">
        <v>345.93</v>
      </c>
      <c r="J18" s="84"/>
      <c r="K18" s="94">
        <v>401.87042814899996</v>
      </c>
      <c r="L18" s="95">
        <v>2.8085500403109316E-4</v>
      </c>
      <c r="M18" s="95">
        <f t="shared" si="0"/>
        <v>8.7447684763194783E-2</v>
      </c>
      <c r="N18" s="95">
        <f>K18/'סכום נכסי הקרן'!$C$42</f>
        <v>1.6823283360290877E-3</v>
      </c>
    </row>
    <row r="19" spans="2:14">
      <c r="B19" s="87" t="s">
        <v>1173</v>
      </c>
      <c r="C19" s="84" t="s">
        <v>1174</v>
      </c>
      <c r="D19" s="97" t="s">
        <v>121</v>
      </c>
      <c r="E19" s="84" t="s">
        <v>1172</v>
      </c>
      <c r="F19" s="97" t="s">
        <v>1163</v>
      </c>
      <c r="G19" s="97" t="s">
        <v>165</v>
      </c>
      <c r="H19" s="94">
        <v>8647.4878899999985</v>
      </c>
      <c r="I19" s="96">
        <v>355.53</v>
      </c>
      <c r="J19" s="84"/>
      <c r="K19" s="94">
        <v>30.744413712999997</v>
      </c>
      <c r="L19" s="95">
        <v>2.8940409874019159E-5</v>
      </c>
      <c r="M19" s="95">
        <f t="shared" si="0"/>
        <v>6.6900364154360006E-3</v>
      </c>
      <c r="N19" s="95">
        <f>K19/'סכום נכסי הקרן'!$C$42</f>
        <v>1.2870366849885334E-4</v>
      </c>
    </row>
    <row r="20" spans="2:14">
      <c r="B20" s="87" t="s">
        <v>1175</v>
      </c>
      <c r="C20" s="84" t="s">
        <v>1176</v>
      </c>
      <c r="D20" s="97" t="s">
        <v>121</v>
      </c>
      <c r="E20" s="84" t="s">
        <v>1172</v>
      </c>
      <c r="F20" s="97" t="s">
        <v>1163</v>
      </c>
      <c r="G20" s="97" t="s">
        <v>165</v>
      </c>
      <c r="H20" s="94">
        <v>8110.4725289999988</v>
      </c>
      <c r="I20" s="96">
        <v>331.53</v>
      </c>
      <c r="J20" s="84"/>
      <c r="K20" s="94">
        <v>26.888649591999997</v>
      </c>
      <c r="L20" s="95">
        <v>1.2201430861626427E-4</v>
      </c>
      <c r="M20" s="95">
        <f t="shared" si="0"/>
        <v>5.851015622272711E-3</v>
      </c>
      <c r="N20" s="95">
        <f>K20/'סכום נכסי הקרן'!$C$42</f>
        <v>1.125624926783783E-4</v>
      </c>
    </row>
    <row r="21" spans="2:14">
      <c r="B21" s="87" t="s">
        <v>1177</v>
      </c>
      <c r="C21" s="84" t="s">
        <v>1178</v>
      </c>
      <c r="D21" s="97" t="s">
        <v>121</v>
      </c>
      <c r="E21" s="84" t="s">
        <v>1172</v>
      </c>
      <c r="F21" s="97" t="s">
        <v>1163</v>
      </c>
      <c r="G21" s="97" t="s">
        <v>165</v>
      </c>
      <c r="H21" s="94">
        <v>37991.613024999991</v>
      </c>
      <c r="I21" s="96">
        <v>375.56</v>
      </c>
      <c r="J21" s="84"/>
      <c r="K21" s="94">
        <v>142.68130186299996</v>
      </c>
      <c r="L21" s="95">
        <v>1.491330535304126E-4</v>
      </c>
      <c r="M21" s="95">
        <f t="shared" si="0"/>
        <v>3.1047692571924579E-2</v>
      </c>
      <c r="N21" s="95">
        <f>K21/'סכום נכסי הקרן'!$C$42</f>
        <v>5.9729898079648495E-4</v>
      </c>
    </row>
    <row r="22" spans="2:14">
      <c r="B22" s="87" t="s">
        <v>1179</v>
      </c>
      <c r="C22" s="84" t="s">
        <v>1180</v>
      </c>
      <c r="D22" s="97" t="s">
        <v>121</v>
      </c>
      <c r="E22" s="84" t="s">
        <v>1181</v>
      </c>
      <c r="F22" s="97" t="s">
        <v>1163</v>
      </c>
      <c r="G22" s="97" t="s">
        <v>165</v>
      </c>
      <c r="H22" s="94">
        <v>79.788856999999979</v>
      </c>
      <c r="I22" s="96">
        <v>3561.52</v>
      </c>
      <c r="J22" s="84"/>
      <c r="K22" s="94">
        <v>2.8416961119999997</v>
      </c>
      <c r="L22" s="95">
        <v>3.4715962879885041E-6</v>
      </c>
      <c r="M22" s="95">
        <f t="shared" si="0"/>
        <v>6.1835787952737079E-4</v>
      </c>
      <c r="N22" s="95">
        <f>K22/'סכום נכסי הקרן'!$C$42</f>
        <v>1.1896038018076759E-5</v>
      </c>
    </row>
    <row r="23" spans="2:14">
      <c r="B23" s="87" t="s">
        <v>1182</v>
      </c>
      <c r="C23" s="84" t="s">
        <v>1183</v>
      </c>
      <c r="D23" s="97" t="s">
        <v>121</v>
      </c>
      <c r="E23" s="84" t="s">
        <v>1181</v>
      </c>
      <c r="F23" s="97" t="s">
        <v>1163</v>
      </c>
      <c r="G23" s="97" t="s">
        <v>165</v>
      </c>
      <c r="H23" s="94">
        <v>353.52412199999992</v>
      </c>
      <c r="I23" s="96">
        <v>3295.08</v>
      </c>
      <c r="J23" s="84"/>
      <c r="K23" s="94">
        <v>11.648902638999999</v>
      </c>
      <c r="L23" s="95">
        <v>6.0606414001166433E-5</v>
      </c>
      <c r="M23" s="95">
        <f t="shared" si="0"/>
        <v>2.5348209135575696E-3</v>
      </c>
      <c r="N23" s="95">
        <f>K23/'סכום נכסי הקרן'!$C$42</f>
        <v>4.8765168125204051E-5</v>
      </c>
    </row>
    <row r="24" spans="2:14">
      <c r="B24" s="87" t="s">
        <v>1184</v>
      </c>
      <c r="C24" s="84" t="s">
        <v>1185</v>
      </c>
      <c r="D24" s="97" t="s">
        <v>121</v>
      </c>
      <c r="E24" s="84" t="s">
        <v>1181</v>
      </c>
      <c r="F24" s="97" t="s">
        <v>1163</v>
      </c>
      <c r="G24" s="97" t="s">
        <v>165</v>
      </c>
      <c r="H24" s="94">
        <v>5556.325816999999</v>
      </c>
      <c r="I24" s="96">
        <v>3442.42</v>
      </c>
      <c r="J24" s="84"/>
      <c r="K24" s="94">
        <v>191.27207117099996</v>
      </c>
      <c r="L24" s="95">
        <v>1.3950182683701595E-4</v>
      </c>
      <c r="M24" s="95">
        <f t="shared" si="0"/>
        <v>4.1621126144577664E-2</v>
      </c>
      <c r="N24" s="95">
        <f>K24/'סכום נכסי הקרן'!$C$42</f>
        <v>8.0071187796540129E-4</v>
      </c>
    </row>
    <row r="25" spans="2:14">
      <c r="B25" s="87" t="s">
        <v>1186</v>
      </c>
      <c r="C25" s="84" t="s">
        <v>1187</v>
      </c>
      <c r="D25" s="97" t="s">
        <v>121</v>
      </c>
      <c r="E25" s="84" t="s">
        <v>1181</v>
      </c>
      <c r="F25" s="97" t="s">
        <v>1163</v>
      </c>
      <c r="G25" s="97" t="s">
        <v>165</v>
      </c>
      <c r="H25" s="94">
        <v>4379.2595669999992</v>
      </c>
      <c r="I25" s="96">
        <v>3770.16</v>
      </c>
      <c r="J25" s="84"/>
      <c r="K25" s="94">
        <v>165.10509250299995</v>
      </c>
      <c r="L25" s="95">
        <v>2.6415152501820264E-4</v>
      </c>
      <c r="M25" s="95">
        <f t="shared" si="0"/>
        <v>3.5927147335775872E-2</v>
      </c>
      <c r="N25" s="95">
        <f>K25/'סכום נכסי הקרן'!$C$42</f>
        <v>6.9117047706111919E-4</v>
      </c>
    </row>
    <row r="26" spans="2:14">
      <c r="B26" s="87" t="s">
        <v>1188</v>
      </c>
      <c r="C26" s="84" t="s">
        <v>1189</v>
      </c>
      <c r="D26" s="97" t="s">
        <v>121</v>
      </c>
      <c r="E26" s="84" t="s">
        <v>1190</v>
      </c>
      <c r="F26" s="97" t="s">
        <v>1163</v>
      </c>
      <c r="G26" s="97" t="s">
        <v>165</v>
      </c>
      <c r="H26" s="94">
        <v>11154.319753999998</v>
      </c>
      <c r="I26" s="96">
        <v>356.52</v>
      </c>
      <c r="J26" s="84"/>
      <c r="K26" s="94">
        <v>39.767380802999995</v>
      </c>
      <c r="L26" s="95">
        <v>3.2056326961736148E-5</v>
      </c>
      <c r="M26" s="95">
        <f t="shared" si="0"/>
        <v>8.653449312844945E-3</v>
      </c>
      <c r="N26" s="95">
        <f>K26/'סכום נכסי הקרן'!$C$42</f>
        <v>1.6647602532660389E-4</v>
      </c>
    </row>
    <row r="27" spans="2:14">
      <c r="B27" s="87" t="s">
        <v>1191</v>
      </c>
      <c r="C27" s="84" t="s">
        <v>1192</v>
      </c>
      <c r="D27" s="97" t="s">
        <v>121</v>
      </c>
      <c r="E27" s="84" t="s">
        <v>1190</v>
      </c>
      <c r="F27" s="97" t="s">
        <v>1163</v>
      </c>
      <c r="G27" s="97" t="s">
        <v>165</v>
      </c>
      <c r="H27" s="94">
        <v>7162.3141479999995</v>
      </c>
      <c r="I27" s="96">
        <v>330.71</v>
      </c>
      <c r="J27" s="84"/>
      <c r="K27" s="94">
        <v>23.686489090999999</v>
      </c>
      <c r="L27" s="95">
        <v>1.9276413551526375E-4</v>
      </c>
      <c r="M27" s="95">
        <f t="shared" si="0"/>
        <v>5.1542200821221946E-3</v>
      </c>
      <c r="N27" s="95">
        <f>K27/'סכום נכסי הקרן'!$C$42</f>
        <v>9.9157462175989496E-5</v>
      </c>
    </row>
    <row r="28" spans="2:14">
      <c r="B28" s="87" t="s">
        <v>1193</v>
      </c>
      <c r="C28" s="84" t="s">
        <v>1194</v>
      </c>
      <c r="D28" s="97" t="s">
        <v>121</v>
      </c>
      <c r="E28" s="84" t="s">
        <v>1190</v>
      </c>
      <c r="F28" s="97" t="s">
        <v>1163</v>
      </c>
      <c r="G28" s="97" t="s">
        <v>165</v>
      </c>
      <c r="H28" s="94">
        <v>308229.68921700004</v>
      </c>
      <c r="I28" s="96">
        <v>344.93</v>
      </c>
      <c r="J28" s="84"/>
      <c r="K28" s="94">
        <v>1063.1766670079999</v>
      </c>
      <c r="L28" s="95">
        <v>7.3742466867222402E-4</v>
      </c>
      <c r="M28" s="95">
        <f t="shared" si="0"/>
        <v>0.23134904066548706</v>
      </c>
      <c r="N28" s="95">
        <f>K28/'סכום נכסי הקרן'!$C$42</f>
        <v>4.4507187088903269E-3</v>
      </c>
    </row>
    <row r="29" spans="2:14">
      <c r="B29" s="87" t="s">
        <v>1195</v>
      </c>
      <c r="C29" s="84" t="s">
        <v>1196</v>
      </c>
      <c r="D29" s="97" t="s">
        <v>121</v>
      </c>
      <c r="E29" s="84" t="s">
        <v>1190</v>
      </c>
      <c r="F29" s="97" t="s">
        <v>1163</v>
      </c>
      <c r="G29" s="97" t="s">
        <v>165</v>
      </c>
      <c r="H29" s="94">
        <v>19097.896618999996</v>
      </c>
      <c r="I29" s="96">
        <v>378.52</v>
      </c>
      <c r="J29" s="84"/>
      <c r="K29" s="94">
        <v>72.289358300000004</v>
      </c>
      <c r="L29" s="95">
        <v>9.0528506456616362E-5</v>
      </c>
      <c r="M29" s="95">
        <f t="shared" si="0"/>
        <v>1.5730286613694865E-2</v>
      </c>
      <c r="N29" s="95">
        <f>K29/'סכום נכסי הקרן'!$C$42</f>
        <v>3.0262101250296279E-4</v>
      </c>
    </row>
    <row r="30" spans="2:14">
      <c r="B30" s="83"/>
      <c r="C30" s="84"/>
      <c r="D30" s="84"/>
      <c r="E30" s="84"/>
      <c r="F30" s="84"/>
      <c r="G30" s="84"/>
      <c r="H30" s="94"/>
      <c r="I30" s="96"/>
      <c r="J30" s="84"/>
      <c r="K30" s="84"/>
      <c r="L30" s="84"/>
      <c r="M30" s="95"/>
      <c r="N30" s="84"/>
    </row>
    <row r="31" spans="2:14">
      <c r="B31" s="81" t="s">
        <v>230</v>
      </c>
      <c r="C31" s="82"/>
      <c r="D31" s="82"/>
      <c r="E31" s="82"/>
      <c r="F31" s="82"/>
      <c r="G31" s="82"/>
      <c r="H31" s="91"/>
      <c r="I31" s="93"/>
      <c r="J31" s="82"/>
      <c r="K31" s="91">
        <v>1747.0787677130002</v>
      </c>
      <c r="L31" s="82"/>
      <c r="M31" s="92">
        <f t="shared" ref="M31:M37" si="1">K31/$K$11</f>
        <v>0.38016729431704371</v>
      </c>
      <c r="N31" s="92">
        <f>K31/'סכום נכסי הקרן'!$C$42</f>
        <v>7.3137009103556617E-3</v>
      </c>
    </row>
    <row r="32" spans="2:14">
      <c r="B32" s="102" t="s">
        <v>66</v>
      </c>
      <c r="C32" s="82"/>
      <c r="D32" s="82"/>
      <c r="E32" s="82"/>
      <c r="F32" s="82"/>
      <c r="G32" s="82"/>
      <c r="H32" s="91"/>
      <c r="I32" s="93"/>
      <c r="J32" s="82"/>
      <c r="K32" s="91">
        <v>1747.0787677130002</v>
      </c>
      <c r="L32" s="82"/>
      <c r="M32" s="92">
        <f t="shared" si="1"/>
        <v>0.38016729431704371</v>
      </c>
      <c r="N32" s="92">
        <f>K32/'סכום נכסי הקרן'!$C$42</f>
        <v>7.3137009103556617E-3</v>
      </c>
    </row>
    <row r="33" spans="2:14">
      <c r="B33" s="87" t="s">
        <v>1197</v>
      </c>
      <c r="C33" s="84" t="s">
        <v>1198</v>
      </c>
      <c r="D33" s="97" t="s">
        <v>124</v>
      </c>
      <c r="E33" s="84"/>
      <c r="F33" s="97" t="s">
        <v>1163</v>
      </c>
      <c r="G33" s="97" t="s">
        <v>164</v>
      </c>
      <c r="H33" s="94">
        <v>325.17785899999996</v>
      </c>
      <c r="I33" s="96">
        <v>10287.5</v>
      </c>
      <c r="J33" s="84"/>
      <c r="K33" s="94">
        <v>116.48220459999997</v>
      </c>
      <c r="L33" s="95">
        <v>5.0306992405478442E-5</v>
      </c>
      <c r="M33" s="95">
        <f t="shared" si="1"/>
        <v>2.5346724702535451E-2</v>
      </c>
      <c r="N33" s="95">
        <f>K33/'סכום נכסי הקרן'!$C$42</f>
        <v>4.8762312356325426E-4</v>
      </c>
    </row>
    <row r="34" spans="2:14">
      <c r="B34" s="87" t="s">
        <v>1199</v>
      </c>
      <c r="C34" s="84" t="s">
        <v>1200</v>
      </c>
      <c r="D34" s="97" t="s">
        <v>124</v>
      </c>
      <c r="E34" s="84"/>
      <c r="F34" s="97" t="s">
        <v>1163</v>
      </c>
      <c r="G34" s="97" t="s">
        <v>164</v>
      </c>
      <c r="H34" s="94">
        <v>1346.182039</v>
      </c>
      <c r="I34" s="96">
        <v>10368</v>
      </c>
      <c r="J34" s="84"/>
      <c r="K34" s="94">
        <v>485.99023947999996</v>
      </c>
      <c r="L34" s="95">
        <v>3.1994463068254808E-5</v>
      </c>
      <c r="M34" s="95">
        <f t="shared" si="1"/>
        <v>0.10575229796276397</v>
      </c>
      <c r="N34" s="95">
        <f>K34/'סכום נכסי הקרן'!$C$42</f>
        <v>2.034474531197975E-3</v>
      </c>
    </row>
    <row r="35" spans="2:14">
      <c r="B35" s="87" t="s">
        <v>1201</v>
      </c>
      <c r="C35" s="84" t="s">
        <v>1202</v>
      </c>
      <c r="D35" s="97" t="s">
        <v>124</v>
      </c>
      <c r="E35" s="84"/>
      <c r="F35" s="97" t="s">
        <v>1163</v>
      </c>
      <c r="G35" s="97" t="s">
        <v>164</v>
      </c>
      <c r="H35" s="94">
        <v>1730.2067009999998</v>
      </c>
      <c r="I35" s="96">
        <v>12153</v>
      </c>
      <c r="J35" s="84"/>
      <c r="K35" s="94">
        <v>732.16717482999991</v>
      </c>
      <c r="L35" s="95">
        <v>3.9070625403079385E-5</v>
      </c>
      <c r="M35" s="95">
        <f t="shared" si="1"/>
        <v>0.15932081540160989</v>
      </c>
      <c r="N35" s="95">
        <f>K35/'סכום נכסי הקרן'!$C$42</f>
        <v>3.0650316585876837E-3</v>
      </c>
    </row>
    <row r="36" spans="2:14">
      <c r="B36" s="87" t="s">
        <v>1203</v>
      </c>
      <c r="C36" s="84" t="s">
        <v>1204</v>
      </c>
      <c r="D36" s="97" t="s">
        <v>124</v>
      </c>
      <c r="E36" s="84"/>
      <c r="F36" s="97" t="s">
        <v>1163</v>
      </c>
      <c r="G36" s="97" t="s">
        <v>167</v>
      </c>
      <c r="H36" s="94">
        <v>25694.680824999996</v>
      </c>
      <c r="I36" s="96">
        <v>167.5</v>
      </c>
      <c r="J36" s="84"/>
      <c r="K36" s="94">
        <v>184.20516686099998</v>
      </c>
      <c r="L36" s="95">
        <v>1.2898700781740252E-4</v>
      </c>
      <c r="M36" s="95">
        <f t="shared" si="1"/>
        <v>4.0083355815969626E-2</v>
      </c>
      <c r="N36" s="95">
        <f>K36/'סכום נכסי הקרן'!$C$42</f>
        <v>7.7112808046261242E-4</v>
      </c>
    </row>
    <row r="37" spans="2:14">
      <c r="B37" s="87" t="s">
        <v>1205</v>
      </c>
      <c r="C37" s="84" t="s">
        <v>1206</v>
      </c>
      <c r="D37" s="97" t="s">
        <v>124</v>
      </c>
      <c r="E37" s="84"/>
      <c r="F37" s="97" t="s">
        <v>1163</v>
      </c>
      <c r="G37" s="97" t="s">
        <v>164</v>
      </c>
      <c r="H37" s="94">
        <v>926.19481199999962</v>
      </c>
      <c r="I37" s="96">
        <v>7077</v>
      </c>
      <c r="J37" s="84"/>
      <c r="K37" s="94">
        <v>228.23398194200001</v>
      </c>
      <c r="L37" s="95">
        <v>2.112410692160487E-5</v>
      </c>
      <c r="M37" s="95">
        <f t="shared" si="1"/>
        <v>4.9664100434164714E-2</v>
      </c>
      <c r="N37" s="95">
        <f>K37/'סכום נכסי הקרן'!$C$42</f>
        <v>9.554435165441352E-4</v>
      </c>
    </row>
    <row r="38" spans="2:14">
      <c r="D38" s="1"/>
      <c r="E38" s="1"/>
      <c r="F38" s="1"/>
      <c r="G38" s="1"/>
    </row>
    <row r="39" spans="2:14">
      <c r="D39" s="1"/>
      <c r="E39" s="1"/>
      <c r="F39" s="1"/>
      <c r="G39" s="1"/>
    </row>
    <row r="40" spans="2:14">
      <c r="D40" s="1"/>
      <c r="E40" s="1"/>
      <c r="F40" s="1"/>
      <c r="G40" s="1"/>
    </row>
    <row r="41" spans="2:14">
      <c r="B41" s="99" t="s">
        <v>250</v>
      </c>
      <c r="D41" s="1"/>
      <c r="E41" s="1"/>
      <c r="F41" s="1"/>
      <c r="G41" s="1"/>
    </row>
    <row r="42" spans="2:14">
      <c r="B42" s="99" t="s">
        <v>113</v>
      </c>
      <c r="D42" s="1"/>
      <c r="E42" s="1"/>
      <c r="F42" s="1"/>
      <c r="G42" s="1"/>
    </row>
    <row r="43" spans="2:14">
      <c r="B43" s="99" t="s">
        <v>232</v>
      </c>
      <c r="D43" s="1"/>
      <c r="E43" s="1"/>
      <c r="F43" s="1"/>
      <c r="G43" s="1"/>
    </row>
    <row r="44" spans="2:14">
      <c r="B44" s="99" t="s">
        <v>240</v>
      </c>
      <c r="D44" s="1"/>
      <c r="E44" s="1"/>
      <c r="F44" s="1"/>
      <c r="G44" s="1"/>
    </row>
    <row r="45" spans="2:14">
      <c r="B45" s="99" t="s">
        <v>248</v>
      </c>
      <c r="D45" s="1"/>
      <c r="E45" s="1"/>
      <c r="F45" s="1"/>
      <c r="G45" s="1"/>
    </row>
    <row r="46" spans="2:14">
      <c r="D46" s="1"/>
      <c r="E46" s="1"/>
      <c r="F46" s="1"/>
      <c r="G46" s="1"/>
    </row>
    <row r="47" spans="2:14">
      <c r="D47" s="1"/>
      <c r="E47" s="1"/>
      <c r="F47" s="1"/>
      <c r="G47" s="1"/>
    </row>
    <row r="48" spans="2:14">
      <c r="D48" s="1"/>
      <c r="E48" s="1"/>
      <c r="F48" s="1"/>
      <c r="G48" s="1"/>
    </row>
    <row r="49" spans="4:7">
      <c r="D49" s="1"/>
      <c r="E49" s="1"/>
      <c r="F49" s="1"/>
      <c r="G49" s="1"/>
    </row>
    <row r="50" spans="4:7">
      <c r="D50" s="1"/>
      <c r="E50" s="1"/>
      <c r="F50" s="1"/>
      <c r="G50" s="1"/>
    </row>
    <row r="51" spans="4:7">
      <c r="D51" s="1"/>
      <c r="E51" s="1"/>
      <c r="F51" s="1"/>
      <c r="G51" s="1"/>
    </row>
    <row r="52" spans="4:7">
      <c r="D52" s="1"/>
      <c r="E52" s="1"/>
      <c r="F52" s="1"/>
      <c r="G52" s="1"/>
    </row>
    <row r="53" spans="4:7">
      <c r="D53" s="1"/>
      <c r="E53" s="1"/>
      <c r="F53" s="1"/>
      <c r="G53" s="1"/>
    </row>
    <row r="54" spans="4:7">
      <c r="D54" s="1"/>
      <c r="E54" s="1"/>
      <c r="F54" s="1"/>
      <c r="G54" s="1"/>
    </row>
    <row r="55" spans="4:7">
      <c r="D55" s="1"/>
      <c r="E55" s="1"/>
      <c r="F55" s="1"/>
      <c r="G55" s="1"/>
    </row>
    <row r="56" spans="4:7">
      <c r="D56" s="1"/>
      <c r="E56" s="1"/>
      <c r="F56" s="1"/>
      <c r="G56" s="1"/>
    </row>
    <row r="57" spans="4:7">
      <c r="D57" s="1"/>
      <c r="E57" s="1"/>
      <c r="F57" s="1"/>
      <c r="G57" s="1"/>
    </row>
    <row r="58" spans="4:7">
      <c r="D58" s="1"/>
      <c r="E58" s="1"/>
      <c r="F58" s="1"/>
      <c r="G58" s="1"/>
    </row>
    <row r="59" spans="4:7">
      <c r="D59" s="1"/>
      <c r="E59" s="1"/>
      <c r="F59" s="1"/>
      <c r="G59" s="1"/>
    </row>
    <row r="60" spans="4:7">
      <c r="D60" s="1"/>
      <c r="E60" s="1"/>
      <c r="F60" s="1"/>
      <c r="G60" s="1"/>
    </row>
    <row r="61" spans="4:7">
      <c r="D61" s="1"/>
      <c r="E61" s="1"/>
      <c r="F61" s="1"/>
      <c r="G61" s="1"/>
    </row>
    <row r="62" spans="4:7">
      <c r="D62" s="1"/>
      <c r="E62" s="1"/>
      <c r="F62" s="1"/>
      <c r="G62" s="1"/>
    </row>
    <row r="63" spans="4:7">
      <c r="D63" s="1"/>
      <c r="E63" s="1"/>
      <c r="F63" s="1"/>
      <c r="G63" s="1"/>
    </row>
    <row r="64" spans="4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2:7">
      <c r="D225" s="1"/>
      <c r="E225" s="1"/>
      <c r="F225" s="1"/>
      <c r="G225" s="1"/>
    </row>
    <row r="226" spans="2:7">
      <c r="D226" s="1"/>
      <c r="E226" s="1"/>
      <c r="F226" s="1"/>
      <c r="G226" s="1"/>
    </row>
    <row r="227" spans="2:7">
      <c r="D227" s="1"/>
      <c r="E227" s="1"/>
      <c r="F227" s="1"/>
      <c r="G227" s="1"/>
    </row>
    <row r="228" spans="2:7">
      <c r="D228" s="1"/>
      <c r="E228" s="1"/>
      <c r="F228" s="1"/>
      <c r="G228" s="1"/>
    </row>
    <row r="229" spans="2:7">
      <c r="D229" s="1"/>
      <c r="E229" s="1"/>
      <c r="F229" s="1"/>
      <c r="G229" s="1"/>
    </row>
    <row r="230" spans="2:7">
      <c r="D230" s="1"/>
      <c r="E230" s="1"/>
      <c r="F230" s="1"/>
      <c r="G230" s="1"/>
    </row>
    <row r="231" spans="2:7">
      <c r="D231" s="1"/>
      <c r="E231" s="1"/>
      <c r="F231" s="1"/>
      <c r="G231" s="1"/>
    </row>
    <row r="232" spans="2:7">
      <c r="D232" s="1"/>
      <c r="E232" s="1"/>
      <c r="F232" s="1"/>
      <c r="G232" s="1"/>
    </row>
    <row r="233" spans="2:7">
      <c r="D233" s="1"/>
      <c r="E233" s="1"/>
      <c r="F233" s="1"/>
      <c r="G233" s="1"/>
    </row>
    <row r="234" spans="2:7">
      <c r="D234" s="1"/>
      <c r="E234" s="1"/>
      <c r="F234" s="1"/>
      <c r="G234" s="1"/>
    </row>
    <row r="235" spans="2:7">
      <c r="D235" s="1"/>
      <c r="E235" s="1"/>
      <c r="F235" s="1"/>
      <c r="G235" s="1"/>
    </row>
    <row r="236" spans="2:7">
      <c r="D236" s="1"/>
      <c r="E236" s="1"/>
      <c r="F236" s="1"/>
      <c r="G236" s="1"/>
    </row>
    <row r="237" spans="2:7">
      <c r="D237" s="1"/>
      <c r="E237" s="1"/>
      <c r="F237" s="1"/>
      <c r="G237" s="1"/>
    </row>
    <row r="238" spans="2:7">
      <c r="D238" s="1"/>
      <c r="E238" s="1"/>
      <c r="F238" s="1"/>
      <c r="G238" s="1"/>
    </row>
    <row r="239" spans="2:7">
      <c r="B239" s="44"/>
      <c r="D239" s="1"/>
      <c r="E239" s="1"/>
      <c r="F239" s="1"/>
      <c r="G239" s="1"/>
    </row>
    <row r="240" spans="2:7">
      <c r="B240" s="44"/>
      <c r="D240" s="1"/>
      <c r="E240" s="1"/>
      <c r="F240" s="1"/>
      <c r="G240" s="1"/>
    </row>
    <row r="241" spans="2:7">
      <c r="B241" s="3"/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1:J7 B42:B1048576 K1:XFD1048576 B1:B40 D1:I1048576 A1:A1048576 C5:C1048576 J9:J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7" workbookViewId="0">
      <selection activeCell="N17" sqref="N17"/>
    </sheetView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180</v>
      </c>
      <c r="C1" s="78" t="s" vm="1">
        <v>251</v>
      </c>
    </row>
    <row r="2" spans="2:65">
      <c r="B2" s="57" t="s">
        <v>179</v>
      </c>
      <c r="C2" s="78" t="s">
        <v>252</v>
      </c>
    </row>
    <row r="3" spans="2:65">
      <c r="B3" s="57" t="s">
        <v>181</v>
      </c>
      <c r="C3" s="78" t="s">
        <v>253</v>
      </c>
    </row>
    <row r="4" spans="2:65">
      <c r="B4" s="57" t="s">
        <v>182</v>
      </c>
      <c r="C4" s="78">
        <v>2144</v>
      </c>
    </row>
    <row r="6" spans="2:65" ht="26.25" customHeight="1">
      <c r="B6" s="159" t="s">
        <v>210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65" ht="26.25" customHeight="1">
      <c r="B7" s="159" t="s">
        <v>92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BM7" s="3"/>
    </row>
    <row r="8" spans="2:65" s="3" customFormat="1" ht="78.75">
      <c r="B8" s="23" t="s">
        <v>116</v>
      </c>
      <c r="C8" s="31" t="s">
        <v>44</v>
      </c>
      <c r="D8" s="31" t="s">
        <v>120</v>
      </c>
      <c r="E8" s="31" t="s">
        <v>118</v>
      </c>
      <c r="F8" s="31" t="s">
        <v>63</v>
      </c>
      <c r="G8" s="31" t="s">
        <v>15</v>
      </c>
      <c r="H8" s="31" t="s">
        <v>64</v>
      </c>
      <c r="I8" s="31" t="s">
        <v>102</v>
      </c>
      <c r="J8" s="31" t="s">
        <v>234</v>
      </c>
      <c r="K8" s="31" t="s">
        <v>233</v>
      </c>
      <c r="L8" s="31" t="s">
        <v>60</v>
      </c>
      <c r="M8" s="31" t="s">
        <v>57</v>
      </c>
      <c r="N8" s="31" t="s">
        <v>183</v>
      </c>
      <c r="O8" s="21" t="s">
        <v>185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241</v>
      </c>
      <c r="K9" s="33"/>
      <c r="L9" s="33" t="s">
        <v>237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36" t="s">
        <v>31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8351.7330504009988</v>
      </c>
      <c r="M11" s="82"/>
      <c r="N11" s="92">
        <f>L11/$L$11</f>
        <v>1</v>
      </c>
      <c r="O11" s="92">
        <f>L11/'סכום נכסי הקרן'!$C$42</f>
        <v>3.496240624212054E-2</v>
      </c>
      <c r="P11" s="5"/>
      <c r="BG11" s="100"/>
      <c r="BH11" s="3"/>
      <c r="BI11" s="100"/>
      <c r="BM11" s="100"/>
    </row>
    <row r="12" spans="2:65" s="4" customFormat="1" ht="18" customHeight="1">
      <c r="B12" s="81" t="s">
        <v>230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8351.7330504009988</v>
      </c>
      <c r="M12" s="82"/>
      <c r="N12" s="92">
        <f t="shared" ref="N12:N31" si="0">L12/$L$11</f>
        <v>1</v>
      </c>
      <c r="O12" s="92">
        <f>L12/'סכום נכסי הקרן'!$C$42</f>
        <v>3.496240624212054E-2</v>
      </c>
      <c r="P12" s="5"/>
      <c r="BG12" s="100"/>
      <c r="BH12" s="3"/>
      <c r="BI12" s="100"/>
      <c r="BM12" s="100"/>
    </row>
    <row r="13" spans="2:65">
      <c r="B13" s="102" t="s">
        <v>49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8151.4759442079985</v>
      </c>
      <c r="M13" s="82"/>
      <c r="N13" s="92">
        <f t="shared" si="0"/>
        <v>0.97602208966875625</v>
      </c>
      <c r="O13" s="92">
        <f>L13/'סכום נכסי הקרן'!$C$42</f>
        <v>3.4124080800282452E-2</v>
      </c>
      <c r="BH13" s="3"/>
    </row>
    <row r="14" spans="2:65" ht="20.25">
      <c r="B14" s="87" t="s">
        <v>1207</v>
      </c>
      <c r="C14" s="84" t="s">
        <v>1208</v>
      </c>
      <c r="D14" s="97" t="s">
        <v>29</v>
      </c>
      <c r="E14" s="84"/>
      <c r="F14" s="97" t="s">
        <v>1163</v>
      </c>
      <c r="G14" s="84" t="s">
        <v>1209</v>
      </c>
      <c r="H14" s="84" t="s">
        <v>933</v>
      </c>
      <c r="I14" s="97" t="s">
        <v>167</v>
      </c>
      <c r="J14" s="94">
        <v>131.72723699999997</v>
      </c>
      <c r="K14" s="96">
        <v>114077</v>
      </c>
      <c r="L14" s="94">
        <v>643.1576539969999</v>
      </c>
      <c r="M14" s="95">
        <v>2.9452286625435473E-4</v>
      </c>
      <c r="N14" s="95">
        <f t="shared" si="0"/>
        <v>7.7008885475107397E-2</v>
      </c>
      <c r="O14" s="95">
        <f>L14/'סכום נכסי הקרן'!$C$42</f>
        <v>2.6924159382336406E-3</v>
      </c>
      <c r="BH14" s="4"/>
    </row>
    <row r="15" spans="2:65">
      <c r="B15" s="87" t="s">
        <v>1210</v>
      </c>
      <c r="C15" s="84" t="s">
        <v>1211</v>
      </c>
      <c r="D15" s="97" t="s">
        <v>29</v>
      </c>
      <c r="E15" s="84"/>
      <c r="F15" s="97" t="s">
        <v>1163</v>
      </c>
      <c r="G15" s="84" t="s">
        <v>957</v>
      </c>
      <c r="H15" s="84" t="s">
        <v>933</v>
      </c>
      <c r="I15" s="97" t="s">
        <v>164</v>
      </c>
      <c r="J15" s="94">
        <v>863.72227699999985</v>
      </c>
      <c r="K15" s="96">
        <v>12362</v>
      </c>
      <c r="L15" s="94">
        <v>371.78479830699996</v>
      </c>
      <c r="M15" s="95">
        <v>2.0601988349636287E-4</v>
      </c>
      <c r="N15" s="95">
        <f t="shared" si="0"/>
        <v>4.4515886231439011E-2</v>
      </c>
      <c r="O15" s="95">
        <f>L15/'סכום נכסי הקרן'!$C$42</f>
        <v>1.556382498651591E-3</v>
      </c>
    </row>
    <row r="16" spans="2:65">
      <c r="B16" s="87" t="s">
        <v>1212</v>
      </c>
      <c r="C16" s="84" t="s">
        <v>1213</v>
      </c>
      <c r="D16" s="97" t="s">
        <v>29</v>
      </c>
      <c r="E16" s="84"/>
      <c r="F16" s="97" t="s">
        <v>1163</v>
      </c>
      <c r="G16" s="84" t="s">
        <v>932</v>
      </c>
      <c r="H16" s="84" t="s">
        <v>933</v>
      </c>
      <c r="I16" s="97" t="s">
        <v>164</v>
      </c>
      <c r="J16" s="94">
        <v>164.18402199999997</v>
      </c>
      <c r="K16" s="96">
        <v>100507</v>
      </c>
      <c r="L16" s="94">
        <v>574.58720522799979</v>
      </c>
      <c r="M16" s="95">
        <v>2.4548290060798537E-4</v>
      </c>
      <c r="N16" s="95">
        <f t="shared" si="0"/>
        <v>6.8798559743287246E-2</v>
      </c>
      <c r="O16" s="95">
        <f>L16/'סכום נכסי הקרן'!$C$42</f>
        <v>2.4053631946176091E-3</v>
      </c>
    </row>
    <row r="17" spans="2:15">
      <c r="B17" s="87" t="s">
        <v>1214</v>
      </c>
      <c r="C17" s="84" t="s">
        <v>1215</v>
      </c>
      <c r="D17" s="97" t="s">
        <v>29</v>
      </c>
      <c r="E17" s="84"/>
      <c r="F17" s="97" t="s">
        <v>1163</v>
      </c>
      <c r="G17" s="84" t="s">
        <v>1068</v>
      </c>
      <c r="H17" s="84" t="s">
        <v>933</v>
      </c>
      <c r="I17" s="97" t="s">
        <v>164</v>
      </c>
      <c r="J17" s="94">
        <v>7.2573539999999994</v>
      </c>
      <c r="K17" s="96">
        <v>1045158</v>
      </c>
      <c r="L17" s="94">
        <v>264.11239828299995</v>
      </c>
      <c r="M17" s="95">
        <v>5.2046090286398037E-5</v>
      </c>
      <c r="N17" s="95">
        <f t="shared" si="0"/>
        <v>3.1623663817932843E-2</v>
      </c>
      <c r="O17" s="95">
        <f>L17/'סכום נכסי הקרן'!$C$42</f>
        <v>1.1056393812668166E-3</v>
      </c>
    </row>
    <row r="18" spans="2:15">
      <c r="B18" s="87" t="s">
        <v>1216</v>
      </c>
      <c r="C18" s="84" t="s">
        <v>1217</v>
      </c>
      <c r="D18" s="97" t="s">
        <v>29</v>
      </c>
      <c r="E18" s="84"/>
      <c r="F18" s="97" t="s">
        <v>1163</v>
      </c>
      <c r="G18" s="84" t="s">
        <v>1068</v>
      </c>
      <c r="H18" s="84" t="s">
        <v>933</v>
      </c>
      <c r="I18" s="97" t="s">
        <v>166</v>
      </c>
      <c r="J18" s="94">
        <v>95.488439999999997</v>
      </c>
      <c r="K18" s="96">
        <v>99582</v>
      </c>
      <c r="L18" s="94">
        <v>361.81477837599994</v>
      </c>
      <c r="M18" s="95">
        <v>3.5081717905706758E-4</v>
      </c>
      <c r="N18" s="95">
        <f t="shared" si="0"/>
        <v>4.3322119635831491E-2</v>
      </c>
      <c r="O18" s="95">
        <f>L18/'סכום נכסי הקרן'!$C$42</f>
        <v>1.5146455459776876E-3</v>
      </c>
    </row>
    <row r="19" spans="2:15">
      <c r="B19" s="87" t="s">
        <v>1218</v>
      </c>
      <c r="C19" s="84" t="s">
        <v>1219</v>
      </c>
      <c r="D19" s="97" t="s">
        <v>29</v>
      </c>
      <c r="E19" s="84"/>
      <c r="F19" s="97" t="s">
        <v>1163</v>
      </c>
      <c r="G19" s="84" t="s">
        <v>1068</v>
      </c>
      <c r="H19" s="84" t="s">
        <v>933</v>
      </c>
      <c r="I19" s="97" t="s">
        <v>164</v>
      </c>
      <c r="J19" s="94">
        <v>52.946593999999983</v>
      </c>
      <c r="K19" s="96">
        <v>193163.11</v>
      </c>
      <c r="L19" s="94">
        <v>356.11558733899994</v>
      </c>
      <c r="M19" s="95">
        <v>2.0794814938972421E-4</v>
      </c>
      <c r="N19" s="95">
        <f t="shared" si="0"/>
        <v>4.2639723419069464E-2</v>
      </c>
      <c r="O19" s="95">
        <f>L19/'סכום נכסי הקרן'!$C$42</f>
        <v>1.4907873322291677E-3</v>
      </c>
    </row>
    <row r="20" spans="2:15">
      <c r="B20" s="87" t="s">
        <v>1220</v>
      </c>
      <c r="C20" s="84" t="s">
        <v>1221</v>
      </c>
      <c r="D20" s="97" t="s">
        <v>29</v>
      </c>
      <c r="E20" s="84"/>
      <c r="F20" s="97" t="s">
        <v>1163</v>
      </c>
      <c r="G20" s="84" t="s">
        <v>1106</v>
      </c>
      <c r="H20" s="84" t="s">
        <v>933</v>
      </c>
      <c r="I20" s="97" t="s">
        <v>166</v>
      </c>
      <c r="J20" s="94">
        <v>1.3999999999999998E-5</v>
      </c>
      <c r="K20" s="96">
        <v>26295</v>
      </c>
      <c r="L20" s="94">
        <v>1.2719999999999998E-5</v>
      </c>
      <c r="M20" s="95">
        <v>1.1521542434537105E-12</v>
      </c>
      <c r="N20" s="95">
        <f t="shared" si="0"/>
        <v>1.5230371856041619E-9</v>
      </c>
      <c r="O20" s="95">
        <f>L20/'סכום נכסי הקרן'!$C$42</f>
        <v>5.3249044804948642E-11</v>
      </c>
    </row>
    <row r="21" spans="2:15">
      <c r="B21" s="87" t="s">
        <v>1222</v>
      </c>
      <c r="C21" s="84" t="s">
        <v>1223</v>
      </c>
      <c r="D21" s="97" t="s">
        <v>29</v>
      </c>
      <c r="E21" s="84"/>
      <c r="F21" s="97" t="s">
        <v>1163</v>
      </c>
      <c r="G21" s="84" t="s">
        <v>1128</v>
      </c>
      <c r="H21" s="84" t="s">
        <v>933</v>
      </c>
      <c r="I21" s="97" t="s">
        <v>164</v>
      </c>
      <c r="J21" s="94">
        <v>6344.5032699999992</v>
      </c>
      <c r="K21" s="96">
        <v>1732</v>
      </c>
      <c r="L21" s="94">
        <v>382.62582614599995</v>
      </c>
      <c r="M21" s="95">
        <v>6.5593577284496336E-5</v>
      </c>
      <c r="N21" s="95">
        <f t="shared" si="0"/>
        <v>4.5813943505728864E-2</v>
      </c>
      <c r="O21" s="95">
        <f>L21/'סכום נכסי הקרן'!$C$42</f>
        <v>1.6017657044008525E-3</v>
      </c>
    </row>
    <row r="22" spans="2:15">
      <c r="B22" s="87" t="s">
        <v>1224</v>
      </c>
      <c r="C22" s="84" t="s">
        <v>1225</v>
      </c>
      <c r="D22" s="97" t="s">
        <v>29</v>
      </c>
      <c r="E22" s="84"/>
      <c r="F22" s="97" t="s">
        <v>1163</v>
      </c>
      <c r="G22" s="84" t="s">
        <v>1147</v>
      </c>
      <c r="H22" s="84" t="s">
        <v>962</v>
      </c>
      <c r="I22" s="97" t="s">
        <v>166</v>
      </c>
      <c r="J22" s="94">
        <v>0.24064499999999994</v>
      </c>
      <c r="K22" s="96">
        <v>19230.310000000001</v>
      </c>
      <c r="L22" s="94">
        <v>0.176083827</v>
      </c>
      <c r="M22" s="95">
        <v>3.1395302522365789E-8</v>
      </c>
      <c r="N22" s="95">
        <f t="shared" si="0"/>
        <v>2.1083507571107717E-5</v>
      </c>
      <c r="O22" s="95">
        <f>L22/'סכום נכסי הקרן'!$C$42</f>
        <v>7.3713015670989209E-7</v>
      </c>
    </row>
    <row r="23" spans="2:15">
      <c r="B23" s="87" t="s">
        <v>1226</v>
      </c>
      <c r="C23" s="84" t="s">
        <v>1227</v>
      </c>
      <c r="D23" s="97" t="s">
        <v>29</v>
      </c>
      <c r="E23" s="84"/>
      <c r="F23" s="97" t="s">
        <v>1163</v>
      </c>
      <c r="G23" s="84" t="s">
        <v>1150</v>
      </c>
      <c r="H23" s="84" t="s">
        <v>938</v>
      </c>
      <c r="I23" s="97" t="s">
        <v>164</v>
      </c>
      <c r="J23" s="94">
        <v>114.00222799999997</v>
      </c>
      <c r="K23" s="96">
        <v>132894</v>
      </c>
      <c r="L23" s="94">
        <v>527.53035124699989</v>
      </c>
      <c r="M23" s="95">
        <v>2.6361837224615292E-5</v>
      </c>
      <c r="N23" s="95">
        <f t="shared" si="0"/>
        <v>6.3164177789623091E-2</v>
      </c>
      <c r="O23" s="95">
        <f>L23/'סכום נכסי הקרן'!$C$42</f>
        <v>2.20837164383033E-3</v>
      </c>
    </row>
    <row r="24" spans="2:15">
      <c r="B24" s="87" t="s">
        <v>1228</v>
      </c>
      <c r="C24" s="84" t="s">
        <v>1229</v>
      </c>
      <c r="D24" s="97" t="s">
        <v>29</v>
      </c>
      <c r="E24" s="84"/>
      <c r="F24" s="97" t="s">
        <v>1163</v>
      </c>
      <c r="G24" s="84" t="s">
        <v>1150</v>
      </c>
      <c r="H24" s="84" t="s">
        <v>933</v>
      </c>
      <c r="I24" s="97" t="s">
        <v>164</v>
      </c>
      <c r="J24" s="94">
        <v>8.420087999999998</v>
      </c>
      <c r="K24" s="96">
        <v>1182248</v>
      </c>
      <c r="L24" s="94">
        <v>346.62027714899995</v>
      </c>
      <c r="M24" s="95">
        <v>3.5925711062853325E-5</v>
      </c>
      <c r="N24" s="95">
        <f t="shared" si="0"/>
        <v>4.150279649232292E-2</v>
      </c>
      <c r="O24" s="95">
        <f>L24/'סכום נכסי הקרן'!$C$42</f>
        <v>1.451037631148649E-3</v>
      </c>
    </row>
    <row r="25" spans="2:15">
      <c r="B25" s="87" t="s">
        <v>1230</v>
      </c>
      <c r="C25" s="84" t="s">
        <v>1231</v>
      </c>
      <c r="D25" s="97" t="s">
        <v>29</v>
      </c>
      <c r="E25" s="84"/>
      <c r="F25" s="97" t="s">
        <v>1163</v>
      </c>
      <c r="G25" s="84" t="s">
        <v>1232</v>
      </c>
      <c r="H25" s="84" t="s">
        <v>933</v>
      </c>
      <c r="I25" s="97" t="s">
        <v>166</v>
      </c>
      <c r="J25" s="94">
        <v>677.01026699999989</v>
      </c>
      <c r="K25" s="96">
        <v>15124</v>
      </c>
      <c r="L25" s="94">
        <v>389.597880444</v>
      </c>
      <c r="M25" s="95">
        <v>2.1978352210799387E-5</v>
      </c>
      <c r="N25" s="95">
        <f t="shared" si="0"/>
        <v>4.6648746804149099E-2</v>
      </c>
      <c r="O25" s="95">
        <f>L25/'סכום נכסי הקרן'!$C$42</f>
        <v>1.6309524364524831E-3</v>
      </c>
    </row>
    <row r="26" spans="2:15">
      <c r="B26" s="87" t="s">
        <v>1233</v>
      </c>
      <c r="C26" s="84" t="s">
        <v>1234</v>
      </c>
      <c r="D26" s="97" t="s">
        <v>29</v>
      </c>
      <c r="E26" s="84"/>
      <c r="F26" s="97" t="s">
        <v>1163</v>
      </c>
      <c r="G26" s="84" t="s">
        <v>1232</v>
      </c>
      <c r="H26" s="84" t="s">
        <v>933</v>
      </c>
      <c r="I26" s="97" t="s">
        <v>164</v>
      </c>
      <c r="J26" s="94">
        <v>9019.2989569999991</v>
      </c>
      <c r="K26" s="96">
        <v>1408</v>
      </c>
      <c r="L26" s="94">
        <v>442.18520146599997</v>
      </c>
      <c r="M26" s="95">
        <v>3.9131027938127067E-5</v>
      </c>
      <c r="N26" s="95">
        <f t="shared" si="0"/>
        <v>5.2945322700989464E-2</v>
      </c>
      <c r="O26" s="95">
        <f>L26/'סכום נכסי הקרן'!$C$42</f>
        <v>1.8510958808921603E-3</v>
      </c>
    </row>
    <row r="27" spans="2:15">
      <c r="B27" s="87" t="s">
        <v>1235</v>
      </c>
      <c r="C27" s="84" t="s">
        <v>1236</v>
      </c>
      <c r="D27" s="97" t="s">
        <v>29</v>
      </c>
      <c r="E27" s="84"/>
      <c r="F27" s="97" t="s">
        <v>1163</v>
      </c>
      <c r="G27" s="84" t="s">
        <v>1232</v>
      </c>
      <c r="H27" s="84" t="s">
        <v>933</v>
      </c>
      <c r="I27" s="97" t="s">
        <v>164</v>
      </c>
      <c r="J27" s="94">
        <v>1091.0569210000001</v>
      </c>
      <c r="K27" s="96">
        <v>12942</v>
      </c>
      <c r="L27" s="94">
        <v>491.67437267199989</v>
      </c>
      <c r="M27" s="95">
        <v>1.4211569090634774E-4</v>
      </c>
      <c r="N27" s="95">
        <f t="shared" si="0"/>
        <v>5.8870939684595489E-2</v>
      </c>
      <c r="O27" s="95">
        <f>L27/'סכום נכסי הקרן'!$C$42</f>
        <v>2.0582697091082029E-3</v>
      </c>
    </row>
    <row r="28" spans="2:15">
      <c r="B28" s="87" t="s">
        <v>1237</v>
      </c>
      <c r="C28" s="84" t="s">
        <v>1238</v>
      </c>
      <c r="D28" s="97" t="s">
        <v>29</v>
      </c>
      <c r="E28" s="84"/>
      <c r="F28" s="97" t="s">
        <v>1163</v>
      </c>
      <c r="G28" s="84" t="s">
        <v>1232</v>
      </c>
      <c r="H28" s="84" t="s">
        <v>933</v>
      </c>
      <c r="I28" s="97" t="s">
        <v>166</v>
      </c>
      <c r="J28" s="94">
        <v>97.638244999999984</v>
      </c>
      <c r="K28" s="96">
        <v>194229</v>
      </c>
      <c r="L28" s="94">
        <v>721.5870008349998</v>
      </c>
      <c r="M28" s="95">
        <v>3.4034365394971258E-4</v>
      </c>
      <c r="N28" s="95">
        <f t="shared" si="0"/>
        <v>8.639967255662627E-2</v>
      </c>
      <c r="O28" s="95">
        <f>L28/'סכום נכסי הקרן'!$C$42</f>
        <v>3.0207404511109611E-3</v>
      </c>
    </row>
    <row r="29" spans="2:15">
      <c r="B29" s="87" t="s">
        <v>1239</v>
      </c>
      <c r="C29" s="84" t="s">
        <v>1240</v>
      </c>
      <c r="D29" s="97" t="s">
        <v>29</v>
      </c>
      <c r="E29" s="84"/>
      <c r="F29" s="97" t="s">
        <v>1163</v>
      </c>
      <c r="G29" s="84" t="s">
        <v>1232</v>
      </c>
      <c r="H29" s="84" t="s">
        <v>933</v>
      </c>
      <c r="I29" s="97" t="s">
        <v>164</v>
      </c>
      <c r="J29" s="94">
        <v>424.69536399999993</v>
      </c>
      <c r="K29" s="96">
        <v>31040.59</v>
      </c>
      <c r="L29" s="94">
        <v>459.0249107599999</v>
      </c>
      <c r="M29" s="95">
        <v>2.8742734197777692E-5</v>
      </c>
      <c r="N29" s="95">
        <f t="shared" si="0"/>
        <v>5.4961635865260365E-2</v>
      </c>
      <c r="O29" s="95">
        <f>L29/'סכום נכסי הקרן'!$C$42</f>
        <v>1.9215910408527351E-3</v>
      </c>
    </row>
    <row r="30" spans="2:15">
      <c r="B30" s="87" t="s">
        <v>1241</v>
      </c>
      <c r="C30" s="84" t="s">
        <v>1242</v>
      </c>
      <c r="D30" s="97" t="s">
        <v>29</v>
      </c>
      <c r="E30" s="84"/>
      <c r="F30" s="97" t="s">
        <v>1163</v>
      </c>
      <c r="G30" s="84" t="s">
        <v>1232</v>
      </c>
      <c r="H30" s="84" t="s">
        <v>933</v>
      </c>
      <c r="I30" s="97" t="s">
        <v>166</v>
      </c>
      <c r="J30" s="94">
        <v>1332.3946719999999</v>
      </c>
      <c r="K30" s="96">
        <v>9794</v>
      </c>
      <c r="L30" s="94">
        <v>496.53246571499994</v>
      </c>
      <c r="M30" s="95">
        <v>3.8454763026060028E-5</v>
      </c>
      <c r="N30" s="95">
        <f t="shared" si="0"/>
        <v>5.9452626505005393E-2</v>
      </c>
      <c r="O30" s="95">
        <f>L30/'סכום נכסי הקרן'!$C$42</f>
        <v>2.0786068800290615E-3</v>
      </c>
    </row>
    <row r="31" spans="2:15">
      <c r="B31" s="87" t="s">
        <v>1243</v>
      </c>
      <c r="C31" s="84" t="s">
        <v>1244</v>
      </c>
      <c r="D31" s="97" t="s">
        <v>29</v>
      </c>
      <c r="E31" s="84"/>
      <c r="F31" s="97" t="s">
        <v>1163</v>
      </c>
      <c r="G31" s="84" t="s">
        <v>1159</v>
      </c>
      <c r="H31" s="84"/>
      <c r="I31" s="97" t="s">
        <v>167</v>
      </c>
      <c r="J31" s="94">
        <v>1899.4833199999996</v>
      </c>
      <c r="K31" s="96">
        <v>16265.48</v>
      </c>
      <c r="L31" s="94">
        <v>1322.3491396969996</v>
      </c>
      <c r="M31" s="95">
        <v>1.3854712079303044E-3</v>
      </c>
      <c r="N31" s="95">
        <f t="shared" si="0"/>
        <v>0.15833230441117949</v>
      </c>
      <c r="O31" s="95">
        <f>L31/'סכום נכסי הקרן'!$C$42</f>
        <v>5.5356783480747509E-3</v>
      </c>
    </row>
    <row r="32" spans="2:15">
      <c r="B32" s="83"/>
      <c r="C32" s="84"/>
      <c r="D32" s="84"/>
      <c r="E32" s="84"/>
      <c r="F32" s="84"/>
      <c r="G32" s="84"/>
      <c r="H32" s="84"/>
      <c r="I32" s="84"/>
      <c r="J32" s="94"/>
      <c r="K32" s="96"/>
      <c r="L32" s="84"/>
      <c r="M32" s="84"/>
      <c r="N32" s="95"/>
      <c r="O32" s="84"/>
    </row>
    <row r="33" spans="2:59">
      <c r="B33" s="102" t="s">
        <v>245</v>
      </c>
      <c r="C33" s="82"/>
      <c r="D33" s="82"/>
      <c r="E33" s="82"/>
      <c r="F33" s="82"/>
      <c r="G33" s="82"/>
      <c r="H33" s="82"/>
      <c r="I33" s="82"/>
      <c r="J33" s="91"/>
      <c r="K33" s="93"/>
      <c r="L33" s="91">
        <v>200.25710619300003</v>
      </c>
      <c r="M33" s="82"/>
      <c r="N33" s="92">
        <f t="shared" ref="N33:N34" si="1">L33/$L$11</f>
        <v>2.3977910331243756E-2</v>
      </c>
      <c r="O33" s="92">
        <f>L33/'סכום נכסי הקרן'!$C$42</f>
        <v>8.3832544183808316E-4</v>
      </c>
    </row>
    <row r="34" spans="2:59">
      <c r="B34" s="87" t="s">
        <v>1245</v>
      </c>
      <c r="C34" s="84" t="s">
        <v>1246</v>
      </c>
      <c r="D34" s="97" t="s">
        <v>29</v>
      </c>
      <c r="E34" s="84"/>
      <c r="F34" s="97" t="s">
        <v>1163</v>
      </c>
      <c r="G34" s="84" t="s">
        <v>973</v>
      </c>
      <c r="H34" s="84" t="s">
        <v>938</v>
      </c>
      <c r="I34" s="97" t="s">
        <v>164</v>
      </c>
      <c r="J34" s="94">
        <v>6066.676430999999</v>
      </c>
      <c r="K34" s="96">
        <v>948</v>
      </c>
      <c r="L34" s="94">
        <v>200.25710619300003</v>
      </c>
      <c r="M34" s="95">
        <v>1.8985122995754849E-5</v>
      </c>
      <c r="N34" s="95">
        <f t="shared" si="1"/>
        <v>2.3977910331243756E-2</v>
      </c>
      <c r="O34" s="95">
        <f>L34/'סכום נכסי הקרן'!$C$42</f>
        <v>8.3832544183808316E-4</v>
      </c>
    </row>
    <row r="35" spans="2:59">
      <c r="B35" s="83"/>
      <c r="C35" s="84"/>
      <c r="D35" s="84"/>
      <c r="E35" s="84"/>
      <c r="F35" s="84"/>
      <c r="G35" s="84"/>
      <c r="H35" s="84"/>
      <c r="I35" s="84"/>
      <c r="J35" s="94"/>
      <c r="K35" s="96"/>
      <c r="L35" s="84"/>
      <c r="M35" s="84"/>
      <c r="N35" s="95"/>
      <c r="O35" s="84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99" t="s">
        <v>250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99" t="s">
        <v>113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99" t="s">
        <v>232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99" t="s">
        <v>240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1:B37 C5:C1048576 D1:AF1048576 AH1:XFD1048576 AG1:AG37 B39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www.w3.org/XML/1998/namespace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2019-12-03T07:20:13Z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