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11"/>
  </bookViews>
  <sheets>
    <sheet name="863" sheetId="14" r:id="rId1"/>
    <sheet name="862" sheetId="15" r:id="rId2"/>
    <sheet name="859" sheetId="16" r:id="rId3"/>
    <sheet name="858" sheetId="17" r:id="rId4"/>
    <sheet name="8012" sheetId="9" r:id="rId5"/>
    <sheet name="9779" sheetId="10" r:id="rId6"/>
    <sheet name="9780" sheetId="12" r:id="rId7"/>
    <sheet name="9781" sheetId="13" r:id="rId8"/>
    <sheet name="13565" sheetId="11" r:id="rId9"/>
    <sheet name="מגדל תגמולים- נספח 1" sheetId="8" r:id="rId10"/>
    <sheet name="מגדל תגמולים- נספח 2" sheetId="18" r:id="rId11"/>
    <sheet name="מגדל תגמולים- נספח 3" sheetId="19" r:id="rId12"/>
  </sheets>
  <definedNames>
    <definedName name="_xlnm.Print_Area" localSheetId="8">'13565'!$A$1:$B$42</definedName>
    <definedName name="_xlnm.Print_Area" localSheetId="4">'8012'!$A$1:$C$42</definedName>
    <definedName name="_xlnm.Print_Area" localSheetId="3">'858'!$A$1:$C$42</definedName>
    <definedName name="_xlnm.Print_Area" localSheetId="2">'859'!$A$1:$C$42</definedName>
    <definedName name="_xlnm.Print_Area" localSheetId="1">'862'!$A$1:$C$42</definedName>
    <definedName name="_xlnm.Print_Area" localSheetId="0">'863'!$A$1:$C$42</definedName>
    <definedName name="_xlnm.Print_Area" localSheetId="5">'9779'!$A$1:$C$42</definedName>
    <definedName name="_xlnm.Print_Area" localSheetId="6">'9780'!$A$1:$C$42</definedName>
    <definedName name="_xlnm.Print_Area" localSheetId="7">'9781'!$A$1:$C$42</definedName>
    <definedName name="_xlnm.Print_Area" localSheetId="9">'מגדל תגמולים- נספח 1'!$A$1:$C$42</definedName>
  </definedNames>
  <calcPr calcId="145621"/>
</workbook>
</file>

<file path=xl/calcChain.xml><?xml version="1.0" encoding="utf-8"?>
<calcChain xmlns="http://schemas.openxmlformats.org/spreadsheetml/2006/main">
  <c r="C60" i="19" l="1"/>
  <c r="C62" i="19"/>
  <c r="C58" i="19"/>
  <c r="C50" i="19"/>
  <c r="D69" i="18"/>
  <c r="D67" i="18"/>
  <c r="D57" i="18"/>
  <c r="D38" i="18"/>
  <c r="D46" i="18" s="1"/>
  <c r="D39" i="18"/>
  <c r="D27" i="18"/>
  <c r="D35" i="18"/>
  <c r="C34" i="8" l="1"/>
  <c r="C16" i="8"/>
  <c r="C13" i="8"/>
  <c r="C9" i="11"/>
  <c r="C13" i="12"/>
  <c r="C21" i="10"/>
  <c r="C13" i="10"/>
  <c r="C26" i="9"/>
  <c r="C43" i="11" l="1"/>
  <c r="C43" i="8" s="1"/>
  <c r="C43" i="13"/>
  <c r="C43" i="12"/>
  <c r="C43" i="10"/>
  <c r="C43" i="9"/>
  <c r="C43" i="17"/>
  <c r="C43" i="16"/>
  <c r="C43" i="15"/>
  <c r="C43" i="14"/>
  <c r="C40" i="8"/>
  <c r="C32" i="8"/>
  <c r="C31" i="8"/>
  <c r="C30" i="8" s="1"/>
  <c r="C28" i="8"/>
  <c r="C27" i="8"/>
  <c r="C26" i="8"/>
  <c r="C25" i="8"/>
  <c r="C24" i="8"/>
  <c r="C23" i="8"/>
  <c r="C22" i="8"/>
  <c r="C21" i="8"/>
  <c r="C18" i="8"/>
  <c r="C17" i="8"/>
  <c r="C15" i="8"/>
  <c r="C11" i="8"/>
  <c r="C12" i="8"/>
  <c r="C9" i="8"/>
  <c r="C7" i="8" s="1"/>
  <c r="C8" i="8"/>
  <c r="C30" i="17"/>
  <c r="C20" i="17"/>
  <c r="C37" i="17" s="1"/>
  <c r="C15" i="17"/>
  <c r="C11" i="17"/>
  <c r="C7" i="17"/>
  <c r="C30" i="16"/>
  <c r="C20" i="16"/>
  <c r="C15" i="16"/>
  <c r="C11" i="16"/>
  <c r="C7" i="16"/>
  <c r="C30" i="15"/>
  <c r="C20" i="15"/>
  <c r="C37" i="15" s="1"/>
  <c r="C15" i="15"/>
  <c r="C11" i="15"/>
  <c r="C7" i="15"/>
  <c r="C30" i="14"/>
  <c r="C20" i="14"/>
  <c r="C37" i="14" s="1"/>
  <c r="C15" i="14"/>
  <c r="C11" i="14"/>
  <c r="C7" i="14"/>
  <c r="C30" i="13"/>
  <c r="C20" i="13"/>
  <c r="C37" i="13" s="1"/>
  <c r="C15" i="13"/>
  <c r="C11" i="13"/>
  <c r="C7" i="13"/>
  <c r="C30" i="12"/>
  <c r="C20" i="12"/>
  <c r="C37" i="12" s="1"/>
  <c r="C15" i="12"/>
  <c r="C11" i="12"/>
  <c r="C7" i="12"/>
  <c r="C30" i="11"/>
  <c r="C20" i="11"/>
  <c r="C37" i="11" s="1"/>
  <c r="C15" i="11"/>
  <c r="C11" i="11"/>
  <c r="C7" i="11"/>
  <c r="C30" i="10"/>
  <c r="C20" i="10"/>
  <c r="C37" i="10" s="1"/>
  <c r="C15" i="10"/>
  <c r="C11" i="10"/>
  <c r="C7" i="10"/>
  <c r="C30" i="9"/>
  <c r="C20" i="9"/>
  <c r="C37" i="9" s="1"/>
  <c r="C15" i="9"/>
  <c r="C11" i="9"/>
  <c r="C7" i="9"/>
  <c r="C20" i="8" l="1"/>
  <c r="C37" i="8" s="1"/>
  <c r="C38" i="8"/>
  <c r="C34" i="11"/>
  <c r="C38" i="11" s="1"/>
  <c r="C34" i="13"/>
  <c r="C38" i="13" s="1"/>
  <c r="C34" i="12"/>
  <c r="C38" i="12" s="1"/>
  <c r="C34" i="10"/>
  <c r="C38" i="10" s="1"/>
  <c r="C34" i="9"/>
  <c r="C38" i="9" s="1"/>
  <c r="C34" i="17"/>
  <c r="C38" i="17" s="1"/>
  <c r="C34" i="16"/>
  <c r="C38" i="16" s="1"/>
  <c r="C37" i="16"/>
  <c r="C34" i="15"/>
  <c r="C38" i="15" s="1"/>
  <c r="C34" i="14"/>
  <c r="C38" i="14" s="1"/>
</calcChain>
</file>

<file path=xl/sharedStrings.xml><?xml version="1.0" encoding="utf-8"?>
<sst xmlns="http://schemas.openxmlformats.org/spreadsheetml/2006/main" count="511" uniqueCount="95">
  <si>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</si>
  <si>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</si>
  <si>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</si>
  <si>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</si>
  <si>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</si>
  <si>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</si>
  <si>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</si>
  <si>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</si>
  <si>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</si>
  <si>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</si>
  <si>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</si>
  <si>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</si>
  <si>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</si>
  <si>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</si>
  <si>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</si>
  <si>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</si>
  <si>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</si>
  <si>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</si>
  <si>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</si>
  <si>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</si>
  <si>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</si>
  <si>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</si>
  <si>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</si>
  <si>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</si>
  <si>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</si>
  <si>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</si>
  <si>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</si>
  <si>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</si>
  <si>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</si>
  <si>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</si>
  <si>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</si>
  <si>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</si>
  <si>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</si>
  <si>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</si>
  <si>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לתגמולים ולפיצויים- מסלול מניות- מספר באוצר 863</t>
  </si>
  <si>
    <t>מגדל לתגמולים ולפיצויים- מסלול חו"ל- מספר באוצר 862</t>
  </si>
  <si>
    <t>מגדל לתגמולים ולפיצויים- מסלול אג"ח ממשלתי ישראלי- מספר באוצר 859</t>
  </si>
  <si>
    <t>מגדל לתגמולים ולפיצויים- מסלול שקלי טווח קצר- מספר באוצר 858</t>
  </si>
  <si>
    <t>מגדל לתגמולים ולפיצויים- מסלול אג"ח עד 10% מניות- מספר באוצר 8012</t>
  </si>
  <si>
    <t>מגדל לתגמולים ולפיצויים- מסלול לבני 50 ומטה- מספר באוצר 9779</t>
  </si>
  <si>
    <t>מגדל לתגמולים ולפיצויים- מסלול לבני 50 עד 60- מספר באוצר 9780</t>
  </si>
  <si>
    <t>מגדל לתגמולים ולפיצויים- מסלול לבני 60 ומעלה- מספר באוצר 9781</t>
  </si>
  <si>
    <t>מגדל לתגמולים ולפיצויים- מסלול מחקה מדד S&amp;P500- מספר באוצר 13565</t>
  </si>
  <si>
    <t xml:space="preserve">שם הקופה:  </t>
  </si>
  <si>
    <t>סה"כ</t>
  </si>
  <si>
    <t>מגדל לתגמולים ולפיצויים- מצרפי (מספרים באוצר- 858, 859, 862, 863, 8012, 9779, 9780, 9781, 13565)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</si>
  <si>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</si>
  <si>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</si>
  <si>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</si>
  <si>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</si>
  <si>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</si>
  <si>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</si>
  <si>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</si>
  <si>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</si>
  <si>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</si>
  <si>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</si>
  <si>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</si>
  <si>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דיסקונט</t>
  </si>
  <si>
    <t>מזרחי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</si>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</sst>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0%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7" applyNumberFormat="0" applyAlignment="0" applyProtection="0"/>
    <xf numFmtId="0" fontId="14" fillId="9" borderId="18" applyNumberFormat="0" applyAlignment="0" applyProtection="0"/>
    <xf numFmtId="0" fontId="15" fillId="9" borderId="17" applyNumberFormat="0" applyAlignment="0" applyProtection="0"/>
    <xf numFmtId="0" fontId="16" fillId="0" borderId="19" applyNumberFormat="0" applyFill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</cellStyleXfs>
  <cellXfs count="89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164" fontId="0" fillId="0" borderId="0" xfId="1" applyNumberFormat="1" applyFont="1" applyProtection="1"/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8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3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5" fillId="2" borderId="8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164" fontId="4" fillId="3" borderId="13" xfId="1" applyNumberFormat="1" applyFont="1" applyFill="1" applyBorder="1" applyProtection="1"/>
    <xf numFmtId="164" fontId="4" fillId="3" borderId="7" xfId="1" applyNumberFormat="1" applyFont="1" applyFill="1" applyBorder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0" fontId="4" fillId="3" borderId="7" xfId="2" applyNumberFormat="1" applyFont="1" applyFill="1" applyBorder="1"/>
    <xf numFmtId="164" fontId="4" fillId="3" borderId="13" xfId="1" applyNumberFormat="1" applyFont="1" applyFill="1" applyBorder="1"/>
    <xf numFmtId="164" fontId="4" fillId="0" borderId="0" xfId="1" applyNumberFormat="1" applyFont="1" applyProtection="1"/>
    <xf numFmtId="164" fontId="0" fillId="0" borderId="0" xfId="0" applyNumberFormat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0" fontId="4" fillId="0" borderId="0" xfId="0" applyFont="1" applyAlignment="1" applyProtection="1">
      <alignment horizontal="center"/>
    </xf>
    <xf numFmtId="10" fontId="0" fillId="0" borderId="0" xfId="2" applyNumberFormat="1" applyFont="1" applyProtection="1"/>
    <xf numFmtId="165" fontId="0" fillId="0" borderId="0" xfId="2" applyNumberFormat="1" applyFont="1" applyProtection="1"/>
    <xf numFmtId="164" fontId="0" fillId="36" borderId="0" xfId="1" applyNumberFormat="1" applyFont="1" applyFill="1" applyProtection="1"/>
    <xf numFmtId="0" fontId="2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4" fillId="0" borderId="0" xfId="0" applyFont="1" applyFill="1" applyBorder="1" applyAlignment="1">
      <alignment horizontal="right"/>
    </xf>
    <xf numFmtId="164" fontId="0" fillId="36" borderId="7" xfId="1" applyNumberFormat="1" applyFont="1" applyFill="1" applyBorder="1"/>
    <xf numFmtId="0" fontId="24" fillId="0" borderId="0" xfId="0" applyFont="1" applyBorder="1" applyAlignment="1">
      <alignment horizontal="right"/>
    </xf>
    <xf numFmtId="0" fontId="24" fillId="0" borderId="23" xfId="0" applyFont="1" applyBorder="1" applyAlignment="1">
      <alignment horizontal="right" wrapText="1"/>
    </xf>
    <xf numFmtId="164" fontId="3" fillId="2" borderId="3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21" fillId="2" borderId="26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1" fillId="2" borderId="30" xfId="0" applyNumberFormat="1" applyFont="1" applyFill="1" applyBorder="1" applyAlignment="1">
      <alignment horizontal="right" readingOrder="2"/>
    </xf>
    <xf numFmtId="0" fontId="21" fillId="2" borderId="9" xfId="0" applyNumberFormat="1" applyFont="1" applyFill="1" applyBorder="1" applyAlignment="1">
      <alignment horizontal="right" readingOrder="2"/>
    </xf>
    <xf numFmtId="0" fontId="21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27" xfId="0" applyNumberFormat="1" applyFont="1" applyFill="1" applyBorder="1" applyAlignment="1">
      <alignment horizontal="right" readingOrder="2"/>
    </xf>
    <xf numFmtId="0" fontId="21" fillId="2" borderId="28" xfId="0" applyNumberFormat="1" applyFont="1" applyFill="1" applyBorder="1" applyAlignment="1">
      <alignment horizontal="right" readingOrder="2"/>
    </xf>
    <xf numFmtId="0" fontId="3" fillId="2" borderId="3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1" fillId="2" borderId="31" xfId="0" applyFont="1" applyFill="1" applyBorder="1" applyAlignment="1">
      <alignment horizontal="right"/>
    </xf>
    <xf numFmtId="0" fontId="0" fillId="0" borderId="0" xfId="0" applyBorder="1"/>
    <xf numFmtId="0" fontId="21" fillId="2" borderId="9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2" xfId="0" applyFont="1" applyFill="1" applyBorder="1" applyAlignment="1"/>
    <xf numFmtId="164" fontId="0" fillId="0" borderId="0" xfId="0" applyNumberFormat="1"/>
    <xf numFmtId="0" fontId="3" fillId="0" borderId="0" xfId="0" applyFont="1" applyAlignment="1">
      <alignment horizontal="right" wrapText="1"/>
    </xf>
    <xf numFmtId="0" fontId="3" fillId="2" borderId="33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1" fillId="2" borderId="34" xfId="0" applyFont="1" applyFill="1" applyBorder="1" applyAlignment="1">
      <alignment horizontal="right"/>
    </xf>
    <xf numFmtId="164" fontId="0" fillId="4" borderId="35" xfId="1" applyNumberFormat="1" applyFont="1" applyFill="1" applyBorder="1" applyAlignment="1">
      <alignment horizontal="right"/>
    </xf>
    <xf numFmtId="164" fontId="3" fillId="2" borderId="35" xfId="0" applyNumberFormat="1" applyFont="1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21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21" fillId="2" borderId="36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1" fillId="2" borderId="31" xfId="0" applyNumberFormat="1" applyFont="1" applyFill="1" applyBorder="1" applyAlignment="1">
      <alignment horizontal="right" readingOrder="2"/>
    </xf>
    <xf numFmtId="0" fontId="21" fillId="2" borderId="37" xfId="0" applyFont="1" applyFill="1" applyBorder="1" applyAlignment="1">
      <alignment horizontal="right"/>
    </xf>
    <xf numFmtId="0" fontId="24" fillId="0" borderId="23" xfId="0" applyFont="1" applyBorder="1" applyAlignment="1">
      <alignment horizontal="right" wrapText="1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ySplit="4" topLeftCell="A5" activePane="bottomLeft" state="frozen"/>
      <selection activeCell="F36" sqref="F36"/>
      <selection pane="bottomLeft" activeCell="E35" sqref="E35"/>
    </sheetView>
  </sheetViews>
  <sheetFormatPr defaultRowHeight="14.25" x14ac:dyDescent="0.2"/>
  <cols>
    <col min="1" max="1" width="6.125" style="1" customWidth="1"/>
    <col min="2" max="2" width="48.875" style="1" customWidth="1"/>
    <col min="3" max="3" width="9.2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34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45.015496894492131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45.015496894492131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0.9205178097581298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0.9205178097581298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9.4565463128640004E-2</v>
      </c>
    </row>
    <row r="16" spans="1:3" ht="25.5" x14ac:dyDescent="0.2">
      <c r="A16" s="6" t="s">
        <v>9</v>
      </c>
      <c r="B16" s="9" t="s">
        <v>10</v>
      </c>
      <c r="C16" s="16">
        <v>9.4565463128640004E-2</v>
      </c>
    </row>
    <row r="17" spans="1:3" x14ac:dyDescent="0.2">
      <c r="A17" s="6" t="s">
        <v>11</v>
      </c>
      <c r="B17" s="9" t="s">
        <v>12</v>
      </c>
      <c r="C17" s="16">
        <v>0</v>
      </c>
    </row>
    <row r="18" spans="1:3" x14ac:dyDescent="0.2">
      <c r="A18" s="6" t="s">
        <v>13</v>
      </c>
      <c r="B18" s="7" t="s">
        <v>14</v>
      </c>
      <c r="C18" s="16">
        <v>0</v>
      </c>
    </row>
    <row r="19" spans="1:3" x14ac:dyDescent="0.2">
      <c r="A19" s="10"/>
      <c r="B19" s="25"/>
      <c r="C19" s="17"/>
    </row>
    <row r="20" spans="1:3" ht="15" x14ac:dyDescent="0.25">
      <c r="A20" s="11">
        <v>4</v>
      </c>
      <c r="B20" s="5" t="s">
        <v>15</v>
      </c>
      <c r="C20" s="15">
        <f t="shared" ref="C20" si="3">SUM(C21:C28)</f>
        <v>68.844097858647586</v>
      </c>
    </row>
    <row r="21" spans="1:3" x14ac:dyDescent="0.2">
      <c r="A21" s="6"/>
      <c r="B21" s="7" t="s">
        <v>16</v>
      </c>
      <c r="C21" s="16">
        <v>0</v>
      </c>
    </row>
    <row r="22" spans="1:3" x14ac:dyDescent="0.2">
      <c r="A22" s="6"/>
      <c r="B22" s="7" t="s">
        <v>17</v>
      </c>
      <c r="C22" s="16">
        <v>0</v>
      </c>
    </row>
    <row r="23" spans="1:3" x14ac:dyDescent="0.2">
      <c r="A23" s="6"/>
      <c r="B23" s="7" t="s">
        <v>18</v>
      </c>
      <c r="C23" s="16"/>
    </row>
    <row r="24" spans="1:3" x14ac:dyDescent="0.2">
      <c r="A24" s="6"/>
      <c r="B24" s="7" t="s">
        <v>19</v>
      </c>
      <c r="C24" s="16"/>
    </row>
    <row r="25" spans="1:3" x14ac:dyDescent="0.2">
      <c r="A25" s="6"/>
      <c r="B25" s="7" t="s">
        <v>20</v>
      </c>
      <c r="C25" s="16">
        <v>0.82739078850562009</v>
      </c>
    </row>
    <row r="26" spans="1:3" x14ac:dyDescent="0.2">
      <c r="A26" s="6"/>
      <c r="B26" s="7" t="s">
        <v>21</v>
      </c>
      <c r="C26" s="16">
        <v>56.074618288239058</v>
      </c>
    </row>
    <row r="27" spans="1:3" x14ac:dyDescent="0.2">
      <c r="A27" s="6"/>
      <c r="B27" s="7" t="s">
        <v>22</v>
      </c>
      <c r="C27" s="16">
        <v>0</v>
      </c>
    </row>
    <row r="28" spans="1:3" x14ac:dyDescent="0.2">
      <c r="A28" s="6"/>
      <c r="B28" s="7" t="s">
        <v>23</v>
      </c>
      <c r="C28" s="16">
        <v>11.94208878190291</v>
      </c>
    </row>
    <row r="29" spans="1:3" x14ac:dyDescent="0.2">
      <c r="A29" s="6"/>
      <c r="B29" s="7"/>
      <c r="C29" s="17"/>
    </row>
    <row r="30" spans="1:3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3" x14ac:dyDescent="0.2">
      <c r="A31" s="6" t="s">
        <v>9</v>
      </c>
      <c r="B31" s="7" t="s">
        <v>25</v>
      </c>
      <c r="C31" s="16"/>
    </row>
    <row r="32" spans="1:3" x14ac:dyDescent="0.2">
      <c r="A32" s="6" t="s">
        <v>11</v>
      </c>
      <c r="B32" s="7" t="s">
        <v>26</v>
      </c>
      <c r="C32" s="16"/>
    </row>
    <row r="33" spans="1:3" x14ac:dyDescent="0.2">
      <c r="A33" s="6"/>
      <c r="B33" s="7"/>
      <c r="C33" s="17"/>
    </row>
    <row r="34" spans="1:3" ht="15" x14ac:dyDescent="0.25">
      <c r="A34" s="6">
        <v>6</v>
      </c>
      <c r="B34" s="5" t="s">
        <v>27</v>
      </c>
      <c r="C34" s="15">
        <f t="shared" ref="C34" si="5">C30+C20+C15+C11+C7</f>
        <v>114.87467802602649</v>
      </c>
    </row>
    <row r="35" spans="1:3" x14ac:dyDescent="0.2">
      <c r="A35" s="6"/>
      <c r="B35" s="7"/>
      <c r="C35" s="17"/>
    </row>
    <row r="36" spans="1:3" ht="15" x14ac:dyDescent="0.25">
      <c r="A36" s="6">
        <v>7</v>
      </c>
      <c r="B36" s="5" t="s">
        <v>28</v>
      </c>
      <c r="C36" s="17"/>
    </row>
    <row r="37" spans="1:3" ht="26.25" x14ac:dyDescent="0.25">
      <c r="A37" s="6" t="s">
        <v>9</v>
      </c>
      <c r="B37" s="9" t="s">
        <v>29</v>
      </c>
      <c r="C37" s="18">
        <f t="shared" ref="C37" si="6">(C32+C20+C16)/C40</f>
        <v>6.8816857484029501E-4</v>
      </c>
    </row>
    <row r="38" spans="1:3" ht="15" x14ac:dyDescent="0.25">
      <c r="A38" s="6" t="s">
        <v>11</v>
      </c>
      <c r="B38" s="7" t="s">
        <v>31</v>
      </c>
      <c r="C38" s="18">
        <f t="shared" ref="C38" si="7">C34/C43</f>
        <v>8.2591662101933307E-4</v>
      </c>
    </row>
    <row r="39" spans="1:3" x14ac:dyDescent="0.2">
      <c r="A39" s="6"/>
      <c r="B39" s="7"/>
      <c r="C39" s="17"/>
    </row>
    <row r="40" spans="1:3" ht="15.75" thickBot="1" x14ac:dyDescent="0.3">
      <c r="A40" s="12"/>
      <c r="B40" s="13" t="s">
        <v>30</v>
      </c>
      <c r="C40" s="19">
        <v>100177</v>
      </c>
    </row>
    <row r="43" spans="1:3" x14ac:dyDescent="0.2">
      <c r="C43" s="29">
        <f>(C40+177998)/2</f>
        <v>139087.5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rightToLeft="1" zoomScaleNormal="100" workbookViewId="0">
      <pane ySplit="4" topLeftCell="A11" activePane="bottomLeft" state="frozen"/>
      <selection activeCell="F36" sqref="F36"/>
      <selection pane="bottomLeft" activeCell="F30" sqref="F30"/>
    </sheetView>
  </sheetViews>
  <sheetFormatPr defaultRowHeight="14.25" x14ac:dyDescent="0.2"/>
  <cols>
    <col min="1" max="1" width="6.125" style="1" customWidth="1"/>
    <col min="2" max="2" width="48.875" style="1" customWidth="1"/>
    <col min="3" max="3" width="9.87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.75" x14ac:dyDescent="0.25">
      <c r="B3" s="35" t="s">
        <v>43</v>
      </c>
      <c r="C3" s="3" t="s">
        <v>44</v>
      </c>
    </row>
    <row r="4" spans="1:3" ht="32.25" thickBot="1" x14ac:dyDescent="0.3">
      <c r="B4" s="36" t="s">
        <v>45</v>
      </c>
      <c r="C4" s="20"/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>SUM(C8:C9)</f>
        <v>803.30785949808933</v>
      </c>
    </row>
    <row r="8" spans="1:3" x14ac:dyDescent="0.2">
      <c r="A8" s="6"/>
      <c r="B8" s="7" t="s">
        <v>3</v>
      </c>
      <c r="C8" s="16">
        <f>'863'!C8+'862'!C8+'859'!C8+'858'!C8+'8012'!C8+'9779'!C8+'9780'!C8+'9781'!C8+'13565'!C8</f>
        <v>0</v>
      </c>
    </row>
    <row r="9" spans="1:3" x14ac:dyDescent="0.2">
      <c r="A9" s="6"/>
      <c r="B9" s="7" t="s">
        <v>4</v>
      </c>
      <c r="C9" s="16">
        <f>'863'!C9+'862'!C9+'859'!C9+'858'!C9+'8012'!C9+'9779'!C9+'9780'!C9+'9781'!C9+'13565'!C9</f>
        <v>803.30785949808933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>SUM(C12:C13)</f>
        <v>54.400155583072568</v>
      </c>
    </row>
    <row r="12" spans="1:3" x14ac:dyDescent="0.2">
      <c r="A12" s="6"/>
      <c r="B12" s="8" t="s">
        <v>6</v>
      </c>
      <c r="C12" s="16">
        <f>'863'!C12+'862'!C12+'859'!C12+'858'!C12+'8012'!C12+'9779'!C12+'9780'!C12+'9781'!C12+'13565'!C12</f>
        <v>0</v>
      </c>
    </row>
    <row r="13" spans="1:3" x14ac:dyDescent="0.2">
      <c r="A13" s="6"/>
      <c r="B13" s="8" t="s">
        <v>7</v>
      </c>
      <c r="C13" s="16">
        <f>'863'!C13+'862'!C13+'859'!C13+'858'!C13+'8012'!C13+'9779'!C13+'9780'!C13+'9781'!C13+'13565'!C13-0.6</f>
        <v>54.400155583072568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>SUM(C16:C18)</f>
        <v>237.51991484146959</v>
      </c>
    </row>
    <row r="16" spans="1:3" ht="25.5" x14ac:dyDescent="0.2">
      <c r="A16" s="6" t="s">
        <v>9</v>
      </c>
      <c r="B16" s="9" t="s">
        <v>10</v>
      </c>
      <c r="C16" s="16">
        <f>'863'!C16+'862'!C16+'859'!C16+'858'!C16+'8012'!C16+'9779'!C16+'9780'!C16+'9781'!C16+'13565'!C16+0.2</f>
        <v>119.52355677870466</v>
      </c>
    </row>
    <row r="17" spans="1:4" x14ac:dyDescent="0.2">
      <c r="A17" s="6" t="s">
        <v>11</v>
      </c>
      <c r="B17" s="9" t="s">
        <v>12</v>
      </c>
      <c r="C17" s="16">
        <f>'863'!C17+'862'!C17+'859'!C17+'858'!C17+'8012'!C17+'9779'!C17+'9780'!C17+'9781'!C17+'13565'!C17</f>
        <v>0</v>
      </c>
    </row>
    <row r="18" spans="1:4" x14ac:dyDescent="0.2">
      <c r="A18" s="6" t="s">
        <v>13</v>
      </c>
      <c r="B18" s="7" t="s">
        <v>14</v>
      </c>
      <c r="C18" s="16">
        <f>'863'!C18+'862'!C18+'859'!C18+'858'!C18+'8012'!C18+'9779'!C18+'9780'!C18+'9781'!C18+'13565'!C18</f>
        <v>117.99635806276493</v>
      </c>
    </row>
    <row r="19" spans="1:4" x14ac:dyDescent="0.2">
      <c r="A19" s="10"/>
      <c r="B19" s="25"/>
      <c r="C19" s="17"/>
    </row>
    <row r="20" spans="1:4" ht="15" x14ac:dyDescent="0.25">
      <c r="A20" s="11">
        <v>4</v>
      </c>
      <c r="B20" s="5" t="s">
        <v>15</v>
      </c>
      <c r="C20" s="15">
        <f>SUM(C21:C28)</f>
        <v>5223.398570233051</v>
      </c>
      <c r="D20" s="21"/>
    </row>
    <row r="21" spans="1:4" x14ac:dyDescent="0.2">
      <c r="A21" s="6"/>
      <c r="B21" s="7" t="s">
        <v>16</v>
      </c>
      <c r="C21" s="16">
        <f>'863'!C21+'862'!C21+'859'!C21+'858'!C21+'8012'!C21+'9779'!C21+'9780'!C21+'9781'!C21+'13565'!C21</f>
        <v>529.14252252396341</v>
      </c>
      <c r="D21" s="28"/>
    </row>
    <row r="22" spans="1:4" x14ac:dyDescent="0.2">
      <c r="A22" s="6"/>
      <c r="B22" s="7" t="s">
        <v>17</v>
      </c>
      <c r="C22" s="16">
        <f>'863'!C22+'862'!C22+'859'!C22+'858'!C22+'8012'!C22+'9779'!C22+'9780'!C22+'9781'!C22+'13565'!C22</f>
        <v>3216.8963828662781</v>
      </c>
    </row>
    <row r="23" spans="1:4" x14ac:dyDescent="0.2">
      <c r="A23" s="6"/>
      <c r="B23" s="7" t="s">
        <v>18</v>
      </c>
      <c r="C23" s="16">
        <f>'863'!C23+'862'!C23+'859'!C23+'858'!C23+'8012'!C23+'9779'!C23+'9780'!C23+'9781'!C23+'13565'!C23</f>
        <v>0</v>
      </c>
    </row>
    <row r="24" spans="1:4" x14ac:dyDescent="0.2">
      <c r="A24" s="6"/>
      <c r="B24" s="7" t="s">
        <v>19</v>
      </c>
      <c r="C24" s="16">
        <f>'863'!C24+'862'!C24+'859'!C24+'858'!C24+'8012'!C24+'9779'!C24+'9780'!C24+'9781'!C24+'13565'!C24</f>
        <v>0</v>
      </c>
    </row>
    <row r="25" spans="1:4" x14ac:dyDescent="0.2">
      <c r="A25" s="6"/>
      <c r="B25" s="7" t="s">
        <v>20</v>
      </c>
      <c r="C25" s="16">
        <f>'863'!C25+'862'!C25+'859'!C25+'858'!C25+'8012'!C25+'9779'!C25+'9780'!C25+'9781'!C25+'13565'!C25</f>
        <v>10.4461543565158</v>
      </c>
    </row>
    <row r="26" spans="1:4" x14ac:dyDescent="0.2">
      <c r="A26" s="6"/>
      <c r="B26" s="7" t="s">
        <v>21</v>
      </c>
      <c r="C26" s="16">
        <f>'863'!C26+'862'!C26+'859'!C26+'858'!C26+'8012'!C26+'9779'!C26+'9780'!C26+'9781'!C26+'13565'!C26</f>
        <v>783.80938275126994</v>
      </c>
    </row>
    <row r="27" spans="1:4" x14ac:dyDescent="0.2">
      <c r="A27" s="6"/>
      <c r="B27" s="7" t="s">
        <v>22</v>
      </c>
      <c r="C27" s="16">
        <f>'863'!C27+'862'!C27+'859'!C27+'858'!C27+'8012'!C27+'9779'!C27+'9780'!C27+'9781'!C27+'13565'!C27</f>
        <v>0</v>
      </c>
    </row>
    <row r="28" spans="1:4" x14ac:dyDescent="0.2">
      <c r="A28" s="6"/>
      <c r="B28" s="7" t="s">
        <v>23</v>
      </c>
      <c r="C28" s="16">
        <f>'863'!C28+'862'!C28+'859'!C28+'858'!C28+'8012'!C28+'9779'!C28+'9780'!C28+'9781'!C28+'13565'!C28</f>
        <v>683.10412773502355</v>
      </c>
    </row>
    <row r="29" spans="1:4" x14ac:dyDescent="0.2">
      <c r="A29" s="6"/>
      <c r="B29" s="7"/>
      <c r="C29" s="17"/>
    </row>
    <row r="30" spans="1:4" ht="15" x14ac:dyDescent="0.25">
      <c r="A30" s="6">
        <v>5</v>
      </c>
      <c r="B30" s="5" t="s">
        <v>24</v>
      </c>
      <c r="C30" s="15">
        <f>SUM(C31:C32)</f>
        <v>0</v>
      </c>
    </row>
    <row r="31" spans="1:4" x14ac:dyDescent="0.2">
      <c r="A31" s="6" t="s">
        <v>9</v>
      </c>
      <c r="B31" s="7" t="s">
        <v>25</v>
      </c>
      <c r="C31" s="16">
        <f>'863'!C31+'862'!C31+'859'!C31+'858'!C31+'8012'!C31+'9779'!C31+'9780'!C31+'9781'!C31+'13565'!C31</f>
        <v>0</v>
      </c>
    </row>
    <row r="32" spans="1:4" x14ac:dyDescent="0.2">
      <c r="A32" s="6" t="s">
        <v>11</v>
      </c>
      <c r="B32" s="7" t="s">
        <v>26</v>
      </c>
      <c r="C32" s="16">
        <f>'863'!C32+'862'!C32+'859'!C32+'858'!C32+'8012'!C32+'9779'!C32+'9780'!C32+'9781'!C32+'13565'!C32</f>
        <v>0</v>
      </c>
    </row>
    <row r="33" spans="1:4" x14ac:dyDescent="0.2">
      <c r="A33" s="6"/>
      <c r="B33" s="7"/>
      <c r="C33" s="17"/>
    </row>
    <row r="34" spans="1:4" ht="15" x14ac:dyDescent="0.25">
      <c r="A34" s="6">
        <v>6</v>
      </c>
      <c r="B34" s="5" t="s">
        <v>27</v>
      </c>
      <c r="C34" s="15">
        <f>C30+C20+C15+C11+C7-0.2</f>
        <v>6318.4265001556823</v>
      </c>
    </row>
    <row r="35" spans="1:4" x14ac:dyDescent="0.2">
      <c r="A35" s="6"/>
      <c r="B35" s="7"/>
      <c r="C35" s="17"/>
    </row>
    <row r="36" spans="1:4" ht="15" x14ac:dyDescent="0.25">
      <c r="A36" s="6">
        <v>7</v>
      </c>
      <c r="B36" s="5" t="s">
        <v>28</v>
      </c>
      <c r="C36" s="17"/>
      <c r="D36" s="27"/>
    </row>
    <row r="37" spans="1:4" ht="26.25" x14ac:dyDescent="0.25">
      <c r="A37" s="6" t="s">
        <v>9</v>
      </c>
      <c r="B37" s="9" t="s">
        <v>29</v>
      </c>
      <c r="C37" s="18">
        <f>(C32+C20+C16)/C40</f>
        <v>1.49639426937107E-3</v>
      </c>
    </row>
    <row r="38" spans="1:4" ht="15" x14ac:dyDescent="0.25">
      <c r="A38" s="6" t="s">
        <v>11</v>
      </c>
      <c r="B38" s="7" t="s">
        <v>31</v>
      </c>
      <c r="C38" s="18">
        <f>C34/C43</f>
        <v>1.5776670805717427E-3</v>
      </c>
    </row>
    <row r="39" spans="1:4" x14ac:dyDescent="0.2">
      <c r="A39" s="6"/>
      <c r="B39" s="7"/>
      <c r="C39" s="17"/>
    </row>
    <row r="40" spans="1:4" ht="15.75" thickBot="1" x14ac:dyDescent="0.3">
      <c r="A40" s="12"/>
      <c r="B40" s="13" t="s">
        <v>30</v>
      </c>
      <c r="C40" s="14">
        <f>'863'!C40+'862'!C40+'859'!C40+'858'!C40+'8012'!C40+'9779'!C40+'9780'!C40+'9781'!C40+'13565'!C40</f>
        <v>3570531</v>
      </c>
    </row>
    <row r="43" spans="1:4" x14ac:dyDescent="0.2">
      <c r="C43" s="34">
        <f>'863'!C43+'862'!C43+'859'!C43+'858'!C43+'8012'!C43+'9779'!C43+'9780'!C43+'9781'!C43+'13565'!C43</f>
        <v>4004917.5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topLeftCell="A37" workbookViewId="0">
      <selection activeCell="D69" sqref="D69"/>
    </sheetView>
  </sheetViews>
  <sheetFormatPr defaultRowHeight="14.25" x14ac:dyDescent="0.2"/>
  <cols>
    <col min="1" max="1" width="4.5" customWidth="1"/>
    <col min="2" max="2" width="8.75" customWidth="1"/>
    <col min="3" max="3" width="34.375" bestFit="1" customWidth="1"/>
    <col min="4" max="4" width="11" customWidth="1"/>
  </cols>
  <sheetData>
    <row r="1" spans="1:4" ht="15" x14ac:dyDescent="0.25">
      <c r="A1" s="30" t="s">
        <v>32</v>
      </c>
      <c r="B1" s="30"/>
    </row>
    <row r="2" spans="1:4" x14ac:dyDescent="0.2">
      <c r="A2" s="39" t="s">
        <v>93</v>
      </c>
      <c r="B2" s="40"/>
      <c r="C2" s="41"/>
      <c r="D2" s="2">
        <v>44561</v>
      </c>
    </row>
    <row r="3" spans="1:4" ht="15.75" x14ac:dyDescent="0.25">
      <c r="A3" s="35" t="s">
        <v>43</v>
      </c>
      <c r="B3" s="72"/>
      <c r="C3" s="42"/>
    </row>
    <row r="4" spans="1:4" ht="30.75" customHeight="1" thickBot="1" x14ac:dyDescent="0.3">
      <c r="A4" s="88" t="s">
        <v>45</v>
      </c>
      <c r="B4" s="88"/>
      <c r="C4" s="88"/>
    </row>
    <row r="5" spans="1:4" ht="15" customHeight="1" x14ac:dyDescent="0.2">
      <c r="A5" s="43" t="s">
        <v>46</v>
      </c>
      <c r="B5" s="44"/>
      <c r="C5" s="45"/>
      <c r="D5" s="46" t="s">
        <v>1</v>
      </c>
    </row>
    <row r="6" spans="1:4" x14ac:dyDescent="0.2">
      <c r="A6" s="47" t="s">
        <v>47</v>
      </c>
      <c r="B6" s="48"/>
      <c r="C6" s="49"/>
      <c r="D6" s="50"/>
    </row>
    <row r="7" spans="1:4" x14ac:dyDescent="0.2">
      <c r="A7" s="51"/>
      <c r="B7" s="52">
        <v>1</v>
      </c>
      <c r="C7" s="53" t="s">
        <v>48</v>
      </c>
      <c r="D7" s="54">
        <v>0</v>
      </c>
    </row>
    <row r="8" spans="1:4" x14ac:dyDescent="0.2">
      <c r="A8" s="51"/>
      <c r="B8" s="52">
        <v>2</v>
      </c>
      <c r="C8" s="53" t="s">
        <v>48</v>
      </c>
      <c r="D8" s="54">
        <v>0</v>
      </c>
    </row>
    <row r="9" spans="1:4" x14ac:dyDescent="0.2">
      <c r="A9" s="51"/>
      <c r="B9" s="52">
        <v>3</v>
      </c>
      <c r="C9" s="53" t="s">
        <v>48</v>
      </c>
      <c r="D9" s="54">
        <v>0</v>
      </c>
    </row>
    <row r="10" spans="1:4" x14ac:dyDescent="0.2">
      <c r="A10" s="55" t="s">
        <v>49</v>
      </c>
      <c r="B10" s="56"/>
      <c r="C10" s="57"/>
      <c r="D10" s="50"/>
    </row>
    <row r="11" spans="1:4" x14ac:dyDescent="0.2">
      <c r="A11" s="58"/>
      <c r="B11" s="59">
        <v>1</v>
      </c>
      <c r="C11" s="53" t="s">
        <v>50</v>
      </c>
      <c r="D11" s="54">
        <v>601.65768363017037</v>
      </c>
    </row>
    <row r="12" spans="1:4" x14ac:dyDescent="0.2">
      <c r="A12" s="58"/>
      <c r="B12" s="52">
        <v>2</v>
      </c>
      <c r="C12" s="53" t="s">
        <v>51</v>
      </c>
      <c r="D12" s="54">
        <v>106.25181075493362</v>
      </c>
    </row>
    <row r="13" spans="1:4" x14ac:dyDescent="0.2">
      <c r="A13" s="58"/>
      <c r="B13" s="59">
        <v>3</v>
      </c>
      <c r="C13" s="53" t="s">
        <v>52</v>
      </c>
      <c r="D13" s="54">
        <v>95.498365112985482</v>
      </c>
    </row>
    <row r="14" spans="1:4" x14ac:dyDescent="0.2">
      <c r="A14" s="58"/>
      <c r="B14" s="52">
        <v>4</v>
      </c>
      <c r="C14" s="53" t="s">
        <v>48</v>
      </c>
      <c r="D14" s="54">
        <v>0</v>
      </c>
    </row>
    <row r="15" spans="1:4" x14ac:dyDescent="0.2">
      <c r="A15" s="58"/>
      <c r="B15" s="59">
        <v>5</v>
      </c>
      <c r="C15" s="53" t="s">
        <v>48</v>
      </c>
      <c r="D15" s="54">
        <v>0</v>
      </c>
    </row>
    <row r="16" spans="1:4" x14ac:dyDescent="0.2">
      <c r="A16" s="58"/>
      <c r="B16" s="52">
        <v>6</v>
      </c>
      <c r="C16" s="53" t="s">
        <v>48</v>
      </c>
      <c r="D16" s="54">
        <v>0</v>
      </c>
    </row>
    <row r="17" spans="1:5" x14ac:dyDescent="0.2">
      <c r="A17" s="58"/>
      <c r="B17" s="59">
        <v>7</v>
      </c>
      <c r="C17" s="53" t="s">
        <v>48</v>
      </c>
      <c r="D17" s="54">
        <v>0</v>
      </c>
    </row>
    <row r="18" spans="1:5" x14ac:dyDescent="0.2">
      <c r="A18" s="58"/>
      <c r="B18" s="52">
        <v>8</v>
      </c>
      <c r="C18" s="53" t="s">
        <v>48</v>
      </c>
      <c r="D18" s="54">
        <v>0</v>
      </c>
    </row>
    <row r="19" spans="1:5" x14ac:dyDescent="0.2">
      <c r="A19" s="60" t="s">
        <v>53</v>
      </c>
      <c r="B19" s="56"/>
      <c r="C19" s="61"/>
      <c r="D19" s="62">
        <v>803.40785949808946</v>
      </c>
    </row>
    <row r="20" spans="1:5" x14ac:dyDescent="0.2">
      <c r="A20" s="60"/>
      <c r="B20" s="63"/>
      <c r="C20" s="63"/>
      <c r="D20" s="50"/>
    </row>
    <row r="21" spans="1:5" x14ac:dyDescent="0.2">
      <c r="A21" s="60" t="s">
        <v>54</v>
      </c>
      <c r="B21" s="63"/>
      <c r="C21" s="49"/>
      <c r="D21" s="50"/>
    </row>
    <row r="22" spans="1:5" x14ac:dyDescent="0.2">
      <c r="A22" s="60" t="s">
        <v>47</v>
      </c>
      <c r="B22" s="63"/>
      <c r="C22" s="57"/>
      <c r="D22" s="64"/>
    </row>
    <row r="23" spans="1:5" x14ac:dyDescent="0.2">
      <c r="A23" s="65"/>
      <c r="B23" s="53">
        <v>1</v>
      </c>
      <c r="C23" s="53" t="s">
        <v>48</v>
      </c>
      <c r="D23" s="54">
        <v>0</v>
      </c>
    </row>
    <row r="24" spans="1:5" x14ac:dyDescent="0.2">
      <c r="A24" s="65"/>
      <c r="B24" s="53">
        <v>2</v>
      </c>
      <c r="C24" s="53" t="s">
        <v>48</v>
      </c>
      <c r="D24" s="54">
        <v>0</v>
      </c>
    </row>
    <row r="25" spans="1:5" x14ac:dyDescent="0.2">
      <c r="A25" s="65"/>
      <c r="B25" s="53">
        <v>3</v>
      </c>
      <c r="C25" s="53" t="s">
        <v>48</v>
      </c>
      <c r="D25" s="54">
        <v>0</v>
      </c>
    </row>
    <row r="26" spans="1:5" x14ac:dyDescent="0.2">
      <c r="A26" s="60" t="s">
        <v>49</v>
      </c>
      <c r="B26" s="63"/>
      <c r="C26" s="57"/>
      <c r="D26" s="50"/>
    </row>
    <row r="27" spans="1:5" x14ac:dyDescent="0.2">
      <c r="A27" s="65"/>
      <c r="B27" s="53">
        <v>1</v>
      </c>
      <c r="C27" s="53" t="s">
        <v>55</v>
      </c>
      <c r="D27" s="54">
        <f>30.327033365412-0.4</f>
        <v>29.927033365412001</v>
      </c>
      <c r="E27" s="66"/>
    </row>
    <row r="28" spans="1:5" x14ac:dyDescent="0.2">
      <c r="A28" s="65"/>
      <c r="B28" s="53">
        <v>2</v>
      </c>
      <c r="C28" s="53" t="s">
        <v>56</v>
      </c>
      <c r="D28" s="54">
        <v>16.007361217068411</v>
      </c>
    </row>
    <row r="29" spans="1:5" x14ac:dyDescent="0.2">
      <c r="A29" s="65"/>
      <c r="B29" s="53">
        <v>3</v>
      </c>
      <c r="C29" s="53" t="s">
        <v>57</v>
      </c>
      <c r="D29" s="54">
        <v>7.0153022502673705</v>
      </c>
    </row>
    <row r="30" spans="1:5" x14ac:dyDescent="0.2">
      <c r="A30" s="65"/>
      <c r="B30" s="53">
        <v>4</v>
      </c>
      <c r="C30" s="53" t="s">
        <v>58</v>
      </c>
      <c r="D30" s="54">
        <v>1.1828839750784401</v>
      </c>
    </row>
    <row r="31" spans="1:5" x14ac:dyDescent="0.2">
      <c r="A31" s="65"/>
      <c r="B31" s="53">
        <v>5</v>
      </c>
      <c r="C31" s="53"/>
      <c r="D31" s="54">
        <v>0</v>
      </c>
    </row>
    <row r="32" spans="1:5" x14ac:dyDescent="0.2">
      <c r="A32" s="65"/>
      <c r="B32" s="53">
        <v>6</v>
      </c>
      <c r="C32" s="53" t="s">
        <v>48</v>
      </c>
      <c r="D32" s="54">
        <v>0</v>
      </c>
    </row>
    <row r="33" spans="1:4" x14ac:dyDescent="0.2">
      <c r="A33" s="65"/>
      <c r="B33" s="53">
        <v>7</v>
      </c>
      <c r="C33" s="53" t="s">
        <v>48</v>
      </c>
      <c r="D33" s="54">
        <v>0</v>
      </c>
    </row>
    <row r="34" spans="1:4" x14ac:dyDescent="0.2">
      <c r="A34" s="65"/>
      <c r="B34" s="53">
        <v>8</v>
      </c>
      <c r="C34" s="53" t="s">
        <v>48</v>
      </c>
      <c r="D34" s="54">
        <v>0</v>
      </c>
    </row>
    <row r="35" spans="1:4" x14ac:dyDescent="0.2">
      <c r="A35" s="60" t="s">
        <v>60</v>
      </c>
      <c r="B35" s="56"/>
      <c r="C35" s="61"/>
      <c r="D35" s="62">
        <f>SUM(D27:D34)</f>
        <v>54.132580807826216</v>
      </c>
    </row>
    <row r="36" spans="1:4" x14ac:dyDescent="0.2">
      <c r="A36" s="60"/>
      <c r="B36" s="63"/>
      <c r="C36" s="63"/>
      <c r="D36" s="50"/>
    </row>
    <row r="37" spans="1:4" x14ac:dyDescent="0.2">
      <c r="A37" s="60" t="s">
        <v>61</v>
      </c>
      <c r="B37" s="56"/>
      <c r="C37" s="61"/>
      <c r="D37" s="50"/>
    </row>
    <row r="38" spans="1:4" x14ac:dyDescent="0.2">
      <c r="A38" s="58"/>
      <c r="B38" s="59">
        <v>1</v>
      </c>
      <c r="C38" s="67" t="s">
        <v>59</v>
      </c>
      <c r="D38" s="54">
        <f>77.7963491519958+0.5</f>
        <v>78.296349151995798</v>
      </c>
    </row>
    <row r="39" spans="1:4" x14ac:dyDescent="0.2">
      <c r="A39" s="58"/>
      <c r="B39" s="59">
        <v>2</v>
      </c>
      <c r="C39" s="67" t="s">
        <v>62</v>
      </c>
      <c r="D39" s="54">
        <f>41.5272076267089</f>
        <v>41.527207626708901</v>
      </c>
    </row>
    <row r="40" spans="1:4" x14ac:dyDescent="0.2">
      <c r="A40" s="58"/>
      <c r="B40" s="59">
        <v>3</v>
      </c>
      <c r="C40" s="67" t="s">
        <v>48</v>
      </c>
      <c r="D40" s="54">
        <v>0</v>
      </c>
    </row>
    <row r="41" spans="1:4" x14ac:dyDescent="0.2">
      <c r="A41" s="58"/>
      <c r="B41" s="59">
        <v>4</v>
      </c>
      <c r="C41" s="67" t="s">
        <v>48</v>
      </c>
      <c r="D41" s="54">
        <v>0</v>
      </c>
    </row>
    <row r="42" spans="1:4" x14ac:dyDescent="0.2">
      <c r="A42" s="58"/>
      <c r="B42" s="59">
        <v>5</v>
      </c>
      <c r="C42" s="67" t="s">
        <v>48</v>
      </c>
      <c r="D42" s="54">
        <v>0</v>
      </c>
    </row>
    <row r="43" spans="1:4" x14ac:dyDescent="0.2">
      <c r="A43" s="58"/>
      <c r="B43" s="59">
        <v>6</v>
      </c>
      <c r="C43" s="67" t="s">
        <v>48</v>
      </c>
      <c r="D43" s="54">
        <v>0</v>
      </c>
    </row>
    <row r="44" spans="1:4" x14ac:dyDescent="0.2">
      <c r="A44" s="58"/>
      <c r="B44" s="59">
        <v>7</v>
      </c>
      <c r="C44" s="67" t="s">
        <v>48</v>
      </c>
      <c r="D44" s="54">
        <v>0</v>
      </c>
    </row>
    <row r="45" spans="1:4" x14ac:dyDescent="0.2">
      <c r="A45" s="58"/>
      <c r="B45" s="52">
        <v>8</v>
      </c>
      <c r="C45" s="67" t="s">
        <v>48</v>
      </c>
      <c r="D45" s="54">
        <v>0</v>
      </c>
    </row>
    <row r="46" spans="1:4" x14ac:dyDescent="0.2">
      <c r="A46" s="60" t="s">
        <v>63</v>
      </c>
      <c r="B46" s="56"/>
      <c r="C46" s="61"/>
      <c r="D46" s="62">
        <f>SUM(D38:D45)</f>
        <v>119.8235567787047</v>
      </c>
    </row>
    <row r="47" spans="1:4" x14ac:dyDescent="0.2">
      <c r="A47" s="60"/>
      <c r="B47" s="63"/>
      <c r="C47" s="63"/>
      <c r="D47" s="50"/>
    </row>
    <row r="48" spans="1:4" x14ac:dyDescent="0.2">
      <c r="A48" s="60" t="s">
        <v>64</v>
      </c>
      <c r="B48" s="56"/>
      <c r="C48" s="61"/>
      <c r="D48" s="50"/>
    </row>
    <row r="49" spans="1:4" x14ac:dyDescent="0.2">
      <c r="A49" s="58"/>
      <c r="B49" s="59">
        <v>1</v>
      </c>
      <c r="C49" s="67" t="s">
        <v>65</v>
      </c>
      <c r="D49" s="54">
        <v>53.434055445820562</v>
      </c>
    </row>
    <row r="50" spans="1:4" x14ac:dyDescent="0.2">
      <c r="A50" s="58"/>
      <c r="B50" s="59">
        <v>2</v>
      </c>
      <c r="C50" s="67" t="s">
        <v>66</v>
      </c>
      <c r="D50" s="54">
        <v>22.615298742702223</v>
      </c>
    </row>
    <row r="51" spans="1:4" x14ac:dyDescent="0.2">
      <c r="A51" s="58"/>
      <c r="B51" s="59">
        <v>3</v>
      </c>
      <c r="C51" s="67" t="s">
        <v>67</v>
      </c>
      <c r="D51" s="54">
        <v>16.038693002959644</v>
      </c>
    </row>
    <row r="52" spans="1:4" x14ac:dyDescent="0.2">
      <c r="A52" s="58"/>
      <c r="B52" s="59">
        <v>4</v>
      </c>
      <c r="C52" s="67" t="s">
        <v>68</v>
      </c>
      <c r="D52" s="54">
        <v>14.0614527512077</v>
      </c>
    </row>
    <row r="53" spans="1:4" x14ac:dyDescent="0.2">
      <c r="A53" s="58"/>
      <c r="B53" s="59">
        <v>5</v>
      </c>
      <c r="C53" s="67" t="s">
        <v>59</v>
      </c>
      <c r="D53" s="54">
        <v>12</v>
      </c>
    </row>
    <row r="54" spans="1:4" x14ac:dyDescent="0.2">
      <c r="A54" s="58"/>
      <c r="B54" s="59">
        <v>6</v>
      </c>
      <c r="C54" s="67" t="s">
        <v>48</v>
      </c>
      <c r="D54" s="54">
        <v>0</v>
      </c>
    </row>
    <row r="55" spans="1:4" x14ac:dyDescent="0.2">
      <c r="A55" s="58"/>
      <c r="B55" s="59">
        <v>7</v>
      </c>
      <c r="C55" s="67" t="s">
        <v>48</v>
      </c>
      <c r="D55" s="54">
        <v>0</v>
      </c>
    </row>
    <row r="56" spans="1:4" x14ac:dyDescent="0.2">
      <c r="A56" s="58"/>
      <c r="B56" s="59">
        <v>8</v>
      </c>
      <c r="C56" s="67" t="s">
        <v>48</v>
      </c>
      <c r="D56" s="54">
        <v>0</v>
      </c>
    </row>
    <row r="57" spans="1:4" x14ac:dyDescent="0.2">
      <c r="A57" s="60" t="s">
        <v>14</v>
      </c>
      <c r="B57" s="63"/>
      <c r="C57" s="63"/>
      <c r="D57" s="62">
        <f>SUM(D49:D56)</f>
        <v>118.14949994269013</v>
      </c>
    </row>
    <row r="58" spans="1:4" x14ac:dyDescent="0.2">
      <c r="A58" s="60"/>
      <c r="B58" s="63"/>
      <c r="C58" s="63"/>
      <c r="D58" s="50"/>
    </row>
    <row r="59" spans="1:4" x14ac:dyDescent="0.2">
      <c r="A59" s="60" t="s">
        <v>69</v>
      </c>
      <c r="B59" s="63"/>
      <c r="C59" s="63"/>
      <c r="D59" s="50"/>
    </row>
    <row r="60" spans="1:4" x14ac:dyDescent="0.2">
      <c r="A60" s="58"/>
      <c r="B60" s="59">
        <v>1</v>
      </c>
      <c r="C60" s="67" t="s">
        <v>50</v>
      </c>
      <c r="D60" s="54"/>
    </row>
    <row r="61" spans="1:4" x14ac:dyDescent="0.2">
      <c r="A61" s="58"/>
      <c r="B61" s="59"/>
      <c r="C61" s="63" t="s">
        <v>70</v>
      </c>
      <c r="D61" s="62"/>
    </row>
    <row r="62" spans="1:4" x14ac:dyDescent="0.2">
      <c r="A62" s="60"/>
      <c r="B62" s="63"/>
      <c r="C62" s="67"/>
      <c r="D62" s="50"/>
    </row>
    <row r="63" spans="1:4" x14ac:dyDescent="0.2">
      <c r="A63" s="60" t="s">
        <v>71</v>
      </c>
      <c r="B63" s="63"/>
      <c r="C63" s="63"/>
      <c r="D63" s="50"/>
    </row>
    <row r="64" spans="1:4" x14ac:dyDescent="0.2">
      <c r="A64" s="58"/>
      <c r="B64" s="59">
        <v>1</v>
      </c>
      <c r="C64" s="67" t="s">
        <v>72</v>
      </c>
      <c r="D64" s="54"/>
    </row>
    <row r="65" spans="1:4" x14ac:dyDescent="0.2">
      <c r="A65" s="58"/>
      <c r="B65" s="59"/>
      <c r="C65" s="63" t="s">
        <v>26</v>
      </c>
      <c r="D65" s="62"/>
    </row>
    <row r="66" spans="1:4" x14ac:dyDescent="0.2">
      <c r="A66" s="58"/>
      <c r="B66" s="59"/>
      <c r="C66" s="63"/>
      <c r="D66" s="50"/>
    </row>
    <row r="67" spans="1:4" x14ac:dyDescent="0.2">
      <c r="A67" s="60"/>
      <c r="B67" s="63"/>
      <c r="C67" s="63" t="s">
        <v>73</v>
      </c>
      <c r="D67" s="62">
        <f>D57+D46+D35+D26+D19+D10-0.2</f>
        <v>1095.3134970273104</v>
      </c>
    </row>
    <row r="68" spans="1:4" x14ac:dyDescent="0.2">
      <c r="A68" s="60"/>
      <c r="B68" s="63"/>
      <c r="C68" s="63"/>
      <c r="D68" s="50"/>
    </row>
    <row r="69" spans="1:4" ht="15.75" thickBot="1" x14ac:dyDescent="0.3">
      <c r="A69" s="68"/>
      <c r="B69" s="69"/>
      <c r="C69" s="70" t="s">
        <v>30</v>
      </c>
      <c r="D69" s="14">
        <f>'מגדל תגמולים- נספח 1'!C40</f>
        <v>3570531</v>
      </c>
    </row>
    <row r="71" spans="1:4" x14ac:dyDescent="0.2">
      <c r="D71" s="71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abSelected="1" topLeftCell="A25" workbookViewId="0">
      <selection activeCell="J46" sqref="J46"/>
    </sheetView>
  </sheetViews>
  <sheetFormatPr defaultRowHeight="14.25" x14ac:dyDescent="0.2"/>
  <cols>
    <col min="1" max="1" width="4.5" customWidth="1"/>
    <col min="2" max="2" width="50" customWidth="1"/>
    <col min="3" max="3" width="9.875" bestFit="1" customWidth="1"/>
  </cols>
  <sheetData>
    <row r="1" spans="1:3" ht="15" x14ac:dyDescent="0.25">
      <c r="A1" s="30" t="s">
        <v>32</v>
      </c>
      <c r="B1" s="40"/>
    </row>
    <row r="2" spans="1:3" x14ac:dyDescent="0.2">
      <c r="A2" s="39" t="s">
        <v>94</v>
      </c>
      <c r="B2" s="40"/>
      <c r="C2" s="2">
        <v>44561</v>
      </c>
    </row>
    <row r="3" spans="1:3" ht="15.75" x14ac:dyDescent="0.25">
      <c r="A3" s="35" t="s">
        <v>43</v>
      </c>
      <c r="B3" s="72"/>
      <c r="C3" s="40"/>
    </row>
    <row r="4" spans="1:3" ht="32.25" customHeight="1" thickBot="1" x14ac:dyDescent="0.3">
      <c r="A4" s="88" t="s">
        <v>45</v>
      </c>
      <c r="B4" s="88"/>
      <c r="C4" s="40"/>
    </row>
    <row r="5" spans="1:3" x14ac:dyDescent="0.2">
      <c r="A5" s="73"/>
      <c r="B5" s="74"/>
      <c r="C5" s="75" t="s">
        <v>1</v>
      </c>
    </row>
    <row r="6" spans="1:3" x14ac:dyDescent="0.2">
      <c r="A6" s="60" t="s">
        <v>74</v>
      </c>
      <c r="B6" s="57"/>
      <c r="C6" s="76"/>
    </row>
    <row r="7" spans="1:3" x14ac:dyDescent="0.2">
      <c r="A7" s="58">
        <v>1</v>
      </c>
      <c r="B7" s="77" t="s">
        <v>59</v>
      </c>
      <c r="C7" s="78">
        <v>3746.2389053902416</v>
      </c>
    </row>
    <row r="8" spans="1:3" x14ac:dyDescent="0.2">
      <c r="A8" s="58">
        <v>2</v>
      </c>
      <c r="B8" s="77" t="s">
        <v>48</v>
      </c>
      <c r="C8" s="78">
        <v>0</v>
      </c>
    </row>
    <row r="9" spans="1:3" x14ac:dyDescent="0.2">
      <c r="A9" s="58">
        <v>3</v>
      </c>
      <c r="B9" s="77" t="s">
        <v>48</v>
      </c>
      <c r="C9" s="78">
        <v>0</v>
      </c>
    </row>
    <row r="10" spans="1:3" x14ac:dyDescent="0.2">
      <c r="A10" s="58">
        <v>4</v>
      </c>
      <c r="B10" s="77" t="s">
        <v>48</v>
      </c>
      <c r="C10" s="78">
        <v>0</v>
      </c>
    </row>
    <row r="11" spans="1:3" x14ac:dyDescent="0.2">
      <c r="A11" s="58">
        <v>5</v>
      </c>
      <c r="B11" s="77" t="s">
        <v>48</v>
      </c>
      <c r="C11" s="78">
        <v>0</v>
      </c>
    </row>
    <row r="12" spans="1:3" x14ac:dyDescent="0.2">
      <c r="A12" s="58">
        <v>6</v>
      </c>
      <c r="B12" s="77" t="s">
        <v>48</v>
      </c>
      <c r="C12" s="78">
        <v>0</v>
      </c>
    </row>
    <row r="13" spans="1:3" x14ac:dyDescent="0.2">
      <c r="A13" s="58">
        <v>7</v>
      </c>
      <c r="B13" s="77" t="s">
        <v>48</v>
      </c>
      <c r="C13" s="78">
        <v>0</v>
      </c>
    </row>
    <row r="14" spans="1:3" x14ac:dyDescent="0.2">
      <c r="A14" s="58">
        <v>8</v>
      </c>
      <c r="B14" s="77" t="s">
        <v>48</v>
      </c>
      <c r="C14" s="78">
        <v>0</v>
      </c>
    </row>
    <row r="15" spans="1:3" x14ac:dyDescent="0.2">
      <c r="A15" s="47" t="s">
        <v>75</v>
      </c>
      <c r="B15" s="77"/>
      <c r="C15" s="79">
        <v>3746.2389053902416</v>
      </c>
    </row>
    <row r="16" spans="1:3" x14ac:dyDescent="0.2">
      <c r="A16" s="80"/>
      <c r="B16" s="81"/>
      <c r="C16" s="82"/>
    </row>
    <row r="17" spans="1:3" x14ac:dyDescent="0.2">
      <c r="A17" s="47" t="s">
        <v>76</v>
      </c>
      <c r="B17" s="77"/>
      <c r="C17" s="82"/>
    </row>
    <row r="18" spans="1:3" x14ac:dyDescent="0.2">
      <c r="A18" s="58">
        <v>1</v>
      </c>
      <c r="B18" s="77" t="s">
        <v>50</v>
      </c>
      <c r="C18" s="78"/>
    </row>
    <row r="19" spans="1:3" x14ac:dyDescent="0.2">
      <c r="A19" s="60" t="s">
        <v>77</v>
      </c>
      <c r="B19" s="57"/>
      <c r="C19" s="79"/>
    </row>
    <row r="20" spans="1:3" x14ac:dyDescent="0.2">
      <c r="A20" s="65"/>
      <c r="B20" s="83"/>
      <c r="C20" s="82"/>
    </row>
    <row r="21" spans="1:3" x14ac:dyDescent="0.2">
      <c r="A21" s="55" t="s">
        <v>78</v>
      </c>
      <c r="B21" s="84"/>
      <c r="C21" s="82"/>
    </row>
    <row r="22" spans="1:3" x14ac:dyDescent="0.2">
      <c r="A22" s="58">
        <v>1</v>
      </c>
      <c r="B22" s="77" t="s">
        <v>50</v>
      </c>
      <c r="C22" s="78"/>
    </row>
    <row r="23" spans="1:3" x14ac:dyDescent="0.2">
      <c r="A23" s="47" t="s">
        <v>19</v>
      </c>
      <c r="B23" s="77"/>
      <c r="C23" s="79"/>
    </row>
    <row r="24" spans="1:3" x14ac:dyDescent="0.2">
      <c r="A24" s="80"/>
      <c r="B24" s="77"/>
      <c r="C24" s="82"/>
    </row>
    <row r="25" spans="1:3" x14ac:dyDescent="0.2">
      <c r="A25" s="47" t="s">
        <v>79</v>
      </c>
      <c r="B25" s="77"/>
      <c r="C25" s="82"/>
    </row>
    <row r="26" spans="1:3" x14ac:dyDescent="0.2">
      <c r="A26" s="47" t="s">
        <v>80</v>
      </c>
      <c r="B26" s="81" t="s">
        <v>81</v>
      </c>
      <c r="C26" s="82"/>
    </row>
    <row r="27" spans="1:3" x14ac:dyDescent="0.2">
      <c r="A27" s="58">
        <v>1</v>
      </c>
      <c r="B27" s="77"/>
      <c r="C27" s="78"/>
    </row>
    <row r="28" spans="1:3" x14ac:dyDescent="0.2">
      <c r="A28" s="58">
        <v>2</v>
      </c>
      <c r="B28" s="77"/>
      <c r="C28" s="78"/>
    </row>
    <row r="29" spans="1:3" x14ac:dyDescent="0.2">
      <c r="A29" s="60" t="s">
        <v>82</v>
      </c>
      <c r="B29" s="85" t="s">
        <v>83</v>
      </c>
      <c r="C29" s="82"/>
    </row>
    <row r="30" spans="1:3" x14ac:dyDescent="0.2">
      <c r="A30" s="86">
        <v>1</v>
      </c>
      <c r="B30" s="84" t="s">
        <v>59</v>
      </c>
      <c r="C30" s="78">
        <v>559.73185314303532</v>
      </c>
    </row>
    <row r="31" spans="1:3" x14ac:dyDescent="0.2">
      <c r="A31" s="86">
        <v>2</v>
      </c>
      <c r="B31" s="84" t="s">
        <v>84</v>
      </c>
      <c r="C31" s="78">
        <v>123.37227779042993</v>
      </c>
    </row>
    <row r="32" spans="1:3" x14ac:dyDescent="0.2">
      <c r="A32" s="86">
        <v>3</v>
      </c>
      <c r="B32" s="84" t="s">
        <v>48</v>
      </c>
      <c r="C32" s="78">
        <v>0</v>
      </c>
    </row>
    <row r="33" spans="1:3" x14ac:dyDescent="0.2">
      <c r="A33" s="86">
        <v>4</v>
      </c>
      <c r="B33" s="84" t="s">
        <v>48</v>
      </c>
      <c r="C33" s="78">
        <v>0</v>
      </c>
    </row>
    <row r="34" spans="1:3" x14ac:dyDescent="0.2">
      <c r="A34" s="86">
        <v>5</v>
      </c>
      <c r="B34" s="84" t="s">
        <v>48</v>
      </c>
      <c r="C34" s="78">
        <v>0</v>
      </c>
    </row>
    <row r="35" spans="1:3" x14ac:dyDescent="0.2">
      <c r="A35" s="86">
        <v>6</v>
      </c>
      <c r="B35" s="84" t="s">
        <v>48</v>
      </c>
      <c r="C35" s="78">
        <v>0</v>
      </c>
    </row>
    <row r="36" spans="1:3" x14ac:dyDescent="0.2">
      <c r="A36" s="86">
        <v>7</v>
      </c>
      <c r="B36" s="84" t="s">
        <v>48</v>
      </c>
      <c r="C36" s="78">
        <v>0</v>
      </c>
    </row>
    <row r="37" spans="1:3" x14ac:dyDescent="0.2">
      <c r="A37" s="55" t="s">
        <v>85</v>
      </c>
      <c r="B37" s="83"/>
      <c r="C37" s="79">
        <v>683.10413093346529</v>
      </c>
    </row>
    <row r="38" spans="1:3" x14ac:dyDescent="0.2">
      <c r="A38" s="55"/>
      <c r="B38" s="84"/>
      <c r="C38" s="82"/>
    </row>
    <row r="39" spans="1:3" x14ac:dyDescent="0.2">
      <c r="A39" s="47" t="s">
        <v>86</v>
      </c>
      <c r="B39" s="77"/>
      <c r="C39" s="82"/>
    </row>
    <row r="40" spans="1:3" x14ac:dyDescent="0.2">
      <c r="A40" s="47" t="s">
        <v>80</v>
      </c>
      <c r="B40" s="81" t="s">
        <v>87</v>
      </c>
      <c r="C40" s="82"/>
    </row>
    <row r="41" spans="1:3" x14ac:dyDescent="0.2">
      <c r="A41" s="58">
        <v>1</v>
      </c>
      <c r="B41" s="57" t="s">
        <v>50</v>
      </c>
      <c r="C41" s="78">
        <v>10</v>
      </c>
    </row>
    <row r="42" spans="1:3" x14ac:dyDescent="0.2">
      <c r="A42" s="58">
        <v>2</v>
      </c>
      <c r="B42" s="57" t="s">
        <v>48</v>
      </c>
      <c r="C42" s="78">
        <v>0</v>
      </c>
    </row>
    <row r="43" spans="1:3" x14ac:dyDescent="0.2">
      <c r="A43" s="58">
        <v>3</v>
      </c>
      <c r="B43" s="57" t="s">
        <v>48</v>
      </c>
      <c r="C43" s="78">
        <v>0</v>
      </c>
    </row>
    <row r="44" spans="1:3" x14ac:dyDescent="0.2">
      <c r="A44" s="58">
        <v>4</v>
      </c>
      <c r="B44" s="57" t="s">
        <v>48</v>
      </c>
      <c r="C44" s="78">
        <v>0</v>
      </c>
    </row>
    <row r="45" spans="1:3" x14ac:dyDescent="0.2">
      <c r="A45" s="58">
        <v>5</v>
      </c>
      <c r="B45" s="57" t="s">
        <v>48</v>
      </c>
      <c r="C45" s="78">
        <v>0</v>
      </c>
    </row>
    <row r="46" spans="1:3" x14ac:dyDescent="0.2">
      <c r="A46" s="58">
        <v>6</v>
      </c>
      <c r="B46" s="57" t="s">
        <v>48</v>
      </c>
      <c r="C46" s="78">
        <v>0</v>
      </c>
    </row>
    <row r="47" spans="1:3" x14ac:dyDescent="0.2">
      <c r="A47" s="58">
        <v>7</v>
      </c>
      <c r="B47" s="57" t="s">
        <v>48</v>
      </c>
      <c r="C47" s="78">
        <v>0</v>
      </c>
    </row>
    <row r="48" spans="1:3" x14ac:dyDescent="0.2">
      <c r="A48" s="58">
        <v>8</v>
      </c>
      <c r="B48" s="57" t="s">
        <v>48</v>
      </c>
      <c r="C48" s="78">
        <v>0</v>
      </c>
    </row>
    <row r="49" spans="1:5" x14ac:dyDescent="0.2">
      <c r="A49" s="60" t="s">
        <v>82</v>
      </c>
      <c r="B49" s="81" t="s">
        <v>88</v>
      </c>
      <c r="C49" s="82"/>
    </row>
    <row r="50" spans="1:5" x14ac:dyDescent="0.2">
      <c r="A50" s="86">
        <v>1</v>
      </c>
      <c r="B50" s="57" t="s">
        <v>50</v>
      </c>
      <c r="C50" s="78">
        <f>556.513284334172-10</f>
        <v>546.513284334172</v>
      </c>
    </row>
    <row r="51" spans="1:5" x14ac:dyDescent="0.2">
      <c r="A51" s="86">
        <v>2</v>
      </c>
      <c r="B51" s="57" t="s">
        <v>89</v>
      </c>
      <c r="C51" s="78">
        <v>122.7948946811897</v>
      </c>
    </row>
    <row r="52" spans="1:5" x14ac:dyDescent="0.2">
      <c r="A52" s="86">
        <v>3</v>
      </c>
      <c r="B52" s="57" t="s">
        <v>90</v>
      </c>
      <c r="C52" s="78">
        <v>115.1473580924245</v>
      </c>
    </row>
    <row r="53" spans="1:5" x14ac:dyDescent="0.2">
      <c r="A53" s="86">
        <v>4</v>
      </c>
      <c r="B53" s="57" t="s">
        <v>48</v>
      </c>
      <c r="C53" s="78">
        <v>0</v>
      </c>
    </row>
    <row r="54" spans="1:5" x14ac:dyDescent="0.2">
      <c r="A54" s="86">
        <v>5</v>
      </c>
      <c r="B54" s="57" t="s">
        <v>48</v>
      </c>
      <c r="C54" s="78">
        <v>0</v>
      </c>
    </row>
    <row r="55" spans="1:5" x14ac:dyDescent="0.2">
      <c r="A55" s="86">
        <v>6</v>
      </c>
      <c r="B55" s="57" t="s">
        <v>48</v>
      </c>
      <c r="C55" s="78">
        <v>0</v>
      </c>
    </row>
    <row r="56" spans="1:5" x14ac:dyDescent="0.2">
      <c r="A56" s="86">
        <v>7</v>
      </c>
      <c r="B56" s="57" t="s">
        <v>48</v>
      </c>
      <c r="C56" s="78">
        <v>0</v>
      </c>
    </row>
    <row r="57" spans="1:5" x14ac:dyDescent="0.2">
      <c r="A57" s="86">
        <v>8</v>
      </c>
      <c r="B57" s="57" t="s">
        <v>48</v>
      </c>
      <c r="C57" s="78">
        <v>0</v>
      </c>
    </row>
    <row r="58" spans="1:5" x14ac:dyDescent="0.2">
      <c r="A58" s="60" t="s">
        <v>91</v>
      </c>
      <c r="B58" s="83"/>
      <c r="C58" s="79">
        <f>SUM(C41:C57)</f>
        <v>794.4555371077862</v>
      </c>
    </row>
    <row r="59" spans="1:5" x14ac:dyDescent="0.2">
      <c r="A59" s="65"/>
      <c r="B59" s="83"/>
      <c r="C59" s="79"/>
      <c r="E59" s="71"/>
    </row>
    <row r="60" spans="1:5" x14ac:dyDescent="0.2">
      <c r="A60" s="55" t="s">
        <v>92</v>
      </c>
      <c r="B60" s="84"/>
      <c r="C60" s="79">
        <f>C58+C37+C15-0.5</f>
        <v>5223.2985734314934</v>
      </c>
    </row>
    <row r="61" spans="1:5" x14ac:dyDescent="0.2">
      <c r="A61" s="65"/>
      <c r="B61" s="83"/>
      <c r="C61" s="82"/>
    </row>
    <row r="62" spans="1:5" ht="15.75" thickBot="1" x14ac:dyDescent="0.3">
      <c r="A62" s="70" t="s">
        <v>30</v>
      </c>
      <c r="B62" s="87"/>
      <c r="C62" s="14">
        <f>'מגדל תגמולים- נספח 1'!C40</f>
        <v>3570531</v>
      </c>
    </row>
    <row r="63" spans="1:5" x14ac:dyDescent="0.2">
      <c r="C63" s="71"/>
    </row>
    <row r="65" spans="3:3" x14ac:dyDescent="0.2">
      <c r="C65" s="71"/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rightToLeft="1" zoomScaleNormal="100" workbookViewId="0">
      <pane ySplit="4" topLeftCell="A23" activePane="bottomLeft" state="frozen"/>
      <selection activeCell="F36" sqref="F36"/>
      <selection pane="bottomLeft" activeCell="E40" sqref="E40"/>
    </sheetView>
  </sheetViews>
  <sheetFormatPr defaultRowHeight="14.25" x14ac:dyDescent="0.2"/>
  <cols>
    <col min="1" max="1" width="6.125" style="1" customWidth="1"/>
    <col min="2" max="2" width="48.875" style="1" customWidth="1"/>
    <col min="3" max="3" width="9.2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35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3.0990191744716209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3.0990191744716209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9.5484380062930002E-2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9.5484380062930002E-2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4.1666585624999999E-3</v>
      </c>
    </row>
    <row r="16" spans="1:3" ht="25.5" x14ac:dyDescent="0.2">
      <c r="A16" s="6" t="s">
        <v>9</v>
      </c>
      <c r="B16" s="9" t="s">
        <v>10</v>
      </c>
      <c r="C16" s="16">
        <v>4.1666585624999999E-3</v>
      </c>
    </row>
    <row r="17" spans="1:5" x14ac:dyDescent="0.2">
      <c r="A17" s="6" t="s">
        <v>11</v>
      </c>
      <c r="B17" s="9" t="s">
        <v>12</v>
      </c>
      <c r="C17" s="16">
        <v>0</v>
      </c>
    </row>
    <row r="18" spans="1:5" x14ac:dyDescent="0.2">
      <c r="A18" s="6" t="s">
        <v>13</v>
      </c>
      <c r="B18" s="7" t="s">
        <v>14</v>
      </c>
      <c r="C18" s="16">
        <v>0</v>
      </c>
    </row>
    <row r="19" spans="1:5" x14ac:dyDescent="0.2">
      <c r="A19" s="10"/>
      <c r="B19" s="25"/>
      <c r="C19" s="17"/>
    </row>
    <row r="20" spans="1:5" ht="15" x14ac:dyDescent="0.25">
      <c r="A20" s="11">
        <v>4</v>
      </c>
      <c r="B20" s="5" t="s">
        <v>15</v>
      </c>
      <c r="C20" s="15">
        <f t="shared" ref="C20" si="3">SUM(C21:C28)</f>
        <v>13.051500467324217</v>
      </c>
      <c r="E20" s="21"/>
    </row>
    <row r="21" spans="1:5" x14ac:dyDescent="0.2">
      <c r="A21" s="6"/>
      <c r="B21" s="7" t="s">
        <v>16</v>
      </c>
      <c r="C21" s="16">
        <v>0</v>
      </c>
      <c r="E21" s="28"/>
    </row>
    <row r="22" spans="1:5" x14ac:dyDescent="0.2">
      <c r="A22" s="6"/>
      <c r="B22" s="7" t="s">
        <v>17</v>
      </c>
      <c r="C22" s="16">
        <v>0</v>
      </c>
    </row>
    <row r="23" spans="1:5" x14ac:dyDescent="0.2">
      <c r="A23" s="6"/>
      <c r="B23" s="7" t="s">
        <v>18</v>
      </c>
      <c r="C23" s="16"/>
    </row>
    <row r="24" spans="1:5" x14ac:dyDescent="0.2">
      <c r="A24" s="6"/>
      <c r="B24" s="7" t="s">
        <v>19</v>
      </c>
      <c r="C24" s="16"/>
    </row>
    <row r="25" spans="1:5" x14ac:dyDescent="0.2">
      <c r="A25" s="6"/>
      <c r="B25" s="7" t="s">
        <v>20</v>
      </c>
      <c r="C25" s="16">
        <v>0</v>
      </c>
    </row>
    <row r="26" spans="1:5" x14ac:dyDescent="0.2">
      <c r="A26" s="6"/>
      <c r="B26" s="7" t="s">
        <v>21</v>
      </c>
      <c r="C26" s="16">
        <v>9.8552765026498381</v>
      </c>
    </row>
    <row r="27" spans="1:5" x14ac:dyDescent="0.2">
      <c r="A27" s="6"/>
      <c r="B27" s="7" t="s">
        <v>22</v>
      </c>
      <c r="C27" s="16">
        <v>0</v>
      </c>
    </row>
    <row r="28" spans="1:5" x14ac:dyDescent="0.2">
      <c r="A28" s="6"/>
      <c r="B28" s="7" t="s">
        <v>23</v>
      </c>
      <c r="C28" s="16">
        <v>3.1962239646743793</v>
      </c>
    </row>
    <row r="29" spans="1:5" x14ac:dyDescent="0.2">
      <c r="A29" s="6"/>
      <c r="B29" s="7"/>
      <c r="C29" s="17"/>
    </row>
    <row r="30" spans="1:5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5" x14ac:dyDescent="0.2">
      <c r="A31" s="6" t="s">
        <v>9</v>
      </c>
      <c r="B31" s="7" t="s">
        <v>25</v>
      </c>
      <c r="C31" s="16"/>
    </row>
    <row r="32" spans="1:5" x14ac:dyDescent="0.2">
      <c r="A32" s="6" t="s">
        <v>11</v>
      </c>
      <c r="B32" s="7" t="s">
        <v>26</v>
      </c>
      <c r="C32" s="16"/>
    </row>
    <row r="33" spans="1:5" x14ac:dyDescent="0.2">
      <c r="A33" s="6"/>
      <c r="B33" s="7"/>
      <c r="C33" s="17"/>
    </row>
    <row r="34" spans="1:5" ht="15" x14ac:dyDescent="0.25">
      <c r="A34" s="6">
        <v>6</v>
      </c>
      <c r="B34" s="5" t="s">
        <v>27</v>
      </c>
      <c r="C34" s="15">
        <f t="shared" ref="C34" si="5">C30+C20+C15+C11+C7</f>
        <v>16.250170680421267</v>
      </c>
    </row>
    <row r="35" spans="1:5" x14ac:dyDescent="0.2">
      <c r="A35" s="6"/>
      <c r="B35" s="7"/>
      <c r="C35" s="17"/>
    </row>
    <row r="36" spans="1:5" ht="15" x14ac:dyDescent="0.25">
      <c r="A36" s="6">
        <v>7</v>
      </c>
      <c r="B36" s="5" t="s">
        <v>28</v>
      </c>
      <c r="C36" s="17"/>
      <c r="E36" s="27"/>
    </row>
    <row r="37" spans="1:5" ht="26.25" x14ac:dyDescent="0.25">
      <c r="A37" s="6" t="s">
        <v>9</v>
      </c>
      <c r="B37" s="9" t="s">
        <v>29</v>
      </c>
      <c r="C37" s="18">
        <f t="shared" ref="C37" si="6">(C32+C20+C16)/C40</f>
        <v>1.15169964060398E-3</v>
      </c>
    </row>
    <row r="38" spans="1:5" ht="15" x14ac:dyDescent="0.25">
      <c r="A38" s="6" t="s">
        <v>11</v>
      </c>
      <c r="B38" s="7" t="s">
        <v>31</v>
      </c>
      <c r="C38" s="18">
        <f t="shared" ref="C38" si="7">C34/C43</f>
        <v>1.6354841667090647E-3</v>
      </c>
    </row>
    <row r="39" spans="1:5" x14ac:dyDescent="0.2">
      <c r="A39" s="6"/>
      <c r="B39" s="7"/>
      <c r="C39" s="17"/>
    </row>
    <row r="40" spans="1:5" ht="15.75" thickBot="1" x14ac:dyDescent="0.3">
      <c r="A40" s="12"/>
      <c r="B40" s="13" t="s">
        <v>30</v>
      </c>
      <c r="C40" s="19">
        <v>11336</v>
      </c>
    </row>
    <row r="43" spans="1:5" x14ac:dyDescent="0.2">
      <c r="C43" s="29">
        <f>(C40+8536)/2</f>
        <v>9936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ySplit="4" topLeftCell="A26" activePane="bottomLeft" state="frozen"/>
      <selection activeCell="F36" sqref="F36"/>
      <selection pane="bottomLeft" activeCell="F40" sqref="F40"/>
    </sheetView>
  </sheetViews>
  <sheetFormatPr defaultRowHeight="14.25" x14ac:dyDescent="0.2"/>
  <cols>
    <col min="1" max="1" width="6.125" style="1" customWidth="1"/>
    <col min="2" max="2" width="48.875" style="1" customWidth="1"/>
    <col min="3" max="3" width="10" style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36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27.000974797143666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27.000974797143666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0.18051154470455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0.18051154470455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0</v>
      </c>
    </row>
    <row r="16" spans="1:3" ht="25.5" x14ac:dyDescent="0.2">
      <c r="A16" s="6" t="s">
        <v>9</v>
      </c>
      <c r="B16" s="9" t="s">
        <v>10</v>
      </c>
      <c r="C16" s="16">
        <v>0</v>
      </c>
    </row>
    <row r="17" spans="1:3" x14ac:dyDescent="0.2">
      <c r="A17" s="6" t="s">
        <v>11</v>
      </c>
      <c r="B17" s="9" t="s">
        <v>12</v>
      </c>
      <c r="C17" s="16">
        <v>0</v>
      </c>
    </row>
    <row r="18" spans="1:3" x14ac:dyDescent="0.2">
      <c r="A18" s="6" t="s">
        <v>13</v>
      </c>
      <c r="B18" s="7" t="s">
        <v>14</v>
      </c>
      <c r="C18" s="16">
        <v>0</v>
      </c>
    </row>
    <row r="19" spans="1:3" x14ac:dyDescent="0.2">
      <c r="A19" s="10"/>
      <c r="B19" s="25"/>
      <c r="C19" s="17"/>
    </row>
    <row r="20" spans="1:3" ht="15" x14ac:dyDescent="0.25">
      <c r="A20" s="11">
        <v>4</v>
      </c>
      <c r="B20" s="5" t="s">
        <v>15</v>
      </c>
      <c r="C20" s="15">
        <f t="shared" ref="C20" si="3">SUM(C21:C28)</f>
        <v>0</v>
      </c>
    </row>
    <row r="21" spans="1:3" x14ac:dyDescent="0.2">
      <c r="A21" s="6"/>
      <c r="B21" s="7" t="s">
        <v>16</v>
      </c>
      <c r="C21" s="16">
        <v>0</v>
      </c>
    </row>
    <row r="22" spans="1:3" x14ac:dyDescent="0.2">
      <c r="A22" s="6"/>
      <c r="B22" s="7" t="s">
        <v>17</v>
      </c>
      <c r="C22" s="16">
        <v>0</v>
      </c>
    </row>
    <row r="23" spans="1:3" x14ac:dyDescent="0.2">
      <c r="A23" s="6"/>
      <c r="B23" s="7" t="s">
        <v>18</v>
      </c>
      <c r="C23" s="16"/>
    </row>
    <row r="24" spans="1:3" x14ac:dyDescent="0.2">
      <c r="A24" s="6"/>
      <c r="B24" s="7" t="s">
        <v>19</v>
      </c>
      <c r="C24" s="16"/>
    </row>
    <row r="25" spans="1:3" x14ac:dyDescent="0.2">
      <c r="A25" s="6"/>
      <c r="B25" s="7" t="s">
        <v>20</v>
      </c>
      <c r="C25" s="16">
        <v>0</v>
      </c>
    </row>
    <row r="26" spans="1:3" x14ac:dyDescent="0.2">
      <c r="A26" s="6"/>
      <c r="B26" s="7" t="s">
        <v>21</v>
      </c>
      <c r="C26" s="16">
        <v>0</v>
      </c>
    </row>
    <row r="27" spans="1:3" x14ac:dyDescent="0.2">
      <c r="A27" s="6"/>
      <c r="B27" s="7" t="s">
        <v>22</v>
      </c>
      <c r="C27" s="16">
        <v>0</v>
      </c>
    </row>
    <row r="28" spans="1:3" x14ac:dyDescent="0.2">
      <c r="A28" s="6"/>
      <c r="B28" s="7" t="s">
        <v>23</v>
      </c>
      <c r="C28" s="16">
        <v>0</v>
      </c>
    </row>
    <row r="29" spans="1:3" x14ac:dyDescent="0.2">
      <c r="A29" s="6"/>
      <c r="B29" s="7"/>
      <c r="C29" s="17"/>
    </row>
    <row r="30" spans="1:3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3" x14ac:dyDescent="0.2">
      <c r="A31" s="6" t="s">
        <v>9</v>
      </c>
      <c r="B31" s="7" t="s">
        <v>25</v>
      </c>
      <c r="C31" s="16"/>
    </row>
    <row r="32" spans="1:3" x14ac:dyDescent="0.2">
      <c r="A32" s="6" t="s">
        <v>11</v>
      </c>
      <c r="B32" s="7" t="s">
        <v>26</v>
      </c>
      <c r="C32" s="16"/>
    </row>
    <row r="33" spans="1:3" x14ac:dyDescent="0.2">
      <c r="A33" s="6"/>
      <c r="B33" s="7"/>
      <c r="C33" s="17"/>
    </row>
    <row r="34" spans="1:3" ht="15" x14ac:dyDescent="0.25">
      <c r="A34" s="6">
        <v>6</v>
      </c>
      <c r="B34" s="5" t="s">
        <v>27</v>
      </c>
      <c r="C34" s="15">
        <f t="shared" ref="C34" si="5">C30+C20+C15+C11+C7</f>
        <v>27.181486341848217</v>
      </c>
    </row>
    <row r="35" spans="1:3" x14ac:dyDescent="0.2">
      <c r="A35" s="6"/>
      <c r="B35" s="7"/>
      <c r="C35" s="17"/>
    </row>
    <row r="36" spans="1:3" ht="15" x14ac:dyDescent="0.25">
      <c r="A36" s="6">
        <v>7</v>
      </c>
      <c r="B36" s="5" t="s">
        <v>28</v>
      </c>
      <c r="C36" s="17"/>
    </row>
    <row r="37" spans="1:3" ht="26.25" x14ac:dyDescent="0.25">
      <c r="A37" s="6" t="s">
        <v>9</v>
      </c>
      <c r="B37" s="9" t="s">
        <v>29</v>
      </c>
      <c r="C37" s="18">
        <f t="shared" ref="C37" si="6">(C32+C20+C16)/C40</f>
        <v>0</v>
      </c>
    </row>
    <row r="38" spans="1:3" ht="15" x14ac:dyDescent="0.25">
      <c r="A38" s="6" t="s">
        <v>11</v>
      </c>
      <c r="B38" s="7" t="s">
        <v>31</v>
      </c>
      <c r="C38" s="18">
        <f t="shared" ref="C38" si="7">C34/C43</f>
        <v>2.6686845657584882E-4</v>
      </c>
    </row>
    <row r="39" spans="1:3" x14ac:dyDescent="0.2">
      <c r="A39" s="6"/>
      <c r="B39" s="7"/>
      <c r="C39" s="17"/>
    </row>
    <row r="40" spans="1:3" ht="15.75" thickBot="1" x14ac:dyDescent="0.3">
      <c r="A40" s="12"/>
      <c r="B40" s="13" t="s">
        <v>30</v>
      </c>
      <c r="C40" s="19">
        <v>108845</v>
      </c>
    </row>
    <row r="43" spans="1:3" x14ac:dyDescent="0.2">
      <c r="C43" s="29">
        <f>(C40+94862)/2</f>
        <v>101853.5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ySplit="4" topLeftCell="A29" activePane="bottomLeft" state="frozen"/>
      <selection activeCell="F36" sqref="F36"/>
      <selection pane="bottomLeft" activeCell="C37" sqref="C37"/>
    </sheetView>
  </sheetViews>
  <sheetFormatPr defaultRowHeight="14.25" x14ac:dyDescent="0.2"/>
  <cols>
    <col min="1" max="1" width="6.125" style="1" customWidth="1"/>
    <col min="2" max="2" width="48.875" style="1" customWidth="1"/>
    <col min="3" max="3" width="9.87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37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>SUM(C8:C9)</f>
        <v>4.9934217551674198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4.9934217551674198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>SUM(C12:C13)</f>
        <v>9.6013524970080005E-2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9.6013524970080005E-2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>SUM(C16:C18)</f>
        <v>0</v>
      </c>
    </row>
    <row r="16" spans="1:3" ht="25.5" x14ac:dyDescent="0.2">
      <c r="A16" s="6" t="s">
        <v>9</v>
      </c>
      <c r="B16" s="9" t="s">
        <v>10</v>
      </c>
      <c r="C16" s="16">
        <v>0</v>
      </c>
    </row>
    <row r="17" spans="1:3" x14ac:dyDescent="0.2">
      <c r="A17" s="6" t="s">
        <v>11</v>
      </c>
      <c r="B17" s="9" t="s">
        <v>12</v>
      </c>
      <c r="C17" s="16">
        <v>0</v>
      </c>
    </row>
    <row r="18" spans="1:3" x14ac:dyDescent="0.2">
      <c r="A18" s="6" t="s">
        <v>13</v>
      </c>
      <c r="B18" s="7" t="s">
        <v>14</v>
      </c>
      <c r="C18" s="16">
        <v>0</v>
      </c>
    </row>
    <row r="19" spans="1:3" x14ac:dyDescent="0.2">
      <c r="A19" s="10"/>
      <c r="B19" s="25"/>
      <c r="C19" s="17"/>
    </row>
    <row r="20" spans="1:3" ht="15" x14ac:dyDescent="0.25">
      <c r="A20" s="11">
        <v>4</v>
      </c>
      <c r="B20" s="5" t="s">
        <v>15</v>
      </c>
      <c r="C20" s="15">
        <f>SUM(C21:C28)</f>
        <v>0</v>
      </c>
    </row>
    <row r="21" spans="1:3" x14ac:dyDescent="0.2">
      <c r="A21" s="6"/>
      <c r="B21" s="7" t="s">
        <v>16</v>
      </c>
      <c r="C21" s="16">
        <v>0</v>
      </c>
    </row>
    <row r="22" spans="1:3" x14ac:dyDescent="0.2">
      <c r="A22" s="6"/>
      <c r="B22" s="7" t="s">
        <v>17</v>
      </c>
      <c r="C22" s="16">
        <v>0</v>
      </c>
    </row>
    <row r="23" spans="1:3" x14ac:dyDescent="0.2">
      <c r="A23" s="6"/>
      <c r="B23" s="7" t="s">
        <v>18</v>
      </c>
      <c r="C23" s="16"/>
    </row>
    <row r="24" spans="1:3" x14ac:dyDescent="0.2">
      <c r="A24" s="6"/>
      <c r="B24" s="7" t="s">
        <v>19</v>
      </c>
      <c r="C24" s="16"/>
    </row>
    <row r="25" spans="1:3" x14ac:dyDescent="0.2">
      <c r="A25" s="6"/>
      <c r="B25" s="7" t="s">
        <v>20</v>
      </c>
      <c r="C25" s="16">
        <v>0</v>
      </c>
    </row>
    <row r="26" spans="1:3" x14ac:dyDescent="0.2">
      <c r="A26" s="6"/>
      <c r="B26" s="7" t="s">
        <v>21</v>
      </c>
      <c r="C26" s="16">
        <v>0</v>
      </c>
    </row>
    <row r="27" spans="1:3" x14ac:dyDescent="0.2">
      <c r="A27" s="6"/>
      <c r="B27" s="7" t="s">
        <v>22</v>
      </c>
      <c r="C27" s="16">
        <v>0</v>
      </c>
    </row>
    <row r="28" spans="1:3" x14ac:dyDescent="0.2">
      <c r="A28" s="6"/>
      <c r="B28" s="7" t="s">
        <v>23</v>
      </c>
      <c r="C28" s="16">
        <v>0</v>
      </c>
    </row>
    <row r="29" spans="1:3" x14ac:dyDescent="0.2">
      <c r="A29" s="6"/>
      <c r="B29" s="7"/>
      <c r="C29" s="17"/>
    </row>
    <row r="30" spans="1:3" ht="15" x14ac:dyDescent="0.25">
      <c r="A30" s="6">
        <v>5</v>
      </c>
      <c r="B30" s="5" t="s">
        <v>24</v>
      </c>
      <c r="C30" s="15">
        <f>SUM(C31:C32)</f>
        <v>0</v>
      </c>
    </row>
    <row r="31" spans="1:3" x14ac:dyDescent="0.2">
      <c r="A31" s="6" t="s">
        <v>9</v>
      </c>
      <c r="B31" s="7" t="s">
        <v>25</v>
      </c>
      <c r="C31" s="16"/>
    </row>
    <row r="32" spans="1:3" x14ac:dyDescent="0.2">
      <c r="A32" s="6" t="s">
        <v>11</v>
      </c>
      <c r="B32" s="7" t="s">
        <v>26</v>
      </c>
      <c r="C32" s="16"/>
    </row>
    <row r="33" spans="1:3" x14ac:dyDescent="0.2">
      <c r="A33" s="6"/>
      <c r="B33" s="7"/>
      <c r="C33" s="17"/>
    </row>
    <row r="34" spans="1:3" ht="15" x14ac:dyDescent="0.25">
      <c r="A34" s="6">
        <v>6</v>
      </c>
      <c r="B34" s="5" t="s">
        <v>27</v>
      </c>
      <c r="C34" s="15">
        <f>C30+C20+C15+C11+C7</f>
        <v>5.0894352801374998</v>
      </c>
    </row>
    <row r="35" spans="1:3" x14ac:dyDescent="0.2">
      <c r="A35" s="6"/>
      <c r="B35" s="7"/>
      <c r="C35" s="17"/>
    </row>
    <row r="36" spans="1:3" ht="15" x14ac:dyDescent="0.25">
      <c r="A36" s="6">
        <v>7</v>
      </c>
      <c r="B36" s="5" t="s">
        <v>28</v>
      </c>
      <c r="C36" s="17"/>
    </row>
    <row r="37" spans="1:3" ht="26.25" x14ac:dyDescent="0.25">
      <c r="A37" s="6" t="s">
        <v>9</v>
      </c>
      <c r="B37" s="9" t="s">
        <v>29</v>
      </c>
      <c r="C37" s="18">
        <f>(C32+C20+C16)/C40</f>
        <v>0</v>
      </c>
    </row>
    <row r="38" spans="1:3" ht="15" x14ac:dyDescent="0.25">
      <c r="A38" s="6" t="s">
        <v>11</v>
      </c>
      <c r="B38" s="7" t="s">
        <v>31</v>
      </c>
      <c r="C38" s="18">
        <f>C34/C43</f>
        <v>1.5089197071177621E-4</v>
      </c>
    </row>
    <row r="39" spans="1:3" x14ac:dyDescent="0.2">
      <c r="A39" s="6"/>
      <c r="B39" s="7"/>
      <c r="C39" s="17"/>
    </row>
    <row r="40" spans="1:3" ht="15.75" thickBot="1" x14ac:dyDescent="0.3">
      <c r="A40" s="12"/>
      <c r="B40" s="13" t="s">
        <v>30</v>
      </c>
      <c r="C40" s="19">
        <v>34580</v>
      </c>
    </row>
    <row r="43" spans="1:3" x14ac:dyDescent="0.2">
      <c r="C43" s="29">
        <f>(C40+32878)/2</f>
        <v>33729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rightToLeft="1" zoomScaleNormal="100" workbookViewId="0">
      <pane ySplit="4" topLeftCell="A20" activePane="bottomLeft" state="frozen"/>
      <selection activeCell="F36" sqref="F36"/>
      <selection pane="bottomLeft" activeCell="F27" sqref="F27"/>
    </sheetView>
  </sheetViews>
  <sheetFormatPr defaultRowHeight="14.25" x14ac:dyDescent="0.2"/>
  <cols>
    <col min="1" max="1" width="6.125" style="1" customWidth="1"/>
    <col min="2" max="2" width="48.875" style="1" customWidth="1"/>
    <col min="3" max="3" width="9.2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38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21.25481438038457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21.25481438038457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4.7933139713453397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4.7933139713453397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3.6401376261278511</v>
      </c>
    </row>
    <row r="16" spans="1:3" ht="25.5" x14ac:dyDescent="0.2">
      <c r="A16" s="6" t="s">
        <v>9</v>
      </c>
      <c r="B16" s="9" t="s">
        <v>10</v>
      </c>
      <c r="C16" s="16">
        <v>1.52341565863481</v>
      </c>
    </row>
    <row r="17" spans="1:3" x14ac:dyDescent="0.2">
      <c r="A17" s="6" t="s">
        <v>11</v>
      </c>
      <c r="B17" s="9" t="s">
        <v>12</v>
      </c>
      <c r="C17" s="16">
        <v>0</v>
      </c>
    </row>
    <row r="18" spans="1:3" x14ac:dyDescent="0.2">
      <c r="A18" s="6" t="s">
        <v>13</v>
      </c>
      <c r="B18" s="7" t="s">
        <v>14</v>
      </c>
      <c r="C18" s="16">
        <v>2.1167219674930409</v>
      </c>
    </row>
    <row r="19" spans="1:3" x14ac:dyDescent="0.2">
      <c r="A19" s="10"/>
      <c r="B19" s="25"/>
      <c r="C19" s="17"/>
    </row>
    <row r="20" spans="1:3" ht="15" x14ac:dyDescent="0.25">
      <c r="A20" s="11">
        <v>4</v>
      </c>
      <c r="B20" s="5" t="s">
        <v>15</v>
      </c>
      <c r="C20" s="15">
        <f t="shared" ref="C20" si="3">SUM(C21:C28)</f>
        <v>47.463318435042012</v>
      </c>
    </row>
    <row r="21" spans="1:3" x14ac:dyDescent="0.2">
      <c r="A21" s="6"/>
      <c r="B21" s="7" t="s">
        <v>16</v>
      </c>
      <c r="C21" s="16">
        <v>0</v>
      </c>
    </row>
    <row r="22" spans="1:3" x14ac:dyDescent="0.2">
      <c r="A22" s="6"/>
      <c r="B22" s="7" t="s">
        <v>17</v>
      </c>
      <c r="C22" s="16">
        <v>0</v>
      </c>
    </row>
    <row r="23" spans="1:3" x14ac:dyDescent="0.2">
      <c r="A23" s="6"/>
      <c r="B23" s="7" t="s">
        <v>18</v>
      </c>
      <c r="C23" s="16"/>
    </row>
    <row r="24" spans="1:3" x14ac:dyDescent="0.2">
      <c r="A24" s="6"/>
      <c r="B24" s="7" t="s">
        <v>19</v>
      </c>
      <c r="C24" s="16"/>
    </row>
    <row r="25" spans="1:3" x14ac:dyDescent="0.2">
      <c r="A25" s="6"/>
      <c r="B25" s="7" t="s">
        <v>20</v>
      </c>
      <c r="C25" s="16">
        <v>8.0914683893860015E-2</v>
      </c>
    </row>
    <row r="26" spans="1:3" x14ac:dyDescent="0.2">
      <c r="A26" s="6"/>
      <c r="B26" s="7" t="s">
        <v>21</v>
      </c>
      <c r="C26" s="16">
        <f>9.66705126852143-0.2</f>
        <v>9.4670512685214305</v>
      </c>
    </row>
    <row r="27" spans="1:3" x14ac:dyDescent="0.2">
      <c r="A27" s="6"/>
      <c r="B27" s="7" t="s">
        <v>22</v>
      </c>
      <c r="C27" s="16">
        <v>0</v>
      </c>
    </row>
    <row r="28" spans="1:3" x14ac:dyDescent="0.2">
      <c r="A28" s="6"/>
      <c r="B28" s="7" t="s">
        <v>23</v>
      </c>
      <c r="C28" s="16">
        <v>37.915352482626723</v>
      </c>
    </row>
    <row r="29" spans="1:3" x14ac:dyDescent="0.2">
      <c r="A29" s="6"/>
      <c r="B29" s="7"/>
      <c r="C29" s="17"/>
    </row>
    <row r="30" spans="1:3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3" x14ac:dyDescent="0.2">
      <c r="A31" s="6" t="s">
        <v>9</v>
      </c>
      <c r="B31" s="7" t="s">
        <v>25</v>
      </c>
      <c r="C31" s="16"/>
    </row>
    <row r="32" spans="1:3" x14ac:dyDescent="0.2">
      <c r="A32" s="6" t="s">
        <v>11</v>
      </c>
      <c r="B32" s="7" t="s">
        <v>26</v>
      </c>
      <c r="C32" s="16"/>
    </row>
    <row r="33" spans="1:3" x14ac:dyDescent="0.2">
      <c r="A33" s="6"/>
      <c r="B33" s="7"/>
      <c r="C33" s="17"/>
    </row>
    <row r="34" spans="1:3" ht="15" x14ac:dyDescent="0.25">
      <c r="A34" s="6">
        <v>6</v>
      </c>
      <c r="B34" s="5" t="s">
        <v>27</v>
      </c>
      <c r="C34" s="15">
        <f t="shared" ref="C34" si="5">C30+C20+C15+C11+C7</f>
        <v>77.15158441289978</v>
      </c>
    </row>
    <row r="35" spans="1:3" x14ac:dyDescent="0.2">
      <c r="A35" s="6"/>
      <c r="B35" s="7"/>
      <c r="C35" s="17"/>
    </row>
    <row r="36" spans="1:3" ht="15" x14ac:dyDescent="0.25">
      <c r="A36" s="6">
        <v>7</v>
      </c>
      <c r="B36" s="5" t="s">
        <v>28</v>
      </c>
      <c r="C36" s="17"/>
    </row>
    <row r="37" spans="1:3" ht="26.25" x14ac:dyDescent="0.25">
      <c r="A37" s="6" t="s">
        <v>9</v>
      </c>
      <c r="B37" s="9" t="s">
        <v>29</v>
      </c>
      <c r="C37" s="18">
        <f t="shared" ref="C37" si="6">(C32+C20+C16)/C40</f>
        <v>3.3854933165862792E-4</v>
      </c>
    </row>
    <row r="38" spans="1:3" ht="15" x14ac:dyDescent="0.25">
      <c r="A38" s="6" t="s">
        <v>11</v>
      </c>
      <c r="B38" s="7" t="s">
        <v>31</v>
      </c>
      <c r="C38" s="18">
        <f t="shared" ref="C38" si="7">C34/C43</f>
        <v>5.2392473303747723E-4</v>
      </c>
    </row>
    <row r="39" spans="1:3" x14ac:dyDescent="0.2">
      <c r="A39" s="6"/>
      <c r="B39" s="7"/>
      <c r="C39" s="17"/>
    </row>
    <row r="40" spans="1:3" ht="15.75" thickBot="1" x14ac:dyDescent="0.3">
      <c r="A40" s="12"/>
      <c r="B40" s="13" t="s">
        <v>30</v>
      </c>
      <c r="C40" s="19">
        <v>144696</v>
      </c>
    </row>
    <row r="43" spans="1:3" x14ac:dyDescent="0.2">
      <c r="C43" s="29">
        <f>(C40+149818)/2</f>
        <v>147257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rightToLeft="1" zoomScaleNormal="100" workbookViewId="0">
      <pane ySplit="4" topLeftCell="A26" activePane="bottomLeft" state="frozen"/>
      <selection activeCell="F36" sqref="F36"/>
      <selection pane="bottomLeft" activeCell="G23" sqref="G23"/>
    </sheetView>
  </sheetViews>
  <sheetFormatPr defaultRowHeight="14.25" x14ac:dyDescent="0.2"/>
  <cols>
    <col min="1" max="1" width="6.125" style="1" customWidth="1"/>
    <col min="2" max="2" width="48.875" style="1" customWidth="1"/>
    <col min="3" max="3" width="10.87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39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191.75599595871634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191.75599595871634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8.4507372725143295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f>8.55073727251433-0.1</f>
        <v>8.4507372725143295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73.569726369578973</v>
      </c>
    </row>
    <row r="16" spans="1:3" ht="25.5" x14ac:dyDescent="0.2">
      <c r="A16" s="6" t="s">
        <v>9</v>
      </c>
      <c r="B16" s="9" t="s">
        <v>10</v>
      </c>
      <c r="C16" s="16">
        <v>29.743587422527725</v>
      </c>
    </row>
    <row r="17" spans="1:4" x14ac:dyDescent="0.2">
      <c r="A17" s="6" t="s">
        <v>11</v>
      </c>
      <c r="B17" s="9" t="s">
        <v>12</v>
      </c>
      <c r="C17" s="16">
        <v>0</v>
      </c>
    </row>
    <row r="18" spans="1:4" x14ac:dyDescent="0.2">
      <c r="A18" s="6" t="s">
        <v>13</v>
      </c>
      <c r="B18" s="7" t="s">
        <v>14</v>
      </c>
      <c r="C18" s="16">
        <v>43.826138947051241</v>
      </c>
    </row>
    <row r="19" spans="1:4" x14ac:dyDescent="0.2">
      <c r="A19" s="10"/>
      <c r="B19" s="25"/>
      <c r="C19" s="17"/>
    </row>
    <row r="20" spans="1:4" ht="15" x14ac:dyDescent="0.25">
      <c r="A20" s="11">
        <v>4</v>
      </c>
      <c r="B20" s="5" t="s">
        <v>15</v>
      </c>
      <c r="C20" s="15">
        <f t="shared" ref="C20" si="3">SUM(C21:C28)</f>
        <v>1257.0427834876314</v>
      </c>
      <c r="D20" s="21"/>
    </row>
    <row r="21" spans="1:4" x14ac:dyDescent="0.2">
      <c r="A21" s="6"/>
      <c r="B21" s="7" t="s">
        <v>16</v>
      </c>
      <c r="C21" s="16">
        <f>111.635767120706-0.2</f>
        <v>111.435767120706</v>
      </c>
      <c r="D21" s="28"/>
    </row>
    <row r="22" spans="1:4" x14ac:dyDescent="0.2">
      <c r="A22" s="6"/>
      <c r="B22" s="7" t="s">
        <v>17</v>
      </c>
      <c r="C22" s="16">
        <v>754.90322428589968</v>
      </c>
    </row>
    <row r="23" spans="1:4" x14ac:dyDescent="0.2">
      <c r="A23" s="6"/>
      <c r="B23" s="7" t="s">
        <v>18</v>
      </c>
      <c r="C23" s="16"/>
    </row>
    <row r="24" spans="1:4" x14ac:dyDescent="0.2">
      <c r="A24" s="6"/>
      <c r="B24" s="7" t="s">
        <v>19</v>
      </c>
      <c r="C24" s="16"/>
    </row>
    <row r="25" spans="1:4" x14ac:dyDescent="0.2">
      <c r="A25" s="6"/>
      <c r="B25" s="7" t="s">
        <v>20</v>
      </c>
      <c r="C25" s="16">
        <v>2.9972468440381905</v>
      </c>
    </row>
    <row r="26" spans="1:4" x14ac:dyDescent="0.2">
      <c r="A26" s="6"/>
      <c r="B26" s="7" t="s">
        <v>21</v>
      </c>
      <c r="C26" s="16">
        <v>220.93444307056825</v>
      </c>
    </row>
    <row r="27" spans="1:4" x14ac:dyDescent="0.2">
      <c r="A27" s="6"/>
      <c r="B27" s="7" t="s">
        <v>22</v>
      </c>
      <c r="C27" s="16">
        <v>0</v>
      </c>
    </row>
    <row r="28" spans="1:4" x14ac:dyDescent="0.2">
      <c r="A28" s="6"/>
      <c r="B28" s="7" t="s">
        <v>23</v>
      </c>
      <c r="C28" s="16">
        <v>166.77210216641913</v>
      </c>
    </row>
    <row r="29" spans="1:4" x14ac:dyDescent="0.2">
      <c r="A29" s="6"/>
      <c r="B29" s="7"/>
      <c r="C29" s="17"/>
    </row>
    <row r="30" spans="1:4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4" x14ac:dyDescent="0.2">
      <c r="A31" s="6" t="s">
        <v>9</v>
      </c>
      <c r="B31" s="7" t="s">
        <v>25</v>
      </c>
      <c r="C31" s="16"/>
    </row>
    <row r="32" spans="1:4" x14ac:dyDescent="0.2">
      <c r="A32" s="6" t="s">
        <v>11</v>
      </c>
      <c r="B32" s="7" t="s">
        <v>26</v>
      </c>
      <c r="C32" s="16"/>
    </row>
    <row r="33" spans="1:4" x14ac:dyDescent="0.2">
      <c r="A33" s="6"/>
      <c r="B33" s="7"/>
      <c r="C33" s="17"/>
    </row>
    <row r="34" spans="1:4" ht="15" x14ac:dyDescent="0.25">
      <c r="A34" s="6">
        <v>6</v>
      </c>
      <c r="B34" s="5" t="s">
        <v>27</v>
      </c>
      <c r="C34" s="15">
        <f t="shared" ref="C34" si="5">C30+C20+C15+C11+C7</f>
        <v>1530.819243088441</v>
      </c>
    </row>
    <row r="35" spans="1:4" x14ac:dyDescent="0.2">
      <c r="A35" s="6"/>
      <c r="B35" s="7"/>
      <c r="C35" s="17"/>
    </row>
    <row r="36" spans="1:4" ht="15" x14ac:dyDescent="0.25">
      <c r="A36" s="6">
        <v>7</v>
      </c>
      <c r="B36" s="5" t="s">
        <v>28</v>
      </c>
      <c r="C36" s="17"/>
      <c r="D36" s="27"/>
    </row>
    <row r="37" spans="1:4" ht="26.25" x14ac:dyDescent="0.25">
      <c r="A37" s="6" t="s">
        <v>9</v>
      </c>
      <c r="B37" s="9" t="s">
        <v>29</v>
      </c>
      <c r="C37" s="18">
        <f t="shared" ref="C37" si="6">(C32+C20+C16)/C40</f>
        <v>1.6011676290325564E-3</v>
      </c>
    </row>
    <row r="38" spans="1:4" ht="15" x14ac:dyDescent="0.25">
      <c r="A38" s="6" t="s">
        <v>11</v>
      </c>
      <c r="B38" s="7" t="s">
        <v>31</v>
      </c>
      <c r="C38" s="18">
        <f t="shared" ref="C38" si="7">C34/C43</f>
        <v>1.6897242952636227E-3</v>
      </c>
    </row>
    <row r="39" spans="1:4" x14ac:dyDescent="0.2">
      <c r="A39" s="6"/>
      <c r="B39" s="7"/>
      <c r="C39" s="17"/>
    </row>
    <row r="40" spans="1:4" ht="15.75" thickBot="1" x14ac:dyDescent="0.3">
      <c r="A40" s="12"/>
      <c r="B40" s="13" t="s">
        <v>30</v>
      </c>
      <c r="C40" s="19">
        <v>803655</v>
      </c>
    </row>
    <row r="43" spans="1:4" x14ac:dyDescent="0.2">
      <c r="C43" s="29">
        <f>(C40+1008261)/2</f>
        <v>905958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rightToLeft="1" zoomScaleNormal="100" workbookViewId="0">
      <pane ySplit="4" topLeftCell="A17" activePane="bottomLeft" state="frozen"/>
      <selection activeCell="F36" sqref="F36"/>
      <selection pane="bottomLeft" activeCell="G27" sqref="G27"/>
    </sheetView>
  </sheetViews>
  <sheetFormatPr defaultRowHeight="14.25" x14ac:dyDescent="0.2"/>
  <cols>
    <col min="1" max="1" width="6.125" style="1" customWidth="1"/>
    <col min="2" max="2" width="48.875" style="1" customWidth="1"/>
    <col min="3" max="3" width="11.125" style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40</v>
      </c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365.90010401179956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365.90010401179956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18.455231047324098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f>18.5552310473241-0.1</f>
        <v>18.455231047324098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107.82075187740055</v>
      </c>
    </row>
    <row r="16" spans="1:3" ht="25.5" x14ac:dyDescent="0.2">
      <c r="A16" s="6" t="s">
        <v>9</v>
      </c>
      <c r="B16" s="9" t="s">
        <v>10</v>
      </c>
      <c r="C16" s="16">
        <v>62.144212132864112</v>
      </c>
    </row>
    <row r="17" spans="1:4" x14ac:dyDescent="0.2">
      <c r="A17" s="6" t="s">
        <v>11</v>
      </c>
      <c r="B17" s="9" t="s">
        <v>12</v>
      </c>
      <c r="C17" s="16">
        <v>0</v>
      </c>
    </row>
    <row r="18" spans="1:4" x14ac:dyDescent="0.2">
      <c r="A18" s="6" t="s">
        <v>13</v>
      </c>
      <c r="B18" s="7" t="s">
        <v>14</v>
      </c>
      <c r="C18" s="16">
        <v>45.676539744536441</v>
      </c>
    </row>
    <row r="19" spans="1:4" x14ac:dyDescent="0.2">
      <c r="A19" s="10"/>
      <c r="B19" s="25"/>
      <c r="C19" s="17"/>
    </row>
    <row r="20" spans="1:4" ht="15" x14ac:dyDescent="0.25">
      <c r="A20" s="11">
        <v>4</v>
      </c>
      <c r="B20" s="5" t="s">
        <v>15</v>
      </c>
      <c r="C20" s="15">
        <f t="shared" ref="C20" si="3">SUM(C21:C28)</f>
        <v>3155.915557683154</v>
      </c>
      <c r="D20" s="21"/>
    </row>
    <row r="21" spans="1:4" x14ac:dyDescent="0.2">
      <c r="A21" s="6"/>
      <c r="B21" s="7" t="s">
        <v>16</v>
      </c>
      <c r="C21" s="16">
        <v>357.14908481729663</v>
      </c>
      <c r="D21" s="28"/>
    </row>
    <row r="22" spans="1:4" x14ac:dyDescent="0.2">
      <c r="A22" s="6"/>
      <c r="B22" s="7" t="s">
        <v>17</v>
      </c>
      <c r="C22" s="16">
        <v>2052.9545641865648</v>
      </c>
    </row>
    <row r="23" spans="1:4" x14ac:dyDescent="0.2">
      <c r="A23" s="6"/>
      <c r="B23" s="7" t="s">
        <v>18</v>
      </c>
      <c r="C23" s="16"/>
    </row>
    <row r="24" spans="1:4" x14ac:dyDescent="0.2">
      <c r="A24" s="6"/>
      <c r="B24" s="7" t="s">
        <v>19</v>
      </c>
      <c r="C24" s="16"/>
    </row>
    <row r="25" spans="1:4" x14ac:dyDescent="0.2">
      <c r="A25" s="6"/>
      <c r="B25" s="7" t="s">
        <v>20</v>
      </c>
      <c r="C25" s="16">
        <v>5.1300218815951704</v>
      </c>
    </row>
    <row r="26" spans="1:4" x14ac:dyDescent="0.2">
      <c r="A26" s="6"/>
      <c r="B26" s="7" t="s">
        <v>21</v>
      </c>
      <c r="C26" s="16">
        <v>385.52843950020218</v>
      </c>
    </row>
    <row r="27" spans="1:4" x14ac:dyDescent="0.2">
      <c r="A27" s="6"/>
      <c r="B27" s="7" t="s">
        <v>22</v>
      </c>
      <c r="C27" s="16">
        <v>0</v>
      </c>
    </row>
    <row r="28" spans="1:4" x14ac:dyDescent="0.2">
      <c r="A28" s="6"/>
      <c r="B28" s="7" t="s">
        <v>23</v>
      </c>
      <c r="C28" s="16">
        <v>355.15344729749557</v>
      </c>
    </row>
    <row r="29" spans="1:4" x14ac:dyDescent="0.2">
      <c r="A29" s="6"/>
      <c r="B29" s="7"/>
      <c r="C29" s="17"/>
    </row>
    <row r="30" spans="1:4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4" x14ac:dyDescent="0.2">
      <c r="A31" s="6" t="s">
        <v>9</v>
      </c>
      <c r="B31" s="7" t="s">
        <v>25</v>
      </c>
      <c r="C31" s="16"/>
    </row>
    <row r="32" spans="1:4" x14ac:dyDescent="0.2">
      <c r="A32" s="6" t="s">
        <v>11</v>
      </c>
      <c r="B32" s="7" t="s">
        <v>26</v>
      </c>
      <c r="C32" s="16"/>
    </row>
    <row r="33" spans="1:4" x14ac:dyDescent="0.2">
      <c r="A33" s="6"/>
      <c r="B33" s="7"/>
      <c r="C33" s="17"/>
    </row>
    <row r="34" spans="1:4" ht="15" x14ac:dyDescent="0.25">
      <c r="A34" s="6">
        <v>6</v>
      </c>
      <c r="B34" s="5" t="s">
        <v>27</v>
      </c>
      <c r="C34" s="15">
        <f t="shared" ref="C34" si="5">C30+C20+C15+C11+C7</f>
        <v>3648.0916446196784</v>
      </c>
    </row>
    <row r="35" spans="1:4" x14ac:dyDescent="0.2">
      <c r="A35" s="6"/>
      <c r="B35" s="7"/>
      <c r="C35" s="17"/>
    </row>
    <row r="36" spans="1:4" ht="15" x14ac:dyDescent="0.25">
      <c r="A36" s="6">
        <v>7</v>
      </c>
      <c r="B36" s="5" t="s">
        <v>28</v>
      </c>
      <c r="C36" s="17"/>
      <c r="D36" s="27"/>
    </row>
    <row r="37" spans="1:4" ht="26.25" x14ac:dyDescent="0.25">
      <c r="A37" s="6" t="s">
        <v>9</v>
      </c>
      <c r="B37" s="9" t="s">
        <v>29</v>
      </c>
      <c r="C37" s="18">
        <f t="shared" ref="C37" si="6">(C32+C20+C16)/C40</f>
        <v>1.8556836434247385E-3</v>
      </c>
    </row>
    <row r="38" spans="1:4" ht="15" x14ac:dyDescent="0.25">
      <c r="A38" s="6" t="s">
        <v>11</v>
      </c>
      <c r="B38" s="7" t="s">
        <v>31</v>
      </c>
      <c r="C38" s="18">
        <f t="shared" ref="C38" si="7">C34/C43</f>
        <v>1.9208974728931098E-3</v>
      </c>
    </row>
    <row r="39" spans="1:4" x14ac:dyDescent="0.2">
      <c r="A39" s="6"/>
      <c r="B39" s="7"/>
      <c r="C39" s="17"/>
    </row>
    <row r="40" spans="1:4" ht="15.75" thickBot="1" x14ac:dyDescent="0.3">
      <c r="A40" s="12"/>
      <c r="B40" s="13" t="s">
        <v>30</v>
      </c>
      <c r="C40" s="19">
        <v>1734164</v>
      </c>
    </row>
    <row r="43" spans="1:4" x14ac:dyDescent="0.2">
      <c r="C43" s="29">
        <f>(C40+2064156)/2</f>
        <v>1899160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rightToLeft="1" zoomScaleNormal="100" workbookViewId="0">
      <pane ySplit="4" topLeftCell="A17" activePane="bottomLeft" state="frozen"/>
      <selection activeCell="F36" sqref="F36"/>
      <selection pane="bottomLeft" activeCell="E28" sqref="E28"/>
    </sheetView>
  </sheetViews>
  <sheetFormatPr defaultRowHeight="14.25" x14ac:dyDescent="0.2"/>
  <cols>
    <col min="1" max="1" width="6.125" style="1" customWidth="1"/>
    <col min="2" max="2" width="48.875" style="1" customWidth="1"/>
    <col min="3" max="3" width="9.375" style="1" bestFit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41</v>
      </c>
      <c r="C4" s="26"/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120.86675455810031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v>120.86675455810031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21.99912283685703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21.99912283685703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52.190566846671075</v>
      </c>
    </row>
    <row r="16" spans="1:3" ht="25.5" x14ac:dyDescent="0.2">
      <c r="A16" s="6" t="s">
        <v>9</v>
      </c>
      <c r="B16" s="9" t="s">
        <v>10</v>
      </c>
      <c r="C16" s="16">
        <v>25.81360944298687</v>
      </c>
    </row>
    <row r="17" spans="1:5" x14ac:dyDescent="0.2">
      <c r="A17" s="6" t="s">
        <v>11</v>
      </c>
      <c r="B17" s="9" t="s">
        <v>12</v>
      </c>
      <c r="C17" s="16">
        <v>0</v>
      </c>
    </row>
    <row r="18" spans="1:5" x14ac:dyDescent="0.2">
      <c r="A18" s="6" t="s">
        <v>13</v>
      </c>
      <c r="B18" s="7" t="s">
        <v>14</v>
      </c>
      <c r="C18" s="16">
        <v>26.376957403684209</v>
      </c>
    </row>
    <row r="19" spans="1:5" x14ac:dyDescent="0.2">
      <c r="A19" s="10"/>
      <c r="B19" s="25"/>
      <c r="C19" s="17"/>
    </row>
    <row r="20" spans="1:5" ht="15" x14ac:dyDescent="0.25">
      <c r="A20" s="11">
        <v>4</v>
      </c>
      <c r="B20" s="5" t="s">
        <v>15</v>
      </c>
      <c r="C20" s="15">
        <f t="shared" ref="C20" si="3">SUM(C21:C28)</f>
        <v>675.22110622521814</v>
      </c>
      <c r="E20" s="21"/>
    </row>
    <row r="21" spans="1:5" x14ac:dyDescent="0.2">
      <c r="A21" s="6"/>
      <c r="B21" s="7" t="s">
        <v>16</v>
      </c>
      <c r="C21" s="16">
        <v>60.5576705859608</v>
      </c>
      <c r="E21" s="28"/>
    </row>
    <row r="22" spans="1:5" x14ac:dyDescent="0.2">
      <c r="A22" s="6"/>
      <c r="B22" s="7" t="s">
        <v>17</v>
      </c>
      <c r="C22" s="16">
        <v>409.03859439381353</v>
      </c>
    </row>
    <row r="23" spans="1:5" x14ac:dyDescent="0.2">
      <c r="A23" s="6"/>
      <c r="B23" s="7" t="s">
        <v>18</v>
      </c>
      <c r="C23" s="16"/>
    </row>
    <row r="24" spans="1:5" x14ac:dyDescent="0.2">
      <c r="A24" s="6"/>
      <c r="B24" s="7" t="s">
        <v>19</v>
      </c>
      <c r="C24" s="16"/>
    </row>
    <row r="25" spans="1:5" x14ac:dyDescent="0.2">
      <c r="A25" s="6"/>
      <c r="B25" s="7" t="s">
        <v>20</v>
      </c>
      <c r="C25" s="16">
        <v>1.25012747111686</v>
      </c>
    </row>
    <row r="26" spans="1:5" x14ac:dyDescent="0.2">
      <c r="A26" s="6"/>
      <c r="B26" s="7" t="s">
        <v>21</v>
      </c>
      <c r="C26" s="16">
        <v>96.249800732422059</v>
      </c>
    </row>
    <row r="27" spans="1:5" x14ac:dyDescent="0.2">
      <c r="A27" s="6"/>
      <c r="B27" s="7" t="s">
        <v>22</v>
      </c>
      <c r="C27" s="16">
        <v>0</v>
      </c>
    </row>
    <row r="28" spans="1:5" x14ac:dyDescent="0.2">
      <c r="A28" s="6"/>
      <c r="B28" s="7" t="s">
        <v>23</v>
      </c>
      <c r="C28" s="16">
        <v>108.12491304190485</v>
      </c>
    </row>
    <row r="29" spans="1:5" x14ac:dyDescent="0.2">
      <c r="A29" s="6"/>
      <c r="B29" s="7"/>
      <c r="C29" s="17"/>
    </row>
    <row r="30" spans="1:5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5" x14ac:dyDescent="0.2">
      <c r="A31" s="6" t="s">
        <v>9</v>
      </c>
      <c r="B31" s="7" t="s">
        <v>25</v>
      </c>
      <c r="C31" s="16"/>
    </row>
    <row r="32" spans="1:5" x14ac:dyDescent="0.2">
      <c r="A32" s="6" t="s">
        <v>11</v>
      </c>
      <c r="B32" s="7" t="s">
        <v>26</v>
      </c>
      <c r="C32" s="16"/>
    </row>
    <row r="33" spans="1:5" x14ac:dyDescent="0.2">
      <c r="A33" s="6"/>
      <c r="B33" s="7"/>
      <c r="C33" s="17"/>
    </row>
    <row r="34" spans="1:5" ht="15" x14ac:dyDescent="0.25">
      <c r="A34" s="6">
        <v>6</v>
      </c>
      <c r="B34" s="5" t="s">
        <v>27</v>
      </c>
      <c r="C34" s="15">
        <f t="shared" ref="C34" si="5">C30+C20+C15+C11+C7</f>
        <v>870.27755046684661</v>
      </c>
    </row>
    <row r="35" spans="1:5" x14ac:dyDescent="0.2">
      <c r="A35" s="6"/>
      <c r="B35" s="7"/>
      <c r="C35" s="17"/>
    </row>
    <row r="36" spans="1:5" ht="15" x14ac:dyDescent="0.25">
      <c r="A36" s="6">
        <v>7</v>
      </c>
      <c r="B36" s="5" t="s">
        <v>28</v>
      </c>
      <c r="C36" s="17"/>
      <c r="E36" s="27"/>
    </row>
    <row r="37" spans="1:5" ht="26.25" x14ac:dyDescent="0.25">
      <c r="A37" s="6" t="s">
        <v>9</v>
      </c>
      <c r="B37" s="9" t="s">
        <v>29</v>
      </c>
      <c r="C37" s="18">
        <f t="shared" ref="C37" si="6">(C32+C20+C16)/C40</f>
        <v>1.1273590801273081E-3</v>
      </c>
    </row>
    <row r="38" spans="1:5" ht="15" x14ac:dyDescent="0.25">
      <c r="A38" s="6" t="s">
        <v>11</v>
      </c>
      <c r="B38" s="7" t="s">
        <v>31</v>
      </c>
      <c r="C38" s="18">
        <f t="shared" ref="C38" si="7">C34/C43</f>
        <v>1.1850257122583766E-3</v>
      </c>
    </row>
    <row r="39" spans="1:5" x14ac:dyDescent="0.2">
      <c r="A39" s="6"/>
      <c r="B39" s="7"/>
      <c r="C39" s="17"/>
    </row>
    <row r="40" spans="1:5" ht="15.75" thickBot="1" x14ac:dyDescent="0.3">
      <c r="A40" s="12"/>
      <c r="B40" s="13" t="s">
        <v>30</v>
      </c>
      <c r="C40" s="19">
        <v>621838</v>
      </c>
    </row>
    <row r="43" spans="1:5" x14ac:dyDescent="0.2">
      <c r="C43" s="29">
        <f>(C40+846953)/2</f>
        <v>734395.5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rightToLeft="1" zoomScaleNormal="100" workbookViewId="0">
      <pane ySplit="4" topLeftCell="A29" activePane="bottomLeft" state="frozen"/>
      <selection activeCell="F36" sqref="F36"/>
      <selection pane="bottomLeft" activeCell="C40" sqref="C40"/>
    </sheetView>
  </sheetViews>
  <sheetFormatPr defaultRowHeight="14.25" x14ac:dyDescent="0.2"/>
  <cols>
    <col min="1" max="1" width="6.125" style="1" customWidth="1"/>
    <col min="2" max="2" width="48.875" style="1" customWidth="1"/>
    <col min="3" max="3" width="10.75" style="1" customWidth="1"/>
    <col min="4" max="16384" width="9" style="1"/>
  </cols>
  <sheetData>
    <row r="1" spans="1:3" ht="15" x14ac:dyDescent="0.25">
      <c r="B1" s="30" t="s">
        <v>32</v>
      </c>
    </row>
    <row r="2" spans="1:3" x14ac:dyDescent="0.2">
      <c r="B2" s="31" t="s">
        <v>33</v>
      </c>
      <c r="C2" s="2">
        <v>44561</v>
      </c>
    </row>
    <row r="3" spans="1:3" ht="15" x14ac:dyDescent="0.25">
      <c r="B3" s="32" t="s">
        <v>0</v>
      </c>
    </row>
    <row r="4" spans="1:3" ht="16.5" thickBot="1" x14ac:dyDescent="0.3">
      <c r="B4" s="33" t="s">
        <v>42</v>
      </c>
      <c r="C4" s="26"/>
    </row>
    <row r="5" spans="1:3" x14ac:dyDescent="0.2">
      <c r="A5" s="22"/>
      <c r="B5" s="24"/>
      <c r="C5" s="37" t="s">
        <v>1</v>
      </c>
    </row>
    <row r="6" spans="1:3" x14ac:dyDescent="0.2">
      <c r="A6" s="23"/>
      <c r="B6" s="25"/>
      <c r="C6" s="38"/>
    </row>
    <row r="7" spans="1:3" ht="15" x14ac:dyDescent="0.25">
      <c r="A7" s="4">
        <v>1</v>
      </c>
      <c r="B7" s="5" t="s">
        <v>2</v>
      </c>
      <c r="C7" s="15">
        <f t="shared" ref="C7" si="0">SUM(C8:C9)</f>
        <v>23.421277967813797</v>
      </c>
    </row>
    <row r="8" spans="1:3" x14ac:dyDescent="0.2">
      <c r="A8" s="6"/>
      <c r="B8" s="7" t="s">
        <v>3</v>
      </c>
      <c r="C8" s="16">
        <v>0</v>
      </c>
    </row>
    <row r="9" spans="1:3" x14ac:dyDescent="0.2">
      <c r="A9" s="6"/>
      <c r="B9" s="7" t="s">
        <v>4</v>
      </c>
      <c r="C9" s="16">
        <f>23.5212779678138-0.1</f>
        <v>23.421277967813797</v>
      </c>
    </row>
    <row r="10" spans="1:3" x14ac:dyDescent="0.2">
      <c r="A10" s="6"/>
      <c r="B10" s="7"/>
      <c r="C10" s="17"/>
    </row>
    <row r="11" spans="1:3" ht="15" x14ac:dyDescent="0.25">
      <c r="A11" s="4">
        <v>2</v>
      </c>
      <c r="B11" s="5" t="s">
        <v>5</v>
      </c>
      <c r="C11" s="15">
        <f t="shared" ref="C11" si="1">SUM(C12:C13)</f>
        <v>9.2231955360800016E-3</v>
      </c>
    </row>
    <row r="12" spans="1:3" x14ac:dyDescent="0.2">
      <c r="A12" s="6"/>
      <c r="B12" s="8" t="s">
        <v>6</v>
      </c>
      <c r="C12" s="16">
        <v>0</v>
      </c>
    </row>
    <row r="13" spans="1:3" x14ac:dyDescent="0.2">
      <c r="A13" s="6"/>
      <c r="B13" s="8" t="s">
        <v>7</v>
      </c>
      <c r="C13" s="16">
        <v>9.2231955360800016E-3</v>
      </c>
    </row>
    <row r="14" spans="1:3" x14ac:dyDescent="0.2">
      <c r="A14" s="23"/>
      <c r="B14" s="25"/>
      <c r="C14" s="17"/>
    </row>
    <row r="15" spans="1:3" ht="15" x14ac:dyDescent="0.25">
      <c r="A15" s="4">
        <v>3</v>
      </c>
      <c r="B15" s="5" t="s">
        <v>8</v>
      </c>
      <c r="C15" s="15">
        <f t="shared" ref="C15" si="2">SUM(C16:C18)</f>
        <v>0</v>
      </c>
    </row>
    <row r="16" spans="1:3" ht="25.5" x14ac:dyDescent="0.2">
      <c r="A16" s="6" t="s">
        <v>9</v>
      </c>
      <c r="B16" s="9" t="s">
        <v>10</v>
      </c>
      <c r="C16" s="16">
        <v>0</v>
      </c>
    </row>
    <row r="17" spans="1:5" x14ac:dyDescent="0.2">
      <c r="A17" s="6" t="s">
        <v>11</v>
      </c>
      <c r="B17" s="9" t="s">
        <v>12</v>
      </c>
      <c r="C17" s="16">
        <v>0</v>
      </c>
    </row>
    <row r="18" spans="1:5" x14ac:dyDescent="0.2">
      <c r="A18" s="6" t="s">
        <v>13</v>
      </c>
      <c r="B18" s="7" t="s">
        <v>14</v>
      </c>
      <c r="C18" s="16">
        <v>0</v>
      </c>
    </row>
    <row r="19" spans="1:5" x14ac:dyDescent="0.2">
      <c r="A19" s="10"/>
      <c r="B19" s="25"/>
      <c r="C19" s="17"/>
    </row>
    <row r="20" spans="1:5" ht="15" x14ac:dyDescent="0.25">
      <c r="A20" s="11">
        <v>4</v>
      </c>
      <c r="B20" s="5" t="s">
        <v>15</v>
      </c>
      <c r="C20" s="15">
        <f t="shared" ref="C20" si="3">SUM(C21:C28)</f>
        <v>5.86020607603316</v>
      </c>
      <c r="E20" s="21"/>
    </row>
    <row r="21" spans="1:5" x14ac:dyDescent="0.2">
      <c r="A21" s="6"/>
      <c r="B21" s="7" t="s">
        <v>16</v>
      </c>
      <c r="C21" s="16">
        <v>0</v>
      </c>
      <c r="E21" s="28"/>
    </row>
    <row r="22" spans="1:5" x14ac:dyDescent="0.2">
      <c r="A22" s="6"/>
      <c r="B22" s="7" t="s">
        <v>17</v>
      </c>
      <c r="C22" s="16">
        <v>0</v>
      </c>
    </row>
    <row r="23" spans="1:5" x14ac:dyDescent="0.2">
      <c r="A23" s="6"/>
      <c r="B23" s="7" t="s">
        <v>18</v>
      </c>
      <c r="C23" s="16"/>
    </row>
    <row r="24" spans="1:5" x14ac:dyDescent="0.2">
      <c r="A24" s="6"/>
      <c r="B24" s="7" t="s">
        <v>19</v>
      </c>
      <c r="C24" s="16"/>
    </row>
    <row r="25" spans="1:5" x14ac:dyDescent="0.2">
      <c r="A25" s="6"/>
      <c r="B25" s="7" t="s">
        <v>20</v>
      </c>
      <c r="C25" s="16">
        <v>0.16045268736610002</v>
      </c>
    </row>
    <row r="26" spans="1:5" x14ac:dyDescent="0.2">
      <c r="A26" s="6"/>
      <c r="B26" s="7" t="s">
        <v>21</v>
      </c>
      <c r="C26" s="16">
        <v>5.6997533886670597</v>
      </c>
    </row>
    <row r="27" spans="1:5" x14ac:dyDescent="0.2">
      <c r="A27" s="6"/>
      <c r="B27" s="7" t="s">
        <v>22</v>
      </c>
      <c r="C27" s="16">
        <v>0</v>
      </c>
    </row>
    <row r="28" spans="1:5" x14ac:dyDescent="0.2">
      <c r="A28" s="6"/>
      <c r="B28" s="7" t="s">
        <v>23</v>
      </c>
      <c r="C28" s="16">
        <v>0</v>
      </c>
    </row>
    <row r="29" spans="1:5" x14ac:dyDescent="0.2">
      <c r="A29" s="6"/>
      <c r="B29" s="7"/>
      <c r="C29" s="17"/>
    </row>
    <row r="30" spans="1:5" ht="15" x14ac:dyDescent="0.25">
      <c r="A30" s="6">
        <v>5</v>
      </c>
      <c r="B30" s="5" t="s">
        <v>24</v>
      </c>
      <c r="C30" s="15">
        <f t="shared" ref="C30" si="4">SUM(C31:C32)</f>
        <v>0</v>
      </c>
    </row>
    <row r="31" spans="1:5" x14ac:dyDescent="0.2">
      <c r="A31" s="6" t="s">
        <v>9</v>
      </c>
      <c r="B31" s="7" t="s">
        <v>25</v>
      </c>
      <c r="C31" s="16"/>
    </row>
    <row r="32" spans="1:5" x14ac:dyDescent="0.2">
      <c r="A32" s="6" t="s">
        <v>11</v>
      </c>
      <c r="B32" s="7" t="s">
        <v>26</v>
      </c>
      <c r="C32" s="16"/>
    </row>
    <row r="33" spans="1:5" x14ac:dyDescent="0.2">
      <c r="A33" s="6"/>
      <c r="B33" s="7"/>
      <c r="C33" s="17"/>
    </row>
    <row r="34" spans="1:5" ht="15" x14ac:dyDescent="0.25">
      <c r="A34" s="6">
        <v>6</v>
      </c>
      <c r="B34" s="5" t="s">
        <v>27</v>
      </c>
      <c r="C34" s="15">
        <f t="shared" ref="C34" si="5">C30+C20+C15+C11+C7</f>
        <v>29.290707239383039</v>
      </c>
    </row>
    <row r="35" spans="1:5" x14ac:dyDescent="0.2">
      <c r="A35" s="6"/>
      <c r="B35" s="7"/>
      <c r="C35" s="17"/>
    </row>
    <row r="36" spans="1:5" ht="15" x14ac:dyDescent="0.25">
      <c r="A36" s="6">
        <v>7</v>
      </c>
      <c r="B36" s="5" t="s">
        <v>28</v>
      </c>
      <c r="C36" s="17"/>
      <c r="E36" s="27"/>
    </row>
    <row r="37" spans="1:5" ht="26.25" x14ac:dyDescent="0.25">
      <c r="A37" s="6" t="s">
        <v>9</v>
      </c>
      <c r="B37" s="9" t="s">
        <v>29</v>
      </c>
      <c r="C37" s="18">
        <f t="shared" ref="C37" si="6">(C32+C20+C16)/C40</f>
        <v>5.2137064733391103E-4</v>
      </c>
    </row>
    <row r="38" spans="1:5" ht="15" x14ac:dyDescent="0.25">
      <c r="A38" s="6" t="s">
        <v>11</v>
      </c>
      <c r="B38" s="7" t="s">
        <v>31</v>
      </c>
      <c r="C38" s="18">
        <f t="shared" ref="C38" si="7">C34/C43</f>
        <v>8.7328067855409913E-4</v>
      </c>
    </row>
    <row r="39" spans="1:5" x14ac:dyDescent="0.2">
      <c r="A39" s="6"/>
      <c r="B39" s="7"/>
      <c r="C39" s="17"/>
    </row>
    <row r="40" spans="1:5" ht="15.75" thickBot="1" x14ac:dyDescent="0.3">
      <c r="A40" s="12"/>
      <c r="B40" s="13" t="s">
        <v>30</v>
      </c>
      <c r="C40" s="19">
        <v>11240</v>
      </c>
    </row>
    <row r="43" spans="1:5" x14ac:dyDescent="0.2">
      <c r="C43" s="29">
        <f>(C40+55842)/2</f>
        <v>33541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10</vt:i4>
      </vt:variant>
    </vt:vector>
  </HeadingPairs>
  <TitlesOfParts>
    <vt:vector size="22" baseType="lpstr">
      <vt:lpstr>863</vt:lpstr>
      <vt:lpstr>862</vt:lpstr>
      <vt:lpstr>859</vt:lpstr>
      <vt:lpstr>858</vt:lpstr>
      <vt:lpstr>8012</vt:lpstr>
      <vt:lpstr>9779</vt:lpstr>
      <vt:lpstr>9780</vt:lpstr>
      <vt:lpstr>9781</vt:lpstr>
      <vt:lpstr>13565</vt:lpstr>
      <vt:lpstr>מגדל תגמולים- נספח 1</vt:lpstr>
      <vt:lpstr>מגדל תגמולים- נספח 2</vt:lpstr>
      <vt:lpstr>מגדל תגמולים- נספח 3</vt:lpstr>
      <vt:lpstr>'13565'!WPrint_Area_W</vt:lpstr>
      <vt:lpstr>'8012'!WPrint_Area_W</vt:lpstr>
      <vt:lpstr>'858'!WPrint_Area_W</vt:lpstr>
      <vt:lpstr>'859'!WPrint_Area_W</vt:lpstr>
      <vt:lpstr>'862'!WPrint_Area_W</vt:lpstr>
      <vt:lpstr>'863'!WPrint_Area_W</vt:lpstr>
      <vt:lpstr>'9779'!WPrint_Area_W</vt:lpstr>
      <vt:lpstr>'9780'!WPrint_Area_W</vt:lpstr>
      <vt:lpstr>'9781'!WPrint_Area_W</vt:lpstr>
      <vt:lpstr>'מגדל תגמולים-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2022-03-21T08:37:32Z</dcterms:modified>
</cp:coreProperties>
</file>